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326"/>
  <workbookPr filterPrivacy="1" defaultThemeVersion="124226"/>
  <bookViews>
    <workbookView xWindow="0" yWindow="0" windowWidth="28800" windowHeight="12795" tabRatio="735"/>
  </bookViews>
  <sheets>
    <sheet name="A.Prangko" sheetId="1" r:id="rId1"/>
    <sheet name="B.MS &amp; SS" sheetId="2" r:id="rId2"/>
    <sheet name="C.SHP&amp;SHPSS" sheetId="3" r:id="rId3"/>
    <sheet name="D.Kemasan" sheetId="4" r:id="rId4"/>
    <sheet name="E.Merchandise" sheetId="5" r:id="rId5"/>
    <sheet name="F.PRISMA" sheetId="6" r:id="rId6"/>
    <sheet name="G.Dokumen Filateli" sheetId="7" r:id="rId7"/>
    <sheet name="Rekapitulasi" sheetId="8" r:id="rId8"/>
  </sheets>
  <externalReferences>
    <externalReference r:id="rId9"/>
    <externalReference r:id="rId10"/>
    <externalReference r:id="rId11"/>
    <externalReference r:id="rId12"/>
    <externalReference r:id="rId13"/>
    <externalReference r:id="rId14"/>
    <externalReference r:id="rId15"/>
    <externalReference r:id="rId16"/>
    <externalReference r:id="rId17"/>
  </externalReferences>
  <calcPr calcId="162913"/>
</workbook>
</file>

<file path=xl/calcChain.xml><?xml version="1.0" encoding="utf-8"?>
<calcChain xmlns="http://schemas.openxmlformats.org/spreadsheetml/2006/main">
  <c r="N226" i="1" l="1"/>
  <c r="P226" i="1"/>
  <c r="N224" i="1"/>
  <c r="N222" i="1"/>
  <c r="N220" i="1"/>
  <c r="N218" i="1"/>
  <c r="N216" i="1"/>
  <c r="N214" i="1"/>
  <c r="N212" i="1"/>
  <c r="N210" i="1"/>
  <c r="N208" i="1"/>
  <c r="N206" i="1"/>
  <c r="N204" i="1"/>
  <c r="N202" i="1"/>
  <c r="N200" i="1"/>
  <c r="N198" i="1"/>
  <c r="N196" i="1"/>
  <c r="N194" i="1"/>
  <c r="N192" i="1"/>
  <c r="N190" i="1"/>
  <c r="N188" i="1"/>
  <c r="N186" i="1"/>
  <c r="M380" i="3" l="1"/>
  <c r="M376" i="3"/>
  <c r="N376" i="3"/>
  <c r="M374" i="3"/>
  <c r="M372" i="3"/>
  <c r="M370" i="3"/>
  <c r="M368" i="3"/>
  <c r="M366" i="3"/>
  <c r="M364" i="3"/>
  <c r="M362" i="3"/>
  <c r="M360" i="3"/>
  <c r="M358" i="3"/>
  <c r="M356" i="3"/>
  <c r="M354" i="3"/>
  <c r="M352" i="3"/>
  <c r="M350" i="3"/>
  <c r="M348" i="3"/>
  <c r="M346" i="3"/>
  <c r="O340" i="3"/>
  <c r="M340" i="3" s="1"/>
  <c r="O338" i="3"/>
  <c r="N336" i="3"/>
  <c r="M344" i="3"/>
  <c r="M342" i="3"/>
  <c r="M338" i="3"/>
  <c r="M332" i="3"/>
  <c r="M378" i="3"/>
  <c r="M334" i="3" l="1"/>
  <c r="M336" i="3"/>
  <c r="M330" i="3"/>
  <c r="M328" i="3"/>
  <c r="M326" i="3"/>
  <c r="N324" i="3"/>
  <c r="M324" i="3" s="1"/>
  <c r="N261" i="3"/>
  <c r="O259" i="3"/>
  <c r="N259" i="3"/>
  <c r="N286" i="3"/>
  <c r="O286" i="3"/>
  <c r="N290" i="3"/>
  <c r="N322" i="3"/>
  <c r="M322" i="3" s="1"/>
  <c r="N278" i="3"/>
  <c r="O320" i="3"/>
  <c r="N320" i="3"/>
  <c r="M320" i="3" s="1"/>
  <c r="G320" i="3"/>
  <c r="I320" i="3" s="1"/>
  <c r="O280" i="3"/>
  <c r="P288" i="3"/>
  <c r="O288" i="3"/>
  <c r="N288" i="3"/>
  <c r="P263" i="3"/>
  <c r="O263" i="3"/>
  <c r="N263" i="3"/>
  <c r="U318" i="3"/>
  <c r="S318" i="3"/>
  <c r="R318" i="3"/>
  <c r="Q318" i="3"/>
  <c r="O318" i="3"/>
  <c r="P318" i="3"/>
  <c r="N318" i="3"/>
  <c r="G318" i="3"/>
  <c r="I318" i="3" s="1"/>
  <c r="P316" i="3"/>
  <c r="O316" i="3"/>
  <c r="N316" i="3"/>
  <c r="G316" i="3"/>
  <c r="I316" i="3" s="1"/>
  <c r="N268" i="3"/>
  <c r="M316" i="3" l="1"/>
  <c r="K320" i="3"/>
  <c r="J320" i="3"/>
  <c r="M318" i="3"/>
  <c r="K318" i="3"/>
  <c r="J318" i="3"/>
  <c r="J316" i="3"/>
  <c r="K316" i="3"/>
  <c r="S266" i="3"/>
  <c r="G315" i="3"/>
  <c r="I315" i="3" s="1"/>
  <c r="M314" i="3"/>
  <c r="G314" i="3"/>
  <c r="I314" i="3" s="1"/>
  <c r="Q282" i="3"/>
  <c r="N284" i="3"/>
  <c r="R274" i="3"/>
  <c r="Q274" i="3"/>
  <c r="O274" i="3"/>
  <c r="O292" i="3"/>
  <c r="N292" i="3"/>
  <c r="N423" i="3"/>
  <c r="M423" i="3" s="1"/>
  <c r="N425" i="3"/>
  <c r="O427" i="3"/>
  <c r="N427" i="3"/>
  <c r="M427" i="3" s="1"/>
  <c r="N431" i="3"/>
  <c r="M431" i="3" s="1"/>
  <c r="M425" i="3"/>
  <c r="M429" i="3"/>
  <c r="N435" i="3"/>
  <c r="M435" i="3" s="1"/>
  <c r="M433" i="3"/>
  <c r="O437" i="3"/>
  <c r="N437" i="3"/>
  <c r="M437" i="3" s="1"/>
  <c r="R421" i="3"/>
  <c r="O421" i="3"/>
  <c r="N421" i="3"/>
  <c r="R413" i="3"/>
  <c r="P413" i="3"/>
  <c r="R399" i="3"/>
  <c r="O411" i="3"/>
  <c r="N401" i="3"/>
  <c r="K315" i="3" l="1"/>
  <c r="J315" i="3"/>
  <c r="K314" i="3"/>
  <c r="J314" i="3"/>
  <c r="S405" i="3"/>
  <c r="R405" i="3"/>
  <c r="P405" i="3"/>
  <c r="M421" i="3"/>
  <c r="M419" i="3"/>
  <c r="T439" i="3"/>
  <c r="S439" i="3"/>
  <c r="O439" i="3"/>
  <c r="N439" i="3"/>
  <c r="M392" i="3"/>
  <c r="P417" i="3"/>
  <c r="N417" i="3"/>
  <c r="M417" i="3" s="1"/>
  <c r="T409" i="3"/>
  <c r="P409" i="3"/>
  <c r="O409" i="3"/>
  <c r="N396" i="3"/>
  <c r="Q403" i="3"/>
  <c r="O415" i="3"/>
  <c r="M415" i="3"/>
  <c r="N472" i="3" l="1"/>
  <c r="Q456" i="3"/>
  <c r="O456" i="3"/>
  <c r="N456" i="3"/>
  <c r="U491" i="3"/>
  <c r="T491" i="3"/>
  <c r="S491" i="3"/>
  <c r="R491" i="3"/>
  <c r="N491" i="3"/>
  <c r="O491" i="3"/>
  <c r="G491" i="3"/>
  <c r="I491" i="3" s="1"/>
  <c r="S364" i="1"/>
  <c r="V364" i="1"/>
  <c r="W364" i="1"/>
  <c r="X364" i="1"/>
  <c r="Z364" i="1"/>
  <c r="N489" i="3"/>
  <c r="M489" i="3" s="1"/>
  <c r="O487" i="3"/>
  <c r="N487" i="3"/>
  <c r="G487" i="3"/>
  <c r="I487" i="3" s="1"/>
  <c r="N485" i="3"/>
  <c r="M485" i="3" s="1"/>
  <c r="G485" i="3"/>
  <c r="I485" i="3" s="1"/>
  <c r="O483" i="3"/>
  <c r="N483" i="3"/>
  <c r="M487" i="3" l="1"/>
  <c r="M491" i="3"/>
  <c r="J491" i="3"/>
  <c r="K491" i="3"/>
  <c r="J487" i="3"/>
  <c r="K487" i="3"/>
  <c r="J485" i="3"/>
  <c r="K485" i="3"/>
  <c r="M483" i="3"/>
  <c r="N458" i="3"/>
  <c r="N481" i="3"/>
  <c r="M481" i="3" s="1"/>
  <c r="G481" i="3"/>
  <c r="I481" i="3" s="1"/>
  <c r="M480" i="3"/>
  <c r="G480" i="3"/>
  <c r="I480" i="3" s="1"/>
  <c r="R447" i="3"/>
  <c r="T447" i="3"/>
  <c r="P449" i="3"/>
  <c r="O449" i="3"/>
  <c r="Q460" i="3"/>
  <c r="Q464" i="3"/>
  <c r="Q451" i="3"/>
  <c r="N451" i="3"/>
  <c r="N302" i="1"/>
  <c r="H302" i="1"/>
  <c r="G302" i="1"/>
  <c r="I302" i="1" s="1"/>
  <c r="N300" i="1"/>
  <c r="H300" i="1"/>
  <c r="G300" i="1"/>
  <c r="I300" i="1" s="1"/>
  <c r="N298" i="1"/>
  <c r="H298" i="1"/>
  <c r="G298" i="1"/>
  <c r="I298" i="1" s="1"/>
  <c r="N296" i="1"/>
  <c r="H296" i="1"/>
  <c r="G296" i="1"/>
  <c r="I296" i="1" s="1"/>
  <c r="N294" i="1"/>
  <c r="H294" i="1"/>
  <c r="G294" i="1"/>
  <c r="I294" i="1" s="1"/>
  <c r="N292" i="1"/>
  <c r="H292" i="1"/>
  <c r="G292" i="1"/>
  <c r="I292" i="1" s="1"/>
  <c r="N290" i="1"/>
  <c r="H290" i="1"/>
  <c r="G290" i="1"/>
  <c r="I290" i="1" s="1"/>
  <c r="G288" i="1"/>
  <c r="I288" i="1" s="1"/>
  <c r="J288" i="1" s="1"/>
  <c r="H288" i="1"/>
  <c r="N288" i="1"/>
  <c r="E303" i="1"/>
  <c r="F303" i="1"/>
  <c r="N303" i="1"/>
  <c r="N286" i="1"/>
  <c r="H286" i="1"/>
  <c r="G286" i="1"/>
  <c r="I286" i="1" s="1"/>
  <c r="N284" i="1"/>
  <c r="H284" i="1"/>
  <c r="G284" i="1"/>
  <c r="I284" i="1" s="1"/>
  <c r="N282" i="1"/>
  <c r="H282" i="1"/>
  <c r="G282" i="1"/>
  <c r="I282" i="1" s="1"/>
  <c r="N280" i="1"/>
  <c r="H280" i="1"/>
  <c r="G280" i="1"/>
  <c r="I280" i="1" s="1"/>
  <c r="N278" i="1"/>
  <c r="H278" i="1"/>
  <c r="G278" i="1"/>
  <c r="N276" i="1"/>
  <c r="H276" i="1"/>
  <c r="G276" i="1"/>
  <c r="N274" i="1"/>
  <c r="H274" i="1"/>
  <c r="G274" i="1"/>
  <c r="N272" i="1"/>
  <c r="H272" i="1"/>
  <c r="G272" i="1"/>
  <c r="I272" i="1" s="1"/>
  <c r="N270" i="1"/>
  <c r="H270" i="1"/>
  <c r="G270" i="1"/>
  <c r="I270" i="1" s="1"/>
  <c r="N268" i="1"/>
  <c r="H268" i="1"/>
  <c r="G268" i="1"/>
  <c r="N264" i="1"/>
  <c r="N266" i="1"/>
  <c r="N260" i="1"/>
  <c r="N262" i="1"/>
  <c r="J480" i="3" l="1"/>
  <c r="K480" i="3"/>
  <c r="K481" i="3"/>
  <c r="J481" i="3"/>
  <c r="J302" i="1"/>
  <c r="K302" i="1"/>
  <c r="K300" i="1"/>
  <c r="J300" i="1"/>
  <c r="J298" i="1"/>
  <c r="K298" i="1"/>
  <c r="J296" i="1"/>
  <c r="K296" i="1"/>
  <c r="K294" i="1"/>
  <c r="J294" i="1"/>
  <c r="K292" i="1"/>
  <c r="J292" i="1"/>
  <c r="K290" i="1"/>
  <c r="J290" i="1"/>
  <c r="I278" i="1"/>
  <c r="J278" i="1" s="1"/>
  <c r="I268" i="1"/>
  <c r="I276" i="1"/>
  <c r="K288" i="1"/>
  <c r="J286" i="1"/>
  <c r="K286" i="1"/>
  <c r="K284" i="1"/>
  <c r="J284" i="1"/>
  <c r="K282" i="1"/>
  <c r="J282" i="1"/>
  <c r="K280" i="1"/>
  <c r="J280" i="1"/>
  <c r="I274" i="1"/>
  <c r="J274" i="1" s="1"/>
  <c r="K278" i="1"/>
  <c r="K276" i="1"/>
  <c r="J276" i="1"/>
  <c r="K272" i="1"/>
  <c r="J272" i="1"/>
  <c r="K270" i="1"/>
  <c r="J270" i="1"/>
  <c r="J268" i="1"/>
  <c r="K268" i="1"/>
  <c r="N258" i="1"/>
  <c r="N256" i="1"/>
  <c r="N254" i="1"/>
  <c r="C404" i="1"/>
  <c r="N411" i="1"/>
  <c r="C402" i="1"/>
  <c r="C400" i="1"/>
  <c r="C409" i="1"/>
  <c r="K274" i="1" l="1"/>
  <c r="M362" i="1"/>
  <c r="N380" i="1"/>
  <c r="M356" i="1"/>
  <c r="M335" i="1"/>
  <c r="M326" i="1"/>
  <c r="N337" i="1"/>
  <c r="N326" i="1"/>
  <c r="M341" i="1" l="1"/>
  <c r="N345" i="1"/>
  <c r="M66" i="7"/>
  <c r="M65" i="7"/>
  <c r="M64" i="7"/>
  <c r="M63" i="7"/>
  <c r="M62" i="7"/>
  <c r="M61" i="7"/>
  <c r="M60" i="7"/>
  <c r="M59" i="7"/>
  <c r="M58" i="7"/>
  <c r="M57" i="7"/>
  <c r="M56" i="7"/>
  <c r="M55" i="7"/>
  <c r="M54" i="7"/>
  <c r="M53" i="7"/>
  <c r="M52" i="7"/>
  <c r="M51" i="7"/>
  <c r="M50" i="7"/>
  <c r="M44" i="7"/>
  <c r="M43" i="7"/>
  <c r="M42" i="7"/>
  <c r="M41" i="7"/>
  <c r="M40" i="7"/>
  <c r="M39" i="7"/>
  <c r="M38" i="7"/>
  <c r="M37" i="7"/>
  <c r="M36" i="7"/>
  <c r="M35" i="7"/>
  <c r="M34" i="7"/>
  <c r="M33" i="7"/>
  <c r="M32" i="7"/>
  <c r="M31" i="7"/>
  <c r="M30" i="7"/>
  <c r="M29" i="7"/>
  <c r="M28" i="7"/>
  <c r="M22" i="7"/>
  <c r="M21" i="7"/>
  <c r="M20" i="7"/>
  <c r="M19" i="7"/>
  <c r="M18" i="7"/>
  <c r="M17" i="7"/>
  <c r="M16" i="7"/>
  <c r="M15" i="7"/>
  <c r="M14" i="7"/>
  <c r="M13" i="7"/>
  <c r="M12" i="7"/>
  <c r="M11" i="7"/>
  <c r="M10" i="7"/>
  <c r="M9" i="7"/>
  <c r="M8" i="7"/>
  <c r="M7" i="7"/>
  <c r="M6" i="7"/>
  <c r="M23" i="7"/>
  <c r="M45" i="7"/>
  <c r="M67" i="7"/>
  <c r="M68" i="6"/>
  <c r="M46" i="6"/>
  <c r="M35" i="6"/>
  <c r="M11" i="6"/>
  <c r="M67" i="6"/>
  <c r="M66" i="6"/>
  <c r="M65" i="6"/>
  <c r="M64" i="6"/>
  <c r="M63" i="6"/>
  <c r="M62" i="6"/>
  <c r="M61" i="6"/>
  <c r="M60" i="6"/>
  <c r="M59" i="6"/>
  <c r="M58" i="6"/>
  <c r="M57" i="6"/>
  <c r="M56" i="6"/>
  <c r="M55" i="6"/>
  <c r="M54" i="6"/>
  <c r="M53" i="6"/>
  <c r="M52" i="6"/>
  <c r="M51" i="6"/>
  <c r="M45" i="6"/>
  <c r="M44" i="6"/>
  <c r="M43" i="6"/>
  <c r="M42" i="6"/>
  <c r="M41" i="6"/>
  <c r="M40" i="6"/>
  <c r="M34" i="6"/>
  <c r="M33" i="6"/>
  <c r="M32" i="6"/>
  <c r="M31" i="6"/>
  <c r="M30" i="6"/>
  <c r="M29" i="6"/>
  <c r="M28" i="6"/>
  <c r="M27" i="6"/>
  <c r="M26" i="6"/>
  <c r="M25" i="6"/>
  <c r="M24" i="6"/>
  <c r="M23" i="6"/>
  <c r="M22" i="6"/>
  <c r="M21" i="6"/>
  <c r="M20" i="6"/>
  <c r="M19" i="6"/>
  <c r="M18" i="6"/>
  <c r="M17" i="6"/>
  <c r="M16" i="6"/>
  <c r="M10" i="6"/>
  <c r="M9" i="6"/>
  <c r="M8" i="6"/>
  <c r="M7" i="6"/>
  <c r="M6" i="6"/>
  <c r="M35" i="5"/>
  <c r="M34" i="5"/>
  <c r="M33" i="5"/>
  <c r="M32" i="5"/>
  <c r="M31" i="5"/>
  <c r="M30" i="5"/>
  <c r="M29" i="5"/>
  <c r="M28" i="5"/>
  <c r="M27" i="5"/>
  <c r="M26" i="5"/>
  <c r="M25" i="5"/>
  <c r="M24" i="5"/>
  <c r="M23" i="5"/>
  <c r="M22" i="5"/>
  <c r="M21" i="5"/>
  <c r="M20" i="5"/>
  <c r="M19" i="5"/>
  <c r="M18" i="5"/>
  <c r="M17" i="5"/>
  <c r="M16" i="5"/>
  <c r="M15" i="5"/>
  <c r="M14" i="5"/>
  <c r="M13" i="5"/>
  <c r="M12" i="5"/>
  <c r="M11" i="5"/>
  <c r="M10" i="5"/>
  <c r="M9" i="5"/>
  <c r="M8" i="5"/>
  <c r="M7" i="5"/>
  <c r="M6" i="5"/>
  <c r="M36" i="5"/>
  <c r="M73" i="4"/>
  <c r="M81" i="4"/>
  <c r="M91" i="4"/>
  <c r="M99" i="4"/>
  <c r="M110" i="4"/>
  <c r="M118" i="4"/>
  <c r="M138" i="4"/>
  <c r="M158" i="4"/>
  <c r="M162" i="2"/>
  <c r="M157" i="4"/>
  <c r="M156" i="4"/>
  <c r="M155" i="4"/>
  <c r="M154" i="4"/>
  <c r="M153" i="4"/>
  <c r="M152" i="4"/>
  <c r="M151" i="4"/>
  <c r="M150" i="4"/>
  <c r="M149" i="4"/>
  <c r="M148" i="4"/>
  <c r="M147" i="4"/>
  <c r="M146" i="4"/>
  <c r="M145" i="4"/>
  <c r="M144" i="4"/>
  <c r="M143" i="4"/>
  <c r="M137" i="4"/>
  <c r="M136" i="4"/>
  <c r="M135" i="4"/>
  <c r="M134" i="4"/>
  <c r="M133" i="4"/>
  <c r="M132" i="4"/>
  <c r="M131" i="4"/>
  <c r="M130" i="4"/>
  <c r="M129" i="4"/>
  <c r="M128" i="4"/>
  <c r="M127" i="4"/>
  <c r="M126" i="4"/>
  <c r="M125" i="4"/>
  <c r="M124" i="4"/>
  <c r="M123" i="4"/>
  <c r="M117" i="4"/>
  <c r="M116" i="4"/>
  <c r="M115" i="4"/>
  <c r="M109" i="4"/>
  <c r="M108" i="4"/>
  <c r="M107" i="4"/>
  <c r="M106" i="4"/>
  <c r="M105" i="4"/>
  <c r="M104" i="4"/>
  <c r="M98" i="4"/>
  <c r="M97" i="4"/>
  <c r="M96" i="4"/>
  <c r="M90" i="4"/>
  <c r="M89" i="4"/>
  <c r="M88" i="4"/>
  <c r="M87" i="4"/>
  <c r="M86" i="4"/>
  <c r="M80" i="4"/>
  <c r="M79" i="4"/>
  <c r="M78" i="4"/>
  <c r="M72" i="4"/>
  <c r="M71" i="4"/>
  <c r="M41" i="4"/>
  <c r="M40" i="4"/>
  <c r="M39" i="4"/>
  <c r="M38" i="4"/>
  <c r="M37" i="4"/>
  <c r="M36" i="4"/>
  <c r="M35" i="4"/>
  <c r="M34" i="4"/>
  <c r="M33" i="4"/>
  <c r="M24" i="4"/>
  <c r="M23" i="4"/>
  <c r="M22" i="4"/>
  <c r="M21" i="4"/>
  <c r="M20" i="4"/>
  <c r="M19" i="4"/>
  <c r="M17" i="4"/>
  <c r="M16" i="4"/>
  <c r="M15" i="4"/>
  <c r="M14" i="4"/>
  <c r="M13" i="4"/>
  <c r="M12" i="4"/>
  <c r="M18" i="4"/>
  <c r="M11" i="4"/>
  <c r="M10" i="4"/>
  <c r="M9" i="4"/>
  <c r="M8" i="4"/>
  <c r="M7" i="4"/>
  <c r="M6" i="4"/>
  <c r="M66" i="4"/>
  <c r="M65" i="4"/>
  <c r="M64" i="4"/>
  <c r="M63" i="4"/>
  <c r="M62" i="4"/>
  <c r="M61" i="4"/>
  <c r="M60" i="4"/>
  <c r="M55" i="4"/>
  <c r="M54" i="4"/>
  <c r="M53" i="4"/>
  <c r="M52" i="4"/>
  <c r="M51" i="4"/>
  <c r="M50" i="4"/>
  <c r="M45" i="4"/>
  <c r="M44" i="4"/>
  <c r="M43" i="4"/>
  <c r="M42" i="4"/>
  <c r="M28" i="4"/>
  <c r="M27" i="4"/>
  <c r="M26" i="4"/>
  <c r="M25" i="4"/>
  <c r="M44" i="3"/>
  <c r="M26" i="3"/>
  <c r="M66" i="3"/>
  <c r="M88" i="3"/>
  <c r="M121" i="3"/>
  <c r="M182" i="3"/>
  <c r="M224" i="3"/>
  <c r="M383" i="3"/>
  <c r="M440" i="3"/>
  <c r="M492" i="3"/>
  <c r="M515" i="3"/>
  <c r="M538" i="3"/>
  <c r="M576" i="3"/>
  <c r="M602" i="3"/>
  <c r="M601" i="3"/>
  <c r="M600" i="3"/>
  <c r="M599" i="3"/>
  <c r="M598" i="3"/>
  <c r="M597" i="3"/>
  <c r="M596" i="3"/>
  <c r="M595" i="3"/>
  <c r="M594" i="3"/>
  <c r="M593" i="3"/>
  <c r="M592" i="3"/>
  <c r="M591" i="3"/>
  <c r="M590" i="3"/>
  <c r="M589" i="3"/>
  <c r="M588" i="3"/>
  <c r="M587" i="3"/>
  <c r="M586" i="3"/>
  <c r="M585" i="3"/>
  <c r="M584" i="3"/>
  <c r="M583" i="3"/>
  <c r="M582" i="3"/>
  <c r="M581" i="3"/>
  <c r="M575" i="3"/>
  <c r="M574" i="3"/>
  <c r="M573" i="3"/>
  <c r="M572" i="3"/>
  <c r="M571" i="3"/>
  <c r="M570" i="3"/>
  <c r="M569" i="3"/>
  <c r="M568" i="3"/>
  <c r="M567" i="3"/>
  <c r="M566" i="3"/>
  <c r="M565" i="3"/>
  <c r="M564" i="3"/>
  <c r="M563" i="3"/>
  <c r="M562" i="3"/>
  <c r="M561" i="3"/>
  <c r="M560" i="3"/>
  <c r="M559" i="3"/>
  <c r="M558" i="3"/>
  <c r="M557" i="3"/>
  <c r="M556" i="3"/>
  <c r="M555" i="3"/>
  <c r="M554" i="3"/>
  <c r="M553" i="3"/>
  <c r="M552" i="3"/>
  <c r="M551" i="3"/>
  <c r="M550" i="3"/>
  <c r="M549" i="3"/>
  <c r="M548" i="3"/>
  <c r="M547" i="3"/>
  <c r="M546" i="3"/>
  <c r="M545" i="3"/>
  <c r="M544" i="3"/>
  <c r="M543" i="3"/>
  <c r="M537" i="3"/>
  <c r="M536" i="3"/>
  <c r="M535" i="3"/>
  <c r="M534" i="3"/>
  <c r="M533" i="3"/>
  <c r="M532" i="3"/>
  <c r="M531" i="3"/>
  <c r="M530" i="3"/>
  <c r="M529" i="3"/>
  <c r="M528" i="3"/>
  <c r="M527" i="3"/>
  <c r="M526" i="3"/>
  <c r="M525" i="3"/>
  <c r="M524" i="3"/>
  <c r="M523" i="3"/>
  <c r="M522" i="3"/>
  <c r="M521" i="3"/>
  <c r="M520" i="3"/>
  <c r="M514" i="3"/>
  <c r="M513" i="3"/>
  <c r="M512" i="3"/>
  <c r="M511" i="3"/>
  <c r="M510" i="3"/>
  <c r="M509" i="3"/>
  <c r="M508" i="3"/>
  <c r="M507" i="3"/>
  <c r="M506" i="3"/>
  <c r="M505" i="3"/>
  <c r="M504" i="3"/>
  <c r="M503" i="3"/>
  <c r="M502" i="3"/>
  <c r="M501" i="3"/>
  <c r="M500" i="3"/>
  <c r="M499" i="3"/>
  <c r="M498" i="3"/>
  <c r="M497" i="3"/>
  <c r="M479" i="3"/>
  <c r="M477" i="3"/>
  <c r="M475" i="3"/>
  <c r="M474" i="3"/>
  <c r="M473" i="3"/>
  <c r="M472" i="3"/>
  <c r="M470" i="3"/>
  <c r="M468" i="3"/>
  <c r="M466" i="3"/>
  <c r="M464" i="3"/>
  <c r="M462" i="3"/>
  <c r="M460" i="3"/>
  <c r="M458" i="3"/>
  <c r="M456" i="3"/>
  <c r="M454" i="3"/>
  <c r="M452" i="3"/>
  <c r="M451" i="3"/>
  <c r="M449" i="3"/>
  <c r="M447" i="3"/>
  <c r="M445" i="3"/>
  <c r="M439" i="3"/>
  <c r="M413" i="3"/>
  <c r="M411" i="3"/>
  <c r="M409" i="3"/>
  <c r="M407" i="3"/>
  <c r="M405" i="3"/>
  <c r="M403" i="3"/>
  <c r="M401" i="3"/>
  <c r="M399" i="3"/>
  <c r="M397" i="3"/>
  <c r="M396" i="3"/>
  <c r="M394" i="3"/>
  <c r="M390" i="3"/>
  <c r="M388" i="3"/>
  <c r="M382" i="3"/>
  <c r="M312" i="3"/>
  <c r="M311" i="3"/>
  <c r="M310" i="3"/>
  <c r="M309" i="3"/>
  <c r="M308" i="3"/>
  <c r="M307" i="3"/>
  <c r="M305" i="3"/>
  <c r="M303" i="3"/>
  <c r="M302" i="3"/>
  <c r="M300" i="3"/>
  <c r="M298" i="3"/>
  <c r="M296" i="3"/>
  <c r="M294" i="3"/>
  <c r="M293" i="3"/>
  <c r="M292" i="3"/>
  <c r="M290" i="3"/>
  <c r="M288" i="3"/>
  <c r="M286" i="3"/>
  <c r="M284" i="3"/>
  <c r="M282" i="3"/>
  <c r="M280" i="3"/>
  <c r="M278" i="3"/>
  <c r="M276" i="3"/>
  <c r="M274" i="3"/>
  <c r="M272" i="3"/>
  <c r="M270" i="3"/>
  <c r="M268" i="3"/>
  <c r="M266" i="3"/>
  <c r="M264" i="3"/>
  <c r="M263" i="3"/>
  <c r="M261" i="3"/>
  <c r="M259" i="3"/>
  <c r="M257" i="3"/>
  <c r="M251" i="3"/>
  <c r="M250" i="3"/>
  <c r="M249" i="3"/>
  <c r="M248" i="3"/>
  <c r="M247" i="3"/>
  <c r="M246" i="3"/>
  <c r="M245" i="3"/>
  <c r="M244" i="3"/>
  <c r="M243" i="3"/>
  <c r="M242" i="3"/>
  <c r="M241" i="3"/>
  <c r="M240" i="3"/>
  <c r="M239" i="3"/>
  <c r="M238" i="3"/>
  <c r="M237" i="3"/>
  <c r="M236" i="3"/>
  <c r="M235" i="3"/>
  <c r="M234" i="3"/>
  <c r="M233" i="3"/>
  <c r="M232" i="3"/>
  <c r="M231" i="3"/>
  <c r="M230" i="3"/>
  <c r="M229" i="3"/>
  <c r="M223" i="3"/>
  <c r="M222" i="3"/>
  <c r="M221" i="3"/>
  <c r="M220" i="3"/>
  <c r="M219" i="3"/>
  <c r="M218" i="3"/>
  <c r="M217" i="3"/>
  <c r="M216" i="3"/>
  <c r="M215" i="3"/>
  <c r="M214" i="3"/>
  <c r="M213" i="3"/>
  <c r="M212" i="3"/>
  <c r="M211" i="3"/>
  <c r="M210" i="3"/>
  <c r="M209" i="3"/>
  <c r="M207" i="3"/>
  <c r="M206" i="3"/>
  <c r="M205" i="3"/>
  <c r="M204" i="3"/>
  <c r="M203" i="3"/>
  <c r="M208" i="3"/>
  <c r="M202" i="3"/>
  <c r="M201" i="3"/>
  <c r="M200" i="3"/>
  <c r="M199" i="3"/>
  <c r="M198" i="3"/>
  <c r="M197" i="3"/>
  <c r="M196" i="3"/>
  <c r="M195" i="3"/>
  <c r="M194" i="3"/>
  <c r="M193" i="3"/>
  <c r="M191" i="3"/>
  <c r="M190" i="3"/>
  <c r="M189" i="3"/>
  <c r="M188" i="3"/>
  <c r="M187" i="3"/>
  <c r="M192" i="3"/>
  <c r="M181" i="3"/>
  <c r="M180" i="3"/>
  <c r="M179" i="3"/>
  <c r="M178" i="3"/>
  <c r="M177" i="3"/>
  <c r="M176" i="3"/>
  <c r="M175" i="3"/>
  <c r="M174" i="3"/>
  <c r="M173" i="3"/>
  <c r="M172" i="3"/>
  <c r="M171" i="3"/>
  <c r="M170" i="3"/>
  <c r="M169" i="3"/>
  <c r="M168" i="3"/>
  <c r="M167" i="3"/>
  <c r="M166" i="3"/>
  <c r="M165" i="3"/>
  <c r="M164" i="3"/>
  <c r="M163" i="3"/>
  <c r="M162" i="3"/>
  <c r="M161" i="3"/>
  <c r="M160" i="3"/>
  <c r="M159" i="3"/>
  <c r="M158" i="3"/>
  <c r="M157" i="3"/>
  <c r="M156" i="3"/>
  <c r="M155" i="3"/>
  <c r="M154" i="3"/>
  <c r="M153" i="3"/>
  <c r="M152" i="3"/>
  <c r="M151" i="3"/>
  <c r="M150" i="3"/>
  <c r="M149" i="3"/>
  <c r="M148" i="3"/>
  <c r="M147" i="3"/>
  <c r="M146" i="3"/>
  <c r="M145" i="3"/>
  <c r="M144" i="3"/>
  <c r="M143" i="3"/>
  <c r="M142" i="3"/>
  <c r="M141" i="3"/>
  <c r="M140" i="3"/>
  <c r="M139" i="3"/>
  <c r="M138" i="3"/>
  <c r="M137" i="3"/>
  <c r="M136" i="3"/>
  <c r="M135" i="3"/>
  <c r="M134" i="3"/>
  <c r="M133" i="3"/>
  <c r="M132" i="3"/>
  <c r="M131" i="3"/>
  <c r="M130" i="3"/>
  <c r="M129" i="3"/>
  <c r="M128" i="3"/>
  <c r="M127" i="3"/>
  <c r="M126" i="3"/>
  <c r="M120" i="3"/>
  <c r="M119" i="3"/>
  <c r="M118" i="3"/>
  <c r="M117" i="3"/>
  <c r="M116" i="3"/>
  <c r="M115" i="3"/>
  <c r="M114" i="3"/>
  <c r="M113" i="3"/>
  <c r="M112" i="3"/>
  <c r="M111" i="3"/>
  <c r="M110" i="3"/>
  <c r="M109" i="3"/>
  <c r="M108" i="3"/>
  <c r="M107" i="3"/>
  <c r="M106" i="3"/>
  <c r="M105" i="3"/>
  <c r="M104" i="3"/>
  <c r="M103" i="3"/>
  <c r="M102" i="3"/>
  <c r="M101" i="3"/>
  <c r="M100" i="3"/>
  <c r="M99" i="3"/>
  <c r="M98" i="3"/>
  <c r="M97" i="3"/>
  <c r="M96" i="3"/>
  <c r="M95" i="3"/>
  <c r="M94" i="3"/>
  <c r="M93" i="3"/>
  <c r="M87" i="3"/>
  <c r="M86" i="3"/>
  <c r="M85" i="3"/>
  <c r="M84" i="3"/>
  <c r="M83" i="3"/>
  <c r="M82" i="3"/>
  <c r="M81" i="3"/>
  <c r="M80" i="3"/>
  <c r="M79" i="3"/>
  <c r="M78" i="3"/>
  <c r="M77" i="3"/>
  <c r="M75" i="3"/>
  <c r="M74" i="3"/>
  <c r="M73" i="3"/>
  <c r="M72" i="3"/>
  <c r="M71" i="3"/>
  <c r="M76" i="3"/>
  <c r="M65" i="3"/>
  <c r="M64" i="3"/>
  <c r="M63" i="3"/>
  <c r="M62" i="3"/>
  <c r="M61" i="3"/>
  <c r="M60" i="3"/>
  <c r="M59" i="3"/>
  <c r="M58" i="3"/>
  <c r="M57" i="3"/>
  <c r="M56" i="3"/>
  <c r="M55" i="3"/>
  <c r="M54" i="3"/>
  <c r="M53" i="3"/>
  <c r="M52" i="3"/>
  <c r="M51" i="3"/>
  <c r="M50" i="3"/>
  <c r="M49" i="3"/>
  <c r="M43" i="3"/>
  <c r="M42" i="3"/>
  <c r="M41" i="3"/>
  <c r="M40" i="3"/>
  <c r="M39" i="3"/>
  <c r="M38" i="3"/>
  <c r="M37" i="3"/>
  <c r="M36" i="3"/>
  <c r="M35" i="3"/>
  <c r="M34" i="3"/>
  <c r="M33" i="3"/>
  <c r="M32" i="3"/>
  <c r="M31" i="3"/>
  <c r="M25" i="3"/>
  <c r="M24" i="3"/>
  <c r="M23" i="3"/>
  <c r="M22" i="3"/>
  <c r="M21" i="3"/>
  <c r="M20" i="3"/>
  <c r="M19" i="3"/>
  <c r="M18" i="3"/>
  <c r="M17" i="3"/>
  <c r="M16" i="3"/>
  <c r="M15" i="3"/>
  <c r="M14" i="3"/>
  <c r="M13" i="3"/>
  <c r="M12" i="3"/>
  <c r="M11" i="3"/>
  <c r="M10" i="3"/>
  <c r="M9" i="3"/>
  <c r="M8" i="3"/>
  <c r="M7" i="3"/>
  <c r="M6" i="3"/>
  <c r="M267" i="2"/>
  <c r="M249" i="2"/>
  <c r="M226" i="2"/>
  <c r="M196" i="2"/>
  <c r="M183" i="2"/>
  <c r="M152" i="2"/>
  <c r="M141" i="2"/>
  <c r="M131" i="2"/>
  <c r="M123" i="2"/>
  <c r="M115" i="2"/>
  <c r="M105" i="2"/>
  <c r="M92" i="2"/>
  <c r="M79" i="2"/>
  <c r="M67" i="2"/>
  <c r="M56" i="2"/>
  <c r="M42" i="2"/>
  <c r="M33" i="2"/>
  <c r="M23" i="2"/>
  <c r="M13" i="2"/>
  <c r="M257" i="2"/>
  <c r="M256" i="2"/>
  <c r="M255" i="2"/>
  <c r="M254" i="2"/>
  <c r="M191" i="2"/>
  <c r="M190" i="2"/>
  <c r="M189" i="2"/>
  <c r="M188" i="2"/>
  <c r="M180" i="2"/>
  <c r="M179" i="2"/>
  <c r="M178" i="2"/>
  <c r="M177" i="2"/>
  <c r="M176" i="2"/>
  <c r="M175" i="2"/>
  <c r="M174" i="2"/>
  <c r="M173" i="2"/>
  <c r="M172" i="2"/>
  <c r="M161" i="2"/>
  <c r="M160" i="2"/>
  <c r="M159" i="2"/>
  <c r="M104" i="2"/>
  <c r="M103" i="2"/>
  <c r="M102" i="2"/>
  <c r="M101" i="2"/>
  <c r="M86" i="2"/>
  <c r="M85" i="2"/>
  <c r="M84" i="2"/>
  <c r="M65" i="2"/>
  <c r="M64" i="2"/>
  <c r="M63" i="2"/>
  <c r="M62" i="2"/>
  <c r="M61" i="2"/>
  <c r="M49" i="2"/>
  <c r="M48" i="2"/>
  <c r="M47" i="2"/>
  <c r="M231" i="2"/>
  <c r="M232" i="2"/>
  <c r="M233" i="2"/>
  <c r="M234" i="2"/>
  <c r="M266" i="2"/>
  <c r="M265" i="2"/>
  <c r="M264" i="2"/>
  <c r="M263" i="2"/>
  <c r="M262" i="2"/>
  <c r="M261" i="2"/>
  <c r="M260" i="2"/>
  <c r="M259" i="2"/>
  <c r="M258" i="2"/>
  <c r="M248" i="2"/>
  <c r="M247" i="2"/>
  <c r="M246" i="2"/>
  <c r="M245" i="2"/>
  <c r="M244" i="2"/>
  <c r="M243" i="2"/>
  <c r="M242" i="2"/>
  <c r="M241" i="2"/>
  <c r="M240" i="2"/>
  <c r="M239" i="2"/>
  <c r="M238" i="2"/>
  <c r="M237" i="2"/>
  <c r="M236" i="2"/>
  <c r="M235" i="2"/>
  <c r="M225" i="2"/>
  <c r="M224" i="2"/>
  <c r="M223" i="2"/>
  <c r="M222" i="2"/>
  <c r="M221" i="2"/>
  <c r="M220" i="2"/>
  <c r="M219" i="2"/>
  <c r="M218" i="2"/>
  <c r="M217" i="2"/>
  <c r="M216" i="2"/>
  <c r="M211" i="2"/>
  <c r="M210" i="2"/>
  <c r="M209" i="2"/>
  <c r="M208" i="2"/>
  <c r="M207" i="2"/>
  <c r="M206" i="2"/>
  <c r="M205" i="2"/>
  <c r="M204" i="2"/>
  <c r="M203" i="2"/>
  <c r="M202" i="2"/>
  <c r="M201" i="2"/>
  <c r="M195" i="2"/>
  <c r="M194" i="2"/>
  <c r="M193" i="2"/>
  <c r="M192" i="2"/>
  <c r="M182" i="2"/>
  <c r="M181" i="2"/>
  <c r="M171" i="2"/>
  <c r="M170" i="2"/>
  <c r="M169" i="2"/>
  <c r="M168" i="2"/>
  <c r="M167" i="2"/>
  <c r="M158" i="2"/>
  <c r="M157" i="2"/>
  <c r="M151" i="2"/>
  <c r="M150" i="2"/>
  <c r="M149" i="2"/>
  <c r="M148" i="2"/>
  <c r="M147" i="2"/>
  <c r="M146" i="2"/>
  <c r="M140" i="2"/>
  <c r="M139" i="2"/>
  <c r="M138" i="2"/>
  <c r="M137" i="2"/>
  <c r="M136" i="2"/>
  <c r="M130" i="2"/>
  <c r="M129" i="2"/>
  <c r="M128" i="2"/>
  <c r="M122" i="2"/>
  <c r="M121" i="2"/>
  <c r="M120" i="2"/>
  <c r="M114" i="2"/>
  <c r="M113" i="2"/>
  <c r="M112" i="2"/>
  <c r="M111" i="2"/>
  <c r="M100" i="2"/>
  <c r="M99" i="2"/>
  <c r="M98" i="2"/>
  <c r="M97" i="2"/>
  <c r="M91" i="2"/>
  <c r="M90" i="2"/>
  <c r="M89" i="2"/>
  <c r="M88" i="2"/>
  <c r="M87" i="2"/>
  <c r="M78" i="2"/>
  <c r="M77" i="2"/>
  <c r="M76" i="2"/>
  <c r="M75" i="2"/>
  <c r="M74" i="2"/>
  <c r="M73" i="2"/>
  <c r="M72" i="2"/>
  <c r="M66" i="2"/>
  <c r="M55" i="2"/>
  <c r="M54" i="2"/>
  <c r="M53" i="2"/>
  <c r="M52" i="2"/>
  <c r="M51" i="2"/>
  <c r="M50" i="2"/>
  <c r="M41" i="2"/>
  <c r="M40" i="2"/>
  <c r="M39" i="2"/>
  <c r="M38" i="2"/>
  <c r="M32" i="2"/>
  <c r="M31" i="2"/>
  <c r="M30" i="2"/>
  <c r="M29" i="2"/>
  <c r="M28" i="2"/>
  <c r="M22" i="2"/>
  <c r="M21" i="2"/>
  <c r="M20" i="2"/>
  <c r="M19" i="2"/>
  <c r="M18" i="2"/>
  <c r="M12" i="2"/>
  <c r="M11" i="2"/>
  <c r="M10" i="2"/>
  <c r="M9" i="2"/>
  <c r="M8" i="2"/>
  <c r="M7" i="2"/>
  <c r="M6" i="2"/>
  <c r="M5" i="2"/>
  <c r="N478" i="1"/>
  <c r="N479" i="1"/>
  <c r="N480" i="1"/>
  <c r="N481" i="1"/>
  <c r="N482" i="1"/>
  <c r="N483" i="1"/>
  <c r="N484" i="1"/>
  <c r="N485" i="1"/>
  <c r="N465" i="1"/>
  <c r="N445" i="1"/>
  <c r="N446" i="1"/>
  <c r="N447" i="1"/>
  <c r="N448" i="1"/>
  <c r="N449" i="1"/>
  <c r="N450" i="1"/>
  <c r="N451" i="1"/>
  <c r="N452" i="1"/>
  <c r="N425" i="1"/>
  <c r="N426" i="1"/>
  <c r="N427" i="1"/>
  <c r="N428" i="1"/>
  <c r="N429" i="1"/>
  <c r="N430" i="1"/>
  <c r="N431" i="1"/>
  <c r="N432" i="1"/>
  <c r="N398" i="1"/>
  <c r="N400" i="1"/>
  <c r="N402" i="1"/>
  <c r="N404" i="1"/>
  <c r="N406" i="1"/>
  <c r="N407" i="1"/>
  <c r="N409" i="1"/>
  <c r="N412" i="1"/>
  <c r="N366" i="1"/>
  <c r="N368" i="1"/>
  <c r="N370" i="1"/>
  <c r="N372" i="1"/>
  <c r="N374" i="1"/>
  <c r="N376" i="1"/>
  <c r="N378" i="1"/>
  <c r="N381" i="1"/>
  <c r="N324" i="1"/>
  <c r="N328" i="1"/>
  <c r="N329" i="1"/>
  <c r="N331" i="1"/>
  <c r="N333" i="1"/>
  <c r="N335" i="1"/>
  <c r="N339" i="1"/>
  <c r="N341" i="1"/>
  <c r="N343" i="1"/>
  <c r="N346" i="1"/>
  <c r="N252" i="1"/>
  <c r="N154" i="1"/>
  <c r="N155" i="1"/>
  <c r="N156" i="1"/>
  <c r="N157" i="1"/>
  <c r="N158" i="1"/>
  <c r="N159" i="1"/>
  <c r="N160" i="1"/>
  <c r="N161" i="1"/>
  <c r="N162" i="1"/>
  <c r="N163" i="1"/>
  <c r="N164" i="1"/>
  <c r="N165" i="1"/>
  <c r="N166" i="1"/>
  <c r="N167" i="1"/>
  <c r="N168" i="1"/>
  <c r="N169" i="1"/>
  <c r="N170" i="1"/>
  <c r="N171" i="1"/>
  <c r="N131" i="1"/>
  <c r="N133" i="1"/>
  <c r="N134" i="1"/>
  <c r="N135" i="1"/>
  <c r="N103" i="1"/>
  <c r="N101" i="1"/>
  <c r="N102" i="1"/>
  <c r="N82" i="1"/>
  <c r="N477" i="1"/>
  <c r="N476" i="1"/>
  <c r="N475" i="1"/>
  <c r="N474" i="1"/>
  <c r="N473" i="1"/>
  <c r="N472" i="1"/>
  <c r="N471" i="1"/>
  <c r="N470" i="1"/>
  <c r="N464" i="1"/>
  <c r="N463" i="1"/>
  <c r="N462" i="1"/>
  <c r="N461" i="1"/>
  <c r="N460" i="1"/>
  <c r="N459" i="1"/>
  <c r="N458" i="1"/>
  <c r="N457" i="1"/>
  <c r="N444" i="1"/>
  <c r="N443" i="1"/>
  <c r="N442" i="1"/>
  <c r="N441" i="1"/>
  <c r="N440" i="1"/>
  <c r="N439" i="1"/>
  <c r="N438" i="1"/>
  <c r="N437" i="1"/>
  <c r="N424" i="1"/>
  <c r="N423" i="1"/>
  <c r="N422" i="1"/>
  <c r="N421" i="1"/>
  <c r="N420" i="1"/>
  <c r="N419" i="1"/>
  <c r="N418" i="1"/>
  <c r="N417" i="1"/>
  <c r="N396" i="1"/>
  <c r="N394" i="1"/>
  <c r="N392" i="1"/>
  <c r="N391" i="1"/>
  <c r="N389" i="1"/>
  <c r="N388" i="1"/>
  <c r="N387" i="1"/>
  <c r="N386" i="1"/>
  <c r="N364" i="1"/>
  <c r="N362" i="1"/>
  <c r="N360" i="1"/>
  <c r="N358" i="1"/>
  <c r="N357" i="1"/>
  <c r="N356" i="1"/>
  <c r="N354" i="1"/>
  <c r="N352" i="1"/>
  <c r="N322" i="1"/>
  <c r="N320" i="1"/>
  <c r="N318" i="1"/>
  <c r="N316" i="1"/>
  <c r="N314" i="1"/>
  <c r="N312" i="1"/>
  <c r="N310" i="1"/>
  <c r="N308" i="1"/>
  <c r="N250" i="1"/>
  <c r="N248" i="1"/>
  <c r="N246" i="1"/>
  <c r="N244" i="1"/>
  <c r="N242" i="1"/>
  <c r="N240" i="1"/>
  <c r="N238" i="1"/>
  <c r="N236" i="1"/>
  <c r="N231" i="1"/>
  <c r="N230" i="1"/>
  <c r="N228" i="1"/>
  <c r="N184" i="1"/>
  <c r="N182" i="1"/>
  <c r="N180" i="1"/>
  <c r="N178" i="1"/>
  <c r="N176" i="1"/>
  <c r="N153" i="1"/>
  <c r="N152" i="1"/>
  <c r="N151" i="1"/>
  <c r="N150" i="1"/>
  <c r="N149" i="1"/>
  <c r="N148" i="1"/>
  <c r="N147" i="1"/>
  <c r="N146" i="1"/>
  <c r="N145" i="1"/>
  <c r="N144" i="1"/>
  <c r="N143" i="1"/>
  <c r="N142" i="1"/>
  <c r="N141" i="1"/>
  <c r="N140" i="1"/>
  <c r="N129" i="1"/>
  <c r="N127" i="1"/>
  <c r="N125" i="1"/>
  <c r="N123" i="1"/>
  <c r="N121" i="1"/>
  <c r="N120" i="1"/>
  <c r="N118" i="1"/>
  <c r="N116" i="1"/>
  <c r="N114" i="1"/>
  <c r="N112" i="1"/>
  <c r="N111" i="1"/>
  <c r="N110" i="1"/>
  <c r="N109" i="1"/>
  <c r="N108" i="1"/>
  <c r="N100" i="1"/>
  <c r="N99" i="1"/>
  <c r="N98" i="1"/>
  <c r="N97" i="1"/>
  <c r="N96" i="1"/>
  <c r="N95" i="1"/>
  <c r="N94" i="1"/>
  <c r="N93" i="1"/>
  <c r="N92" i="1"/>
  <c r="N91" i="1"/>
  <c r="N90" i="1"/>
  <c r="N89" i="1"/>
  <c r="N88" i="1"/>
  <c r="N87" i="1"/>
  <c r="N81" i="1"/>
  <c r="N80" i="1"/>
  <c r="N79" i="1"/>
  <c r="N78" i="1"/>
  <c r="N77" i="1"/>
  <c r="N76" i="1"/>
  <c r="N75" i="1"/>
  <c r="N74" i="1"/>
  <c r="N73" i="1"/>
  <c r="N72" i="1"/>
  <c r="N71" i="1"/>
  <c r="N70" i="1"/>
  <c r="N69" i="1"/>
  <c r="N68" i="1"/>
  <c r="N63" i="1"/>
  <c r="N62" i="1"/>
  <c r="N61" i="1"/>
  <c r="N60" i="1"/>
  <c r="N59" i="1"/>
  <c r="N58" i="1"/>
  <c r="N57" i="1"/>
  <c r="N56" i="1"/>
  <c r="N55" i="1"/>
  <c r="N54" i="1"/>
  <c r="N53" i="1"/>
  <c r="N52" i="1"/>
  <c r="N51" i="1"/>
  <c r="N50"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F60" i="6" l="1"/>
  <c r="H64" i="6"/>
  <c r="H63" i="6"/>
  <c r="H237" i="2"/>
  <c r="B56" i="8"/>
  <c r="C56" i="8"/>
  <c r="D56" i="8"/>
  <c r="E56" i="8"/>
  <c r="F56" i="8"/>
  <c r="G56" i="8"/>
  <c r="H587" i="3"/>
  <c r="F475" i="1" l="1"/>
  <c r="F261" i="2"/>
  <c r="H472" i="1" l="1"/>
  <c r="H62" i="6"/>
  <c r="H60" i="6"/>
  <c r="H474" i="1" l="1"/>
  <c r="H473" i="1"/>
  <c r="H132" i="4"/>
  <c r="H261" i="2" l="1"/>
  <c r="H61" i="6"/>
  <c r="H264" i="2"/>
  <c r="H590" i="3"/>
  <c r="H589" i="3"/>
  <c r="H475" i="1"/>
  <c r="F264" i="2"/>
  <c r="H588" i="3" l="1"/>
  <c r="H260" i="2"/>
  <c r="H255" i="2"/>
  <c r="H471" i="1"/>
  <c r="H224" i="2"/>
  <c r="H257" i="2"/>
  <c r="F473" i="1" l="1"/>
  <c r="F472" i="1"/>
  <c r="F64" i="6"/>
  <c r="F63" i="6"/>
  <c r="H58" i="6"/>
  <c r="F587" i="3" l="1"/>
  <c r="F586" i="3"/>
  <c r="F585" i="3"/>
  <c r="H586" i="3"/>
  <c r="H585" i="3"/>
  <c r="F262" i="2"/>
  <c r="F260" i="2"/>
  <c r="F259" i="2"/>
  <c r="H262" i="2" l="1"/>
  <c r="H259" i="2"/>
  <c r="H258" i="2"/>
  <c r="H245" i="2"/>
  <c r="H243" i="2"/>
  <c r="H242" i="2"/>
  <c r="H232" i="2"/>
  <c r="H225" i="2"/>
  <c r="H223" i="2"/>
  <c r="H222" i="2"/>
  <c r="H220" i="2"/>
  <c r="H217" i="2"/>
  <c r="H210" i="2"/>
  <c r="H209" i="2"/>
  <c r="H205" i="2"/>
  <c r="H204" i="2"/>
  <c r="H189" i="2"/>
  <c r="H182" i="2"/>
  <c r="H144" i="4" l="1"/>
  <c r="F144" i="4"/>
  <c r="H219" i="2"/>
  <c r="H73" i="2"/>
  <c r="H62" i="2"/>
  <c r="H45" i="6" l="1"/>
  <c r="F25" i="5"/>
  <c r="H25" i="5"/>
  <c r="H24" i="5"/>
  <c r="H583" i="3"/>
  <c r="H582" i="3"/>
  <c r="H256" i="2"/>
  <c r="H244" i="2"/>
  <c r="H236" i="2"/>
  <c r="H235" i="2"/>
  <c r="H207" i="2"/>
  <c r="H206" i="2"/>
  <c r="H180" i="2"/>
  <c r="H179" i="2"/>
  <c r="H177" i="2"/>
  <c r="H176" i="2"/>
  <c r="H175" i="2"/>
  <c r="H174" i="2"/>
  <c r="H173" i="2"/>
  <c r="H172" i="2"/>
  <c r="H171" i="2"/>
  <c r="H170" i="2"/>
  <c r="H169" i="2"/>
  <c r="H168" i="2"/>
  <c r="H160" i="2"/>
  <c r="H159" i="2"/>
  <c r="H151" i="2"/>
  <c r="H150" i="2"/>
  <c r="H148" i="2"/>
  <c r="H147" i="2"/>
  <c r="H139" i="2"/>
  <c r="H138" i="2"/>
  <c r="H137" i="2"/>
  <c r="H130" i="2"/>
  <c r="H129" i="2"/>
  <c r="H122" i="2"/>
  <c r="H121" i="2"/>
  <c r="H114" i="2"/>
  <c r="H113" i="2"/>
  <c r="H112" i="2"/>
  <c r="H104" i="2"/>
  <c r="H103" i="2"/>
  <c r="H102" i="2"/>
  <c r="H100" i="2"/>
  <c r="H99" i="2"/>
  <c r="H98" i="2"/>
  <c r="H91" i="2"/>
  <c r="H90" i="2"/>
  <c r="H89" i="2"/>
  <c r="H88" i="2"/>
  <c r="H78" i="2"/>
  <c r="H77" i="2"/>
  <c r="H76" i="2"/>
  <c r="H75" i="2"/>
  <c r="H74" i="2"/>
  <c r="H66" i="2"/>
  <c r="H65" i="2"/>
  <c r="H64" i="2"/>
  <c r="H63" i="2"/>
  <c r="H52" i="2"/>
  <c r="H51" i="2"/>
  <c r="H50" i="2"/>
  <c r="H49" i="2"/>
  <c r="H41" i="2"/>
  <c r="H40" i="2"/>
  <c r="H39" i="2"/>
  <c r="H32" i="2"/>
  <c r="H31" i="2"/>
  <c r="H29" i="2"/>
  <c r="H22" i="2"/>
  <c r="H21" i="2"/>
  <c r="H20" i="2"/>
  <c r="H19" i="2"/>
  <c r="H12" i="2"/>
  <c r="H11" i="2"/>
  <c r="H9" i="2"/>
  <c r="H8" i="2"/>
  <c r="H445" i="1" l="1"/>
  <c r="H318" i="1"/>
  <c r="H316" i="1"/>
  <c r="H254" i="1"/>
  <c r="H252" i="1"/>
  <c r="H250" i="1"/>
  <c r="H246" i="1"/>
  <c r="H244" i="1"/>
  <c r="H242" i="1"/>
  <c r="H240" i="1"/>
  <c r="H238" i="1"/>
  <c r="H230" i="1"/>
  <c r="H228" i="1"/>
  <c r="H184" i="1"/>
  <c r="H182" i="1"/>
  <c r="H180" i="1"/>
  <c r="H178" i="1"/>
  <c r="H151" i="1"/>
  <c r="H134" i="1"/>
  <c r="H133" i="1"/>
  <c r="H120" i="1"/>
  <c r="H111" i="1"/>
  <c r="H109" i="1"/>
  <c r="H99" i="1" l="1"/>
  <c r="H98" i="1"/>
  <c r="H94" i="1"/>
  <c r="H90" i="1"/>
  <c r="H88" i="1"/>
  <c r="H74" i="1"/>
  <c r="H71" i="1"/>
  <c r="H69" i="1"/>
  <c r="H60" i="1"/>
  <c r="H52" i="1"/>
  <c r="F24" i="5" l="1"/>
  <c r="H13" i="5"/>
  <c r="H129" i="4"/>
  <c r="F584" i="3"/>
  <c r="H584" i="3"/>
  <c r="H280" i="3"/>
  <c r="H243" i="3"/>
  <c r="H242" i="3"/>
  <c r="H240" i="3"/>
  <c r="H202" i="3"/>
  <c r="H194" i="3"/>
  <c r="H181" i="3"/>
  <c r="H160" i="3"/>
  <c r="H148" i="3"/>
  <c r="H140" i="3"/>
  <c r="H133" i="3"/>
  <c r="H131" i="3"/>
  <c r="H128" i="3"/>
  <c r="H127" i="3"/>
  <c r="H112" i="3"/>
  <c r="H111" i="3"/>
  <c r="H109" i="3"/>
  <c r="H101" i="3"/>
  <c r="H100" i="3"/>
  <c r="H86" i="3"/>
  <c r="H84" i="3"/>
  <c r="H82" i="3"/>
  <c r="H80" i="3"/>
  <c r="H74" i="3"/>
  <c r="H73" i="3"/>
  <c r="F258" i="2"/>
  <c r="F257" i="2"/>
  <c r="H246" i="2"/>
  <c r="H240" i="2"/>
  <c r="H461" i="1"/>
  <c r="H460" i="1"/>
  <c r="H459" i="1"/>
  <c r="H458" i="1"/>
  <c r="H448" i="1"/>
  <c r="H447" i="1"/>
  <c r="H439" i="1"/>
  <c r="H430" i="1"/>
  <c r="H429" i="1"/>
  <c r="H423" i="1"/>
  <c r="H407" i="1"/>
  <c r="H406" i="1"/>
  <c r="H402" i="1"/>
  <c r="H394" i="1"/>
  <c r="H391" i="1"/>
  <c r="H101" i="1"/>
  <c r="F62" i="6" l="1"/>
  <c r="H23" i="5"/>
  <c r="F23" i="5"/>
  <c r="F583" i="3"/>
  <c r="F582" i="3"/>
  <c r="F256" i="2"/>
  <c r="F255" i="2"/>
  <c r="H208" i="2"/>
  <c r="H181" i="2"/>
  <c r="H178" i="2"/>
  <c r="H101" i="2"/>
  <c r="F471" i="1"/>
  <c r="H462" i="1"/>
  <c r="F462" i="1"/>
  <c r="H428" i="1"/>
  <c r="H426" i="1"/>
  <c r="H339" i="1"/>
  <c r="H331" i="1"/>
  <c r="H326" i="1"/>
  <c r="H324" i="1"/>
  <c r="H320" i="1"/>
  <c r="H248" i="1"/>
  <c r="H303" i="1" s="1"/>
  <c r="H55" i="1"/>
  <c r="G27" i="5" l="1"/>
  <c r="I27" i="5" s="1"/>
  <c r="G26" i="5"/>
  <c r="I26" i="5" s="1"/>
  <c r="G25" i="5"/>
  <c r="I25" i="5" s="1"/>
  <c r="G24" i="5"/>
  <c r="I24" i="5" s="1"/>
  <c r="G23" i="5"/>
  <c r="I23" i="5" s="1"/>
  <c r="J23" i="5" l="1"/>
  <c r="K23" i="5"/>
  <c r="J24" i="5"/>
  <c r="K24" i="5"/>
  <c r="J25" i="5"/>
  <c r="K25" i="5"/>
  <c r="J27" i="5"/>
  <c r="K27" i="5"/>
  <c r="J26" i="5"/>
  <c r="K26" i="5"/>
  <c r="F22" i="5" l="1"/>
  <c r="H22" i="5"/>
  <c r="F575" i="3"/>
  <c r="H575" i="3"/>
  <c r="H549" i="3"/>
  <c r="H134" i="3"/>
  <c r="H221" i="2"/>
  <c r="H442" i="1"/>
  <c r="H438" i="1"/>
  <c r="H427" i="1"/>
  <c r="H424" i="1"/>
  <c r="H422" i="1"/>
  <c r="H419" i="1"/>
  <c r="H389" i="1"/>
  <c r="H388" i="1"/>
  <c r="H387" i="1"/>
  <c r="H374" i="1"/>
  <c r="H372" i="1"/>
  <c r="H370" i="1"/>
  <c r="H368" i="1"/>
  <c r="H356" i="1"/>
  <c r="H314" i="1"/>
  <c r="H312" i="1"/>
  <c r="H310" i="1"/>
  <c r="E158" i="4"/>
  <c r="H156" i="4"/>
  <c r="F156" i="4"/>
  <c r="G156" i="4" s="1"/>
  <c r="H155" i="4"/>
  <c r="F155" i="4"/>
  <c r="G155" i="4" s="1"/>
  <c r="H154" i="4"/>
  <c r="F154" i="4"/>
  <c r="G154" i="4" s="1"/>
  <c r="H153" i="4"/>
  <c r="F153" i="4"/>
  <c r="G153" i="4" s="1"/>
  <c r="H152" i="4"/>
  <c r="F152" i="4"/>
  <c r="G152" i="4" s="1"/>
  <c r="H151" i="4"/>
  <c r="F151" i="4"/>
  <c r="G151" i="4" s="1"/>
  <c r="H150" i="4"/>
  <c r="F150" i="4"/>
  <c r="G150" i="4" s="1"/>
  <c r="H149" i="4"/>
  <c r="F149" i="4"/>
  <c r="F158" i="4" s="1"/>
  <c r="G147" i="4"/>
  <c r="I147" i="4" s="1"/>
  <c r="G146" i="4"/>
  <c r="I146" i="4" s="1"/>
  <c r="G145" i="4"/>
  <c r="I145" i="4" s="1"/>
  <c r="G144" i="4"/>
  <c r="F142" i="4"/>
  <c r="H602" i="3"/>
  <c r="E602" i="3"/>
  <c r="H158" i="4" l="1"/>
  <c r="I150" i="4"/>
  <c r="J150" i="4" s="1"/>
  <c r="I151" i="4"/>
  <c r="I152" i="4"/>
  <c r="J152" i="4" s="1"/>
  <c r="I153" i="4"/>
  <c r="J153" i="4" s="1"/>
  <c r="I154" i="4"/>
  <c r="J154" i="4" s="1"/>
  <c r="I155" i="4"/>
  <c r="I156" i="4"/>
  <c r="J156" i="4" s="1"/>
  <c r="J145" i="4"/>
  <c r="K145" i="4"/>
  <c r="J147" i="4"/>
  <c r="K147" i="4"/>
  <c r="J146" i="4"/>
  <c r="K146" i="4"/>
  <c r="J151" i="4"/>
  <c r="K151" i="4"/>
  <c r="K152" i="4"/>
  <c r="K153" i="4"/>
  <c r="J155" i="4"/>
  <c r="K155" i="4"/>
  <c r="K156" i="4"/>
  <c r="I144" i="4"/>
  <c r="G149" i="4"/>
  <c r="I149" i="4" s="1"/>
  <c r="G601" i="3"/>
  <c r="I601" i="3" s="1"/>
  <c r="G600" i="3"/>
  <c r="I600" i="3" s="1"/>
  <c r="G599" i="3"/>
  <c r="I599" i="3" s="1"/>
  <c r="G598" i="3"/>
  <c r="I598" i="3" s="1"/>
  <c r="G597" i="3"/>
  <c r="I597" i="3" s="1"/>
  <c r="G596" i="3"/>
  <c r="I596" i="3" s="1"/>
  <c r="G595" i="3"/>
  <c r="I595" i="3" s="1"/>
  <c r="G594" i="3"/>
  <c r="I594" i="3" s="1"/>
  <c r="G593" i="3"/>
  <c r="I593" i="3" s="1"/>
  <c r="G592" i="3"/>
  <c r="I592" i="3" s="1"/>
  <c r="G591" i="3"/>
  <c r="I591" i="3" s="1"/>
  <c r="G590" i="3"/>
  <c r="I590" i="3" s="1"/>
  <c r="G589" i="3"/>
  <c r="I589" i="3" s="1"/>
  <c r="G588" i="3"/>
  <c r="I588" i="3" s="1"/>
  <c r="J588" i="3" s="1"/>
  <c r="G587" i="3"/>
  <c r="I587" i="3" s="1"/>
  <c r="G586" i="3"/>
  <c r="I586" i="3" s="1"/>
  <c r="G585" i="3"/>
  <c r="I585" i="3" s="1"/>
  <c r="F602" i="3"/>
  <c r="G583" i="3"/>
  <c r="I583" i="3" s="1"/>
  <c r="G582" i="3"/>
  <c r="F580" i="3"/>
  <c r="E267" i="2"/>
  <c r="E485" i="1"/>
  <c r="H267" i="2"/>
  <c r="G266" i="2"/>
  <c r="I266" i="2" s="1"/>
  <c r="G265" i="2"/>
  <c r="I265" i="2" s="1"/>
  <c r="G264" i="2"/>
  <c r="I264" i="2" s="1"/>
  <c r="G263" i="2"/>
  <c r="I263" i="2" s="1"/>
  <c r="G262" i="2"/>
  <c r="I262" i="2" s="1"/>
  <c r="G261" i="2"/>
  <c r="I261" i="2" s="1"/>
  <c r="G260" i="2"/>
  <c r="I260" i="2" s="1"/>
  <c r="G259" i="2"/>
  <c r="I259" i="2" s="1"/>
  <c r="G258" i="2"/>
  <c r="I258" i="2" s="1"/>
  <c r="G257" i="2"/>
  <c r="I257" i="2" s="1"/>
  <c r="G256" i="2"/>
  <c r="I256" i="2" s="1"/>
  <c r="G255" i="2"/>
  <c r="I255" i="2" s="1"/>
  <c r="G254" i="2"/>
  <c r="I254" i="2" s="1"/>
  <c r="F253" i="2"/>
  <c r="G484" i="1"/>
  <c r="I484" i="1" s="1"/>
  <c r="G483" i="1"/>
  <c r="I483" i="1" s="1"/>
  <c r="G482" i="1"/>
  <c r="I482" i="1" s="1"/>
  <c r="G481" i="1"/>
  <c r="I481" i="1" s="1"/>
  <c r="G480" i="1"/>
  <c r="I480" i="1" s="1"/>
  <c r="G479" i="1"/>
  <c r="I479" i="1" s="1"/>
  <c r="G478" i="1"/>
  <c r="I478" i="1" s="1"/>
  <c r="G477" i="1"/>
  <c r="I477" i="1" s="1"/>
  <c r="G476" i="1"/>
  <c r="I476" i="1" s="1"/>
  <c r="G475" i="1"/>
  <c r="I475" i="1" s="1"/>
  <c r="G474" i="1"/>
  <c r="G473" i="1"/>
  <c r="G472" i="1"/>
  <c r="G471" i="1"/>
  <c r="F469" i="1"/>
  <c r="K150" i="4" l="1"/>
  <c r="K154" i="4"/>
  <c r="G584" i="3"/>
  <c r="I584" i="3" s="1"/>
  <c r="J584" i="3" s="1"/>
  <c r="F267" i="2"/>
  <c r="I582" i="3"/>
  <c r="I158" i="4"/>
  <c r="J144" i="4"/>
  <c r="K144" i="4"/>
  <c r="J149" i="4"/>
  <c r="K149" i="4"/>
  <c r="G158" i="4"/>
  <c r="K585" i="3"/>
  <c r="J585" i="3"/>
  <c r="K586" i="3"/>
  <c r="J586" i="3"/>
  <c r="K587" i="3"/>
  <c r="J587" i="3"/>
  <c r="J590" i="3"/>
  <c r="K590" i="3"/>
  <c r="J592" i="3"/>
  <c r="K592" i="3"/>
  <c r="K593" i="3"/>
  <c r="J593" i="3"/>
  <c r="K594" i="3"/>
  <c r="J594" i="3"/>
  <c r="K595" i="3"/>
  <c r="J595" i="3"/>
  <c r="K596" i="3"/>
  <c r="J596" i="3"/>
  <c r="K597" i="3"/>
  <c r="J597" i="3"/>
  <c r="K598" i="3"/>
  <c r="J598" i="3"/>
  <c r="K599" i="3"/>
  <c r="J599" i="3"/>
  <c r="K600" i="3"/>
  <c r="J600" i="3"/>
  <c r="K601" i="3"/>
  <c r="J601" i="3"/>
  <c r="J583" i="3"/>
  <c r="K583" i="3"/>
  <c r="J589" i="3"/>
  <c r="K589" i="3"/>
  <c r="J591" i="3"/>
  <c r="K591" i="3"/>
  <c r="K588" i="3"/>
  <c r="I267" i="2"/>
  <c r="G267" i="2"/>
  <c r="K254" i="2"/>
  <c r="J254" i="2"/>
  <c r="J256" i="2"/>
  <c r="K256" i="2"/>
  <c r="K257" i="2"/>
  <c r="J257" i="2"/>
  <c r="K258" i="2"/>
  <c r="J258" i="2"/>
  <c r="K262" i="2"/>
  <c r="J262" i="2"/>
  <c r="K263" i="2"/>
  <c r="J263" i="2"/>
  <c r="K264" i="2"/>
  <c r="J264" i="2"/>
  <c r="K265" i="2"/>
  <c r="J265" i="2"/>
  <c r="K266" i="2"/>
  <c r="J266" i="2"/>
  <c r="J255" i="2"/>
  <c r="K255" i="2"/>
  <c r="K259" i="2"/>
  <c r="J259" i="2"/>
  <c r="K260" i="2"/>
  <c r="J260" i="2"/>
  <c r="K261" i="2"/>
  <c r="J261" i="2"/>
  <c r="H485" i="1"/>
  <c r="I472" i="1"/>
  <c r="K472" i="1" s="1"/>
  <c r="I473" i="1"/>
  <c r="J473" i="1" s="1"/>
  <c r="I474" i="1"/>
  <c r="J474" i="1" s="1"/>
  <c r="J476" i="1"/>
  <c r="K476" i="1"/>
  <c r="J478" i="1"/>
  <c r="K478" i="1"/>
  <c r="J480" i="1"/>
  <c r="K480" i="1"/>
  <c r="J482" i="1"/>
  <c r="K482" i="1"/>
  <c r="J484" i="1"/>
  <c r="K484" i="1"/>
  <c r="G485" i="1"/>
  <c r="K475" i="1"/>
  <c r="J475" i="1"/>
  <c r="J477" i="1"/>
  <c r="K477" i="1"/>
  <c r="J479" i="1"/>
  <c r="K479" i="1"/>
  <c r="J481" i="1"/>
  <c r="K481" i="1"/>
  <c r="J483" i="1"/>
  <c r="K483" i="1"/>
  <c r="F485" i="1"/>
  <c r="I471" i="1"/>
  <c r="I602" i="3" l="1"/>
  <c r="K582" i="3"/>
  <c r="K584" i="3"/>
  <c r="G602" i="3"/>
  <c r="K473" i="1"/>
  <c r="K158" i="4"/>
  <c r="J582" i="3"/>
  <c r="J602" i="3" s="1"/>
  <c r="J158" i="4"/>
  <c r="K267" i="2"/>
  <c r="K474" i="1"/>
  <c r="J472" i="1"/>
  <c r="J267" i="2"/>
  <c r="I485" i="1"/>
  <c r="K471" i="1"/>
  <c r="J471" i="1"/>
  <c r="K485" i="1" l="1"/>
  <c r="J485" i="1"/>
  <c r="K602" i="3"/>
  <c r="H21" i="5" l="1"/>
  <c r="F21" i="5"/>
  <c r="G21" i="5" s="1"/>
  <c r="G22" i="5"/>
  <c r="I22" i="5" s="1"/>
  <c r="I21" i="5" l="1"/>
  <c r="K21" i="5" s="1"/>
  <c r="K22" i="5"/>
  <c r="J22" i="5"/>
  <c r="J21" i="5" l="1"/>
  <c r="H34" i="5" l="1"/>
  <c r="F34" i="5"/>
  <c r="G34" i="5" s="1"/>
  <c r="I34" i="5" l="1"/>
  <c r="J34" i="5" s="1"/>
  <c r="F61" i="6"/>
  <c r="F24" i="6"/>
  <c r="F23" i="6"/>
  <c r="F22" i="6"/>
  <c r="F21" i="6"/>
  <c r="H24" i="6"/>
  <c r="H23" i="6"/>
  <c r="H22" i="6"/>
  <c r="H21" i="6"/>
  <c r="F35" i="5"/>
  <c r="F20" i="5"/>
  <c r="F19" i="5"/>
  <c r="F18" i="5"/>
  <c r="F17" i="5"/>
  <c r="F16" i="5"/>
  <c r="F15" i="5"/>
  <c r="F14" i="5"/>
  <c r="F7" i="5"/>
  <c r="H35" i="5"/>
  <c r="H20" i="5"/>
  <c r="H19" i="5"/>
  <c r="H18" i="5"/>
  <c r="H17" i="5"/>
  <c r="H16" i="5"/>
  <c r="H15" i="5"/>
  <c r="H14" i="5"/>
  <c r="H7" i="5"/>
  <c r="F44" i="4"/>
  <c r="F35" i="4"/>
  <c r="F34" i="4"/>
  <c r="H44" i="4"/>
  <c r="H35" i="4"/>
  <c r="H34" i="4"/>
  <c r="F26" i="4"/>
  <c r="F27" i="4"/>
  <c r="F25" i="4"/>
  <c r="F24" i="4"/>
  <c r="F23" i="4"/>
  <c r="F21" i="4"/>
  <c r="F20" i="4"/>
  <c r="F18" i="4"/>
  <c r="F17" i="4"/>
  <c r="F8" i="4"/>
  <c r="H27" i="4"/>
  <c r="H26" i="4"/>
  <c r="H25" i="4"/>
  <c r="H24" i="4"/>
  <c r="H23" i="4"/>
  <c r="H21" i="4"/>
  <c r="H20" i="4"/>
  <c r="H18" i="4"/>
  <c r="H17" i="4"/>
  <c r="H8" i="4"/>
  <c r="F136" i="4"/>
  <c r="H136" i="4"/>
  <c r="F574" i="3"/>
  <c r="F573" i="3"/>
  <c r="F569" i="3"/>
  <c r="H574" i="3"/>
  <c r="H573" i="3"/>
  <c r="H569" i="3"/>
  <c r="H565" i="3"/>
  <c r="H564" i="3"/>
  <c r="K34" i="5" l="1"/>
  <c r="F248" i="2"/>
  <c r="F247" i="2"/>
  <c r="F246" i="2"/>
  <c r="F245" i="2"/>
  <c r="F244" i="2"/>
  <c r="H248" i="2"/>
  <c r="H247" i="2"/>
  <c r="F115" i="2"/>
  <c r="F105" i="2"/>
  <c r="H105" i="2"/>
  <c r="F92" i="2"/>
  <c r="H87" i="2"/>
  <c r="H86" i="2"/>
  <c r="H451" i="1"/>
  <c r="H450" i="1"/>
  <c r="H449" i="1"/>
  <c r="H446" i="1"/>
  <c r="H444" i="1"/>
  <c r="H443" i="1"/>
  <c r="H440" i="1"/>
  <c r="H431" i="1"/>
  <c r="H425" i="1"/>
  <c r="H398" i="1"/>
  <c r="H396" i="1"/>
  <c r="H378" i="1"/>
  <c r="H376" i="1"/>
  <c r="H364" i="1"/>
  <c r="H360" i="1"/>
  <c r="H354" i="1"/>
  <c r="H343" i="1"/>
  <c r="H337" i="1"/>
  <c r="H335" i="1"/>
  <c r="H329" i="1"/>
  <c r="H322" i="1"/>
  <c r="G35" i="5" l="1"/>
  <c r="I35" i="5" l="1"/>
  <c r="G20" i="5"/>
  <c r="I20" i="5" s="1"/>
  <c r="K20" i="5" s="1"/>
  <c r="G19" i="5"/>
  <c r="I19" i="5" s="1"/>
  <c r="G18" i="5"/>
  <c r="I18" i="5" s="1"/>
  <c r="K18" i="5" s="1"/>
  <c r="G17" i="5"/>
  <c r="I17" i="5" s="1"/>
  <c r="G16" i="5"/>
  <c r="I16" i="5" s="1"/>
  <c r="K16" i="5" s="1"/>
  <c r="F28" i="4"/>
  <c r="G23" i="4"/>
  <c r="I23" i="4" s="1"/>
  <c r="K23" i="4" s="1"/>
  <c r="G24" i="4"/>
  <c r="I24" i="4" s="1"/>
  <c r="J24" i="4" s="1"/>
  <c r="G25" i="4"/>
  <c r="I25" i="4" s="1"/>
  <c r="K25" i="4" s="1"/>
  <c r="G26" i="4"/>
  <c r="I26" i="4" s="1"/>
  <c r="J26" i="4" s="1"/>
  <c r="G22" i="4"/>
  <c r="I22" i="4" s="1"/>
  <c r="E28" i="4"/>
  <c r="H45" i="4"/>
  <c r="G246" i="2"/>
  <c r="I246" i="2" s="1"/>
  <c r="J246" i="2" s="1"/>
  <c r="G247" i="2"/>
  <c r="I247" i="2" s="1"/>
  <c r="G248" i="2"/>
  <c r="I248" i="2" s="1"/>
  <c r="J248" i="2" s="1"/>
  <c r="E249" i="2"/>
  <c r="K35" i="5" l="1"/>
  <c r="J35" i="5"/>
  <c r="K19" i="5"/>
  <c r="J19" i="5"/>
  <c r="K17" i="5"/>
  <c r="J17" i="5"/>
  <c r="J16" i="5"/>
  <c r="J18" i="5"/>
  <c r="J20" i="5"/>
  <c r="J23" i="4"/>
  <c r="K24" i="4"/>
  <c r="J25" i="4"/>
  <c r="K26" i="4"/>
  <c r="K22" i="4"/>
  <c r="J22" i="4"/>
  <c r="K247" i="2"/>
  <c r="J247" i="2"/>
  <c r="K246" i="2"/>
  <c r="K248" i="2"/>
  <c r="G575" i="3" l="1"/>
  <c r="I575" i="3" s="1"/>
  <c r="K575" i="3" s="1"/>
  <c r="G574" i="3"/>
  <c r="I574" i="3" s="1"/>
  <c r="K574" i="3" s="1"/>
  <c r="J574" i="3" l="1"/>
  <c r="J575" i="3"/>
  <c r="G573" i="3" l="1"/>
  <c r="I573" i="3" s="1"/>
  <c r="K573" i="3" s="1"/>
  <c r="J573" i="3" l="1"/>
  <c r="G245" i="2" l="1"/>
  <c r="I245" i="2" s="1"/>
  <c r="K245" i="2" l="1"/>
  <c r="J245" i="2"/>
  <c r="H33" i="7"/>
  <c r="H41" i="6"/>
  <c r="F135" i="4"/>
  <c r="H135" i="4"/>
  <c r="F572" i="3"/>
  <c r="F571" i="3"/>
  <c r="F570" i="3"/>
  <c r="F568" i="3"/>
  <c r="H572" i="3"/>
  <c r="H571" i="3"/>
  <c r="H570" i="3"/>
  <c r="H568" i="3"/>
  <c r="H566" i="3"/>
  <c r="H466" i="3"/>
  <c r="H241" i="2"/>
  <c r="F243" i="2"/>
  <c r="H400" i="1" l="1"/>
  <c r="H554" i="3" l="1"/>
  <c r="G243" i="2" l="1"/>
  <c r="I243" i="2" s="1"/>
  <c r="K243" i="2" s="1"/>
  <c r="F242" i="2"/>
  <c r="G244" i="2"/>
  <c r="I244" i="2" s="1"/>
  <c r="J244" i="2" s="1"/>
  <c r="G242" i="2"/>
  <c r="I242" i="2" s="1"/>
  <c r="J243" i="2" l="1"/>
  <c r="K244" i="2"/>
  <c r="K242" i="2"/>
  <c r="J242" i="2"/>
  <c r="G572" i="3" l="1"/>
  <c r="I572" i="3" s="1"/>
  <c r="G571" i="3"/>
  <c r="I571" i="3" s="1"/>
  <c r="G570" i="3"/>
  <c r="I570" i="3" s="1"/>
  <c r="G569" i="3"/>
  <c r="I569" i="3" s="1"/>
  <c r="G568" i="3"/>
  <c r="I568" i="3" s="1"/>
  <c r="J571" i="3" l="1"/>
  <c r="K571" i="3"/>
  <c r="K568" i="3"/>
  <c r="J568" i="3"/>
  <c r="J569" i="3"/>
  <c r="K569" i="3"/>
  <c r="K570" i="3"/>
  <c r="J570" i="3"/>
  <c r="K572" i="3"/>
  <c r="J572" i="3"/>
  <c r="H56" i="6" l="1"/>
  <c r="H53" i="6"/>
  <c r="H54" i="6"/>
  <c r="H52" i="6"/>
  <c r="H42" i="6"/>
  <c r="H43" i="6"/>
  <c r="H44" i="6"/>
  <c r="H28" i="6"/>
  <c r="H27" i="6"/>
  <c r="H26" i="6"/>
  <c r="H25" i="6"/>
  <c r="H20" i="6"/>
  <c r="H19" i="6"/>
  <c r="H18" i="6"/>
  <c r="H17" i="6"/>
  <c r="H10" i="6"/>
  <c r="H9" i="6"/>
  <c r="H8" i="6"/>
  <c r="H7" i="6"/>
  <c r="H6" i="6"/>
  <c r="F13" i="5"/>
  <c r="F567" i="3"/>
  <c r="F566" i="3"/>
  <c r="H567" i="3"/>
  <c r="H545" i="3"/>
  <c r="H238" i="2"/>
  <c r="F461" i="1"/>
  <c r="F419" i="1"/>
  <c r="H409" i="1"/>
  <c r="F409" i="1"/>
  <c r="F372" i="1"/>
  <c r="F370" i="1"/>
  <c r="F356" i="1"/>
  <c r="H341" i="1"/>
  <c r="F341" i="1"/>
  <c r="H328" i="1"/>
  <c r="H346" i="1" s="1"/>
  <c r="F329" i="1"/>
  <c r="F328" i="1"/>
  <c r="F326" i="1"/>
  <c r="F312" i="1"/>
  <c r="D461" i="1" l="1"/>
  <c r="H52" i="7" l="1"/>
  <c r="H563" i="3"/>
  <c r="F565" i="3"/>
  <c r="F564" i="3"/>
  <c r="F563" i="3"/>
  <c r="F492" i="3"/>
  <c r="F440" i="3"/>
  <c r="F383" i="3"/>
  <c r="F252" i="3"/>
  <c r="F224" i="3"/>
  <c r="F121" i="3"/>
  <c r="F88" i="3"/>
  <c r="F66" i="3"/>
  <c r="F241" i="2"/>
  <c r="F240" i="2"/>
  <c r="F231" i="1"/>
  <c r="F171" i="1"/>
  <c r="F135" i="1"/>
  <c r="F103" i="1"/>
  <c r="F82" i="1"/>
  <c r="F63" i="1"/>
  <c r="F45" i="1"/>
  <c r="G567" i="3" l="1"/>
  <c r="I567" i="3" s="1"/>
  <c r="G566" i="3"/>
  <c r="I566" i="3" s="1"/>
  <c r="G565" i="3"/>
  <c r="I565" i="3" s="1"/>
  <c r="G241" i="2"/>
  <c r="I241" i="2" s="1"/>
  <c r="G240" i="2"/>
  <c r="I240" i="2" s="1"/>
  <c r="K565" i="3" l="1"/>
  <c r="J565" i="3"/>
  <c r="J566" i="3"/>
  <c r="K566" i="3"/>
  <c r="K567" i="3"/>
  <c r="J567" i="3"/>
  <c r="K240" i="2"/>
  <c r="J240" i="2"/>
  <c r="K241" i="2"/>
  <c r="J241" i="2"/>
  <c r="X16" i="8" l="1"/>
  <c r="W16" i="8"/>
  <c r="X15" i="8"/>
  <c r="W15" i="8"/>
  <c r="X14" i="8"/>
  <c r="W14" i="8"/>
  <c r="X13" i="8"/>
  <c r="W13" i="8"/>
  <c r="X12" i="8"/>
  <c r="W12" i="8"/>
  <c r="X11" i="8"/>
  <c r="W11" i="8"/>
  <c r="X10" i="8"/>
  <c r="W10" i="8"/>
  <c r="X9" i="8"/>
  <c r="W9" i="8"/>
  <c r="X8" i="8"/>
  <c r="W8" i="8"/>
  <c r="H134" i="4" l="1"/>
  <c r="F134" i="4"/>
  <c r="F364" i="1"/>
  <c r="H358" i="1"/>
  <c r="F35" i="6" l="1"/>
  <c r="F11" i="6"/>
  <c r="F381" i="1"/>
  <c r="H33" i="6" l="1"/>
  <c r="H32" i="6"/>
  <c r="H31" i="6"/>
  <c r="H30" i="6"/>
  <c r="H29" i="6"/>
  <c r="H16" i="6"/>
  <c r="F133" i="4"/>
  <c r="F132" i="4"/>
  <c r="H133" i="4"/>
  <c r="H116" i="4"/>
  <c r="H107" i="4"/>
  <c r="H105" i="4"/>
  <c r="H88" i="4"/>
  <c r="H87" i="4"/>
  <c r="H54" i="4"/>
  <c r="H52" i="4"/>
  <c r="H16" i="4"/>
  <c r="H15" i="4"/>
  <c r="H14" i="4"/>
  <c r="H13" i="4"/>
  <c r="H12" i="4"/>
  <c r="H10" i="4"/>
  <c r="H9" i="4"/>
  <c r="G7" i="4"/>
  <c r="G8" i="4"/>
  <c r="G9" i="4"/>
  <c r="G10" i="4"/>
  <c r="G11" i="4"/>
  <c r="G12" i="4"/>
  <c r="G13" i="4"/>
  <c r="G14" i="4"/>
  <c r="G15" i="4"/>
  <c r="G16" i="4"/>
  <c r="G17" i="4"/>
  <c r="G18" i="4"/>
  <c r="G19" i="4"/>
  <c r="G20" i="4"/>
  <c r="G21" i="4"/>
  <c r="G27" i="4"/>
  <c r="H35" i="3"/>
  <c r="H562" i="3"/>
  <c r="H561" i="3"/>
  <c r="F562" i="3"/>
  <c r="F561" i="3"/>
  <c r="F238" i="2"/>
  <c r="F195" i="2"/>
  <c r="H28" i="4" l="1"/>
  <c r="H55" i="4"/>
  <c r="F196" i="2" l="1"/>
  <c r="H196" i="2"/>
  <c r="F412" i="1"/>
  <c r="H412" i="1"/>
  <c r="G63" i="6" l="1"/>
  <c r="I63" i="6" s="1"/>
  <c r="K63" i="6" s="1"/>
  <c r="G64" i="6"/>
  <c r="I64" i="6" s="1"/>
  <c r="J64" i="6" s="1"/>
  <c r="G65" i="6"/>
  <c r="I65" i="6" s="1"/>
  <c r="K65" i="6" s="1"/>
  <c r="G66" i="6"/>
  <c r="I66" i="6" s="1"/>
  <c r="J66" i="6" s="1"/>
  <c r="J63" i="6" l="1"/>
  <c r="K64" i="6"/>
  <c r="J65" i="6"/>
  <c r="K66" i="6"/>
  <c r="E576" i="3"/>
  <c r="E138" i="4"/>
  <c r="G133" i="4"/>
  <c r="G134" i="4"/>
  <c r="G135" i="4"/>
  <c r="G136" i="4"/>
  <c r="G564" i="3" l="1"/>
  <c r="I564" i="3" s="1"/>
  <c r="G563" i="3"/>
  <c r="I563" i="3" s="1"/>
  <c r="G562" i="3"/>
  <c r="I562" i="3" s="1"/>
  <c r="G561" i="3"/>
  <c r="I561" i="3" s="1"/>
  <c r="I133" i="4"/>
  <c r="J133" i="4" s="1"/>
  <c r="I134" i="4"/>
  <c r="J134" i="4" s="1"/>
  <c r="I135" i="4"/>
  <c r="J135" i="4" s="1"/>
  <c r="I136" i="4"/>
  <c r="J136" i="4" s="1"/>
  <c r="H546" i="3"/>
  <c r="K134" i="4" l="1"/>
  <c r="K136" i="4"/>
  <c r="K133" i="4"/>
  <c r="K135" i="4"/>
  <c r="K561" i="3"/>
  <c r="J561" i="3"/>
  <c r="J562" i="3"/>
  <c r="K562" i="3"/>
  <c r="J563" i="3"/>
  <c r="K563" i="3"/>
  <c r="J564" i="3"/>
  <c r="K564" i="3"/>
  <c r="H61" i="4" l="1"/>
  <c r="F61" i="4"/>
  <c r="H143" i="3"/>
  <c r="H139" i="3"/>
  <c r="F143" i="3"/>
  <c r="F139" i="3"/>
  <c r="F54" i="7"/>
  <c r="H54" i="7"/>
  <c r="F131" i="4"/>
  <c r="F130" i="4"/>
  <c r="F129" i="4"/>
  <c r="H131" i="4"/>
  <c r="H130" i="4"/>
  <c r="H560" i="3"/>
  <c r="H559" i="3"/>
  <c r="H558" i="3"/>
  <c r="H557" i="3"/>
  <c r="H556" i="3"/>
  <c r="H555" i="3"/>
  <c r="H548" i="3"/>
  <c r="H547" i="3"/>
  <c r="F560" i="3"/>
  <c r="F559" i="3"/>
  <c r="F558" i="3"/>
  <c r="F557" i="3"/>
  <c r="F556" i="3"/>
  <c r="F555" i="3"/>
  <c r="F549" i="3"/>
  <c r="F546" i="3"/>
  <c r="F178" i="2"/>
  <c r="F239" i="2"/>
  <c r="F237" i="2"/>
  <c r="H239" i="2"/>
  <c r="B36" i="8"/>
  <c r="F233" i="2"/>
  <c r="H138" i="4" l="1"/>
  <c r="F138" i="4"/>
  <c r="G58" i="8"/>
  <c r="F58" i="8"/>
  <c r="E58" i="8"/>
  <c r="D58" i="8"/>
  <c r="C58" i="8"/>
  <c r="B58" i="8"/>
  <c r="F182" i="3"/>
  <c r="F45" i="4"/>
  <c r="F66" i="4"/>
  <c r="F183" i="2"/>
  <c r="E183" i="2"/>
  <c r="H68" i="6"/>
  <c r="E68" i="6"/>
  <c r="G132" i="4"/>
  <c r="I132" i="4" s="1"/>
  <c r="J132" i="4" l="1"/>
  <c r="K132" i="4"/>
  <c r="G62" i="6"/>
  <c r="I62" i="6" s="1"/>
  <c r="G131" i="4"/>
  <c r="I131" i="4" s="1"/>
  <c r="G130" i="4"/>
  <c r="I130" i="4" s="1"/>
  <c r="G129" i="4"/>
  <c r="I129" i="4" s="1"/>
  <c r="J62" i="6" l="1"/>
  <c r="K62" i="6"/>
  <c r="J130" i="4"/>
  <c r="K130" i="4"/>
  <c r="J129" i="4"/>
  <c r="K129" i="4"/>
  <c r="J131" i="4"/>
  <c r="K131" i="4"/>
  <c r="H53" i="7" l="1"/>
  <c r="F52" i="7"/>
  <c r="L16" i="8"/>
  <c r="K16" i="8"/>
  <c r="J16" i="8"/>
  <c r="F53" i="7" l="1"/>
  <c r="H65" i="4"/>
  <c r="F554" i="3"/>
  <c r="F553" i="3"/>
  <c r="F552" i="3"/>
  <c r="F551" i="3"/>
  <c r="F548" i="3"/>
  <c r="F576" i="3" s="1"/>
  <c r="H553" i="3"/>
  <c r="H552" i="3"/>
  <c r="H551" i="3"/>
  <c r="F236" i="2"/>
  <c r="F235" i="2"/>
  <c r="H234" i="2"/>
  <c r="H233" i="2"/>
  <c r="H161" i="2"/>
  <c r="F460" i="1"/>
  <c r="F249" i="2" l="1"/>
  <c r="H576" i="3"/>
  <c r="H249" i="2"/>
  <c r="F68" i="6"/>
  <c r="G545" i="3"/>
  <c r="G126" i="4" l="1"/>
  <c r="I126" i="4" s="1"/>
  <c r="G125" i="4"/>
  <c r="I125" i="4" s="1"/>
  <c r="J126" i="4" l="1"/>
  <c r="K126" i="4"/>
  <c r="J125" i="4"/>
  <c r="K125" i="4"/>
  <c r="D431" i="1" l="1"/>
  <c r="G236" i="2"/>
  <c r="C459" i="1" l="1"/>
  <c r="C458" i="1"/>
  <c r="H67" i="7" l="1"/>
  <c r="F67" i="7"/>
  <c r="E67" i="7"/>
  <c r="G66" i="7"/>
  <c r="I66" i="7" s="1"/>
  <c r="G65" i="7"/>
  <c r="I65" i="7" s="1"/>
  <c r="G64" i="7"/>
  <c r="I64" i="7" s="1"/>
  <c r="G63" i="7"/>
  <c r="I63" i="7" s="1"/>
  <c r="G62" i="7"/>
  <c r="I62" i="7" s="1"/>
  <c r="G61" i="7"/>
  <c r="I61" i="7" s="1"/>
  <c r="G60" i="7"/>
  <c r="I60" i="7" s="1"/>
  <c r="G59" i="7"/>
  <c r="I59" i="7" s="1"/>
  <c r="G58" i="7"/>
  <c r="I58" i="7" s="1"/>
  <c r="G57" i="7"/>
  <c r="I57" i="7" s="1"/>
  <c r="G56" i="7"/>
  <c r="I56" i="7" s="1"/>
  <c r="G55" i="7"/>
  <c r="I55" i="7" s="1"/>
  <c r="G54" i="7"/>
  <c r="I54" i="7" s="1"/>
  <c r="G53" i="7"/>
  <c r="I53" i="7" s="1"/>
  <c r="G52" i="7"/>
  <c r="I52" i="7" s="1"/>
  <c r="G51" i="7"/>
  <c r="I51" i="7" s="1"/>
  <c r="F49" i="7"/>
  <c r="F2" i="7"/>
  <c r="F2" i="6"/>
  <c r="G2" i="5"/>
  <c r="F59" i="4"/>
  <c r="G2" i="4"/>
  <c r="G2" i="3"/>
  <c r="G2" i="2"/>
  <c r="G560" i="3"/>
  <c r="I560" i="3" s="1"/>
  <c r="K560" i="3" s="1"/>
  <c r="G559" i="3"/>
  <c r="I559" i="3" s="1"/>
  <c r="K559" i="3" s="1"/>
  <c r="G558" i="3"/>
  <c r="I558" i="3" s="1"/>
  <c r="G557" i="3"/>
  <c r="I557" i="3" s="1"/>
  <c r="K557" i="3" s="1"/>
  <c r="G556" i="3"/>
  <c r="I556" i="3" s="1"/>
  <c r="K556" i="3" s="1"/>
  <c r="G555" i="3"/>
  <c r="I555" i="3" s="1"/>
  <c r="K555" i="3" s="1"/>
  <c r="G554" i="3"/>
  <c r="I554" i="3" s="1"/>
  <c r="G553" i="3"/>
  <c r="I553" i="3" s="1"/>
  <c r="K553" i="3" s="1"/>
  <c r="G552" i="3"/>
  <c r="I552" i="3" s="1"/>
  <c r="K552" i="3" s="1"/>
  <c r="G551" i="3"/>
  <c r="I551" i="3" s="1"/>
  <c r="K551" i="3" s="1"/>
  <c r="G550" i="3"/>
  <c r="I550" i="3" s="1"/>
  <c r="K550" i="3" s="1"/>
  <c r="G549" i="3"/>
  <c r="I549" i="3" s="1"/>
  <c r="G548" i="3"/>
  <c r="I548" i="3" s="1"/>
  <c r="G547" i="3"/>
  <c r="I547" i="3" s="1"/>
  <c r="K547" i="3" s="1"/>
  <c r="G546" i="3"/>
  <c r="I546" i="3" s="1"/>
  <c r="K546" i="3" s="1"/>
  <c r="I545" i="3"/>
  <c r="G544" i="3"/>
  <c r="F542" i="3"/>
  <c r="O15" i="8"/>
  <c r="N15" i="8"/>
  <c r="M15" i="8"/>
  <c r="H36" i="5"/>
  <c r="E12" i="8" s="1"/>
  <c r="E53" i="8" s="1"/>
  <c r="F36" i="5"/>
  <c r="E36" i="5"/>
  <c r="B12" i="8" s="1"/>
  <c r="B53" i="8" s="1"/>
  <c r="G15" i="5"/>
  <c r="I15" i="5" s="1"/>
  <c r="J15" i="5" s="1"/>
  <c r="G14" i="5"/>
  <c r="I14" i="5" s="1"/>
  <c r="K14" i="5" s="1"/>
  <c r="G13" i="5"/>
  <c r="I13" i="5" s="1"/>
  <c r="J13" i="5" s="1"/>
  <c r="G127" i="4"/>
  <c r="I127" i="4" s="1"/>
  <c r="G124" i="4"/>
  <c r="F122" i="4"/>
  <c r="C12" i="8" l="1"/>
  <c r="C53" i="8" s="1"/>
  <c r="G138" i="4"/>
  <c r="G576" i="3"/>
  <c r="K548" i="3"/>
  <c r="K554" i="3"/>
  <c r="K558" i="3"/>
  <c r="C33" i="8"/>
  <c r="K545" i="3"/>
  <c r="K549" i="3"/>
  <c r="J14" i="5"/>
  <c r="I124" i="4"/>
  <c r="I138" i="4" s="1"/>
  <c r="K52" i="7"/>
  <c r="J52" i="7"/>
  <c r="K51" i="7"/>
  <c r="I67" i="7"/>
  <c r="J51" i="7"/>
  <c r="K53" i="7"/>
  <c r="J53" i="7"/>
  <c r="K55" i="7"/>
  <c r="J55" i="7"/>
  <c r="K57" i="7"/>
  <c r="J57" i="7"/>
  <c r="K59" i="7"/>
  <c r="J59" i="7"/>
  <c r="K61" i="7"/>
  <c r="J61" i="7"/>
  <c r="K63" i="7"/>
  <c r="J63" i="7"/>
  <c r="K65" i="7"/>
  <c r="J65" i="7"/>
  <c r="K54" i="7"/>
  <c r="J54" i="7"/>
  <c r="K56" i="7"/>
  <c r="J56" i="7"/>
  <c r="K58" i="7"/>
  <c r="J58" i="7"/>
  <c r="K60" i="7"/>
  <c r="J60" i="7"/>
  <c r="K62" i="7"/>
  <c r="J62" i="7"/>
  <c r="K64" i="7"/>
  <c r="J64" i="7"/>
  <c r="K66" i="7"/>
  <c r="J66" i="7"/>
  <c r="G67" i="7"/>
  <c r="I544" i="3"/>
  <c r="J545" i="3"/>
  <c r="J546" i="3"/>
  <c r="J547" i="3"/>
  <c r="J548" i="3"/>
  <c r="J549" i="3"/>
  <c r="J550" i="3"/>
  <c r="J551" i="3"/>
  <c r="J552" i="3"/>
  <c r="J553" i="3"/>
  <c r="J554" i="3"/>
  <c r="J555" i="3"/>
  <c r="J556" i="3"/>
  <c r="J557" i="3"/>
  <c r="J558" i="3"/>
  <c r="J559" i="3"/>
  <c r="J560" i="3"/>
  <c r="K13" i="5"/>
  <c r="K15" i="5"/>
  <c r="K124" i="4"/>
  <c r="K127" i="4"/>
  <c r="J127" i="4"/>
  <c r="D12" i="8" l="1"/>
  <c r="D53" i="8" s="1"/>
  <c r="J124" i="4"/>
  <c r="I576" i="3"/>
  <c r="J138" i="4"/>
  <c r="K138" i="4"/>
  <c r="J67" i="7"/>
  <c r="K67" i="7"/>
  <c r="J544" i="3"/>
  <c r="J576" i="3" s="1"/>
  <c r="K544" i="3"/>
  <c r="K576" i="3" s="1"/>
  <c r="G239" i="2" l="1"/>
  <c r="I239" i="2" s="1"/>
  <c r="G238" i="2"/>
  <c r="I238" i="2" s="1"/>
  <c r="G237" i="2"/>
  <c r="I237" i="2" s="1"/>
  <c r="I236" i="2"/>
  <c r="G235" i="2"/>
  <c r="I235" i="2" s="1"/>
  <c r="G234" i="2"/>
  <c r="I234" i="2" s="1"/>
  <c r="G233" i="2"/>
  <c r="I233" i="2" s="1"/>
  <c r="G232" i="2"/>
  <c r="I232" i="2" s="1"/>
  <c r="G231" i="2"/>
  <c r="I231" i="2" s="1"/>
  <c r="F230" i="2"/>
  <c r="F465" i="1"/>
  <c r="E465" i="1"/>
  <c r="G464" i="1"/>
  <c r="I464" i="1" s="1"/>
  <c r="H465" i="1"/>
  <c r="G463" i="1"/>
  <c r="I463" i="1" s="1"/>
  <c r="G462" i="1"/>
  <c r="I462" i="1" s="1"/>
  <c r="G461" i="1"/>
  <c r="I461" i="1" s="1"/>
  <c r="G460" i="1"/>
  <c r="I460" i="1" s="1"/>
  <c r="G459" i="1"/>
  <c r="I459" i="1" s="1"/>
  <c r="G458" i="1"/>
  <c r="F456" i="1"/>
  <c r="I249" i="2" l="1"/>
  <c r="K231" i="2"/>
  <c r="J231" i="2"/>
  <c r="K233" i="2"/>
  <c r="J233" i="2"/>
  <c r="K235" i="2"/>
  <c r="J235" i="2"/>
  <c r="K237" i="2"/>
  <c r="J237" i="2"/>
  <c r="K239" i="2"/>
  <c r="J239" i="2"/>
  <c r="K232" i="2"/>
  <c r="J232" i="2"/>
  <c r="K234" i="2"/>
  <c r="J234" i="2"/>
  <c r="K236" i="2"/>
  <c r="J236" i="2"/>
  <c r="K238" i="2"/>
  <c r="J238" i="2"/>
  <c r="G249" i="2"/>
  <c r="G465" i="1"/>
  <c r="J460" i="1"/>
  <c r="K460" i="1"/>
  <c r="J462" i="1"/>
  <c r="K462" i="1"/>
  <c r="K464" i="1"/>
  <c r="J464" i="1"/>
  <c r="J459" i="1"/>
  <c r="K459" i="1"/>
  <c r="J461" i="1"/>
  <c r="K461" i="1"/>
  <c r="J463" i="1"/>
  <c r="K463" i="1"/>
  <c r="I458" i="1"/>
  <c r="J249" i="2" l="1"/>
  <c r="K249" i="2"/>
  <c r="J458" i="1"/>
  <c r="J465" i="1" s="1"/>
  <c r="I465" i="1"/>
  <c r="K458" i="1"/>
  <c r="K465" i="1" s="1"/>
  <c r="G44" i="7" l="1"/>
  <c r="I44" i="7" s="1"/>
  <c r="G43" i="7"/>
  <c r="I43" i="7" s="1"/>
  <c r="G42" i="7"/>
  <c r="I42" i="7" s="1"/>
  <c r="G41" i="7"/>
  <c r="I41" i="7" s="1"/>
  <c r="G40" i="7"/>
  <c r="I40" i="7" s="1"/>
  <c r="G39" i="7"/>
  <c r="I39" i="7" s="1"/>
  <c r="G38" i="7"/>
  <c r="I38" i="7" s="1"/>
  <c r="G37" i="7"/>
  <c r="I37" i="7" s="1"/>
  <c r="G36" i="7"/>
  <c r="I36" i="7" s="1"/>
  <c r="G35" i="7"/>
  <c r="I35" i="7" s="1"/>
  <c r="G34" i="7"/>
  <c r="I34" i="7" s="1"/>
  <c r="G33" i="7"/>
  <c r="I33" i="7" s="1"/>
  <c r="G32" i="7"/>
  <c r="I32" i="7" s="1"/>
  <c r="G31" i="7"/>
  <c r="I31" i="7" s="1"/>
  <c r="G30" i="7"/>
  <c r="I30" i="7" s="1"/>
  <c r="G29" i="7"/>
  <c r="I29" i="7" s="1"/>
  <c r="F27" i="7"/>
  <c r="G22" i="7"/>
  <c r="I22" i="7" s="1"/>
  <c r="G21" i="7"/>
  <c r="I21" i="7" s="1"/>
  <c r="G20" i="7"/>
  <c r="I20" i="7" s="1"/>
  <c r="J20" i="7" s="1"/>
  <c r="G19" i="7"/>
  <c r="I19" i="7" s="1"/>
  <c r="J19" i="7" s="1"/>
  <c r="G18" i="7"/>
  <c r="I18" i="7" s="1"/>
  <c r="G17" i="7"/>
  <c r="I17" i="7" s="1"/>
  <c r="J17" i="7" s="1"/>
  <c r="G16" i="7"/>
  <c r="I16" i="7" s="1"/>
  <c r="J16" i="7" s="1"/>
  <c r="G15" i="7"/>
  <c r="I15" i="7" s="1"/>
  <c r="J15" i="7" s="1"/>
  <c r="G14" i="7"/>
  <c r="I14" i="7" s="1"/>
  <c r="G13" i="7"/>
  <c r="I13" i="7" s="1"/>
  <c r="G12" i="7"/>
  <c r="I12" i="7" s="1"/>
  <c r="J12" i="7" s="1"/>
  <c r="G11" i="7"/>
  <c r="I11" i="7" s="1"/>
  <c r="J11" i="7" s="1"/>
  <c r="G10" i="7"/>
  <c r="I10" i="7" s="1"/>
  <c r="J10" i="7" s="1"/>
  <c r="G9" i="7"/>
  <c r="I9" i="7" s="1"/>
  <c r="J9" i="7" s="1"/>
  <c r="G8" i="7"/>
  <c r="I8" i="7" s="1"/>
  <c r="J8" i="7" s="1"/>
  <c r="G7" i="7"/>
  <c r="I7" i="7" s="1"/>
  <c r="F5" i="7"/>
  <c r="G61" i="6"/>
  <c r="I61" i="6" s="1"/>
  <c r="G60" i="6"/>
  <c r="I60" i="6" s="1"/>
  <c r="G59" i="6"/>
  <c r="I59" i="6" s="1"/>
  <c r="G58" i="6"/>
  <c r="I58" i="6" s="1"/>
  <c r="G57" i="6"/>
  <c r="I57" i="6" s="1"/>
  <c r="J57" i="6" s="1"/>
  <c r="G56" i="6"/>
  <c r="I56" i="6" s="1"/>
  <c r="J56" i="6" s="1"/>
  <c r="G55" i="6"/>
  <c r="I55" i="6" s="1"/>
  <c r="J55" i="6" s="1"/>
  <c r="G54" i="6"/>
  <c r="I54" i="6" s="1"/>
  <c r="J54" i="6" s="1"/>
  <c r="G53" i="6"/>
  <c r="I53" i="6" s="1"/>
  <c r="J53" i="6" s="1"/>
  <c r="G52" i="6"/>
  <c r="F50" i="6"/>
  <c r="F46" i="6"/>
  <c r="G45" i="6"/>
  <c r="I45" i="6" s="1"/>
  <c r="J45" i="6" s="1"/>
  <c r="G44" i="6"/>
  <c r="I44" i="6" s="1"/>
  <c r="J44" i="6" s="1"/>
  <c r="G43" i="6"/>
  <c r="I43" i="6" s="1"/>
  <c r="J43" i="6" s="1"/>
  <c r="G42" i="6"/>
  <c r="I42" i="6" s="1"/>
  <c r="J42" i="6" s="1"/>
  <c r="F39" i="6"/>
  <c r="G34" i="6"/>
  <c r="I34" i="6" s="1"/>
  <c r="G33" i="6"/>
  <c r="I33" i="6" s="1"/>
  <c r="G32" i="6"/>
  <c r="I32" i="6" s="1"/>
  <c r="G31" i="6"/>
  <c r="I31" i="6" s="1"/>
  <c r="G30" i="6"/>
  <c r="I30" i="6" s="1"/>
  <c r="G29" i="6"/>
  <c r="I29" i="6" s="1"/>
  <c r="G28" i="6"/>
  <c r="I28" i="6" s="1"/>
  <c r="G27" i="6"/>
  <c r="I27" i="6" s="1"/>
  <c r="G26" i="6"/>
  <c r="I26" i="6" s="1"/>
  <c r="G25" i="6"/>
  <c r="I25" i="6" s="1"/>
  <c r="G24" i="6"/>
  <c r="I24" i="6" s="1"/>
  <c r="G23" i="6"/>
  <c r="I23" i="6" s="1"/>
  <c r="G22" i="6"/>
  <c r="I22" i="6" s="1"/>
  <c r="G21" i="6"/>
  <c r="I21" i="6" s="1"/>
  <c r="G20" i="6"/>
  <c r="I20" i="6" s="1"/>
  <c r="G19" i="6"/>
  <c r="I19" i="6" s="1"/>
  <c r="G18" i="6"/>
  <c r="I18" i="6" s="1"/>
  <c r="G17" i="6"/>
  <c r="I17" i="6" s="1"/>
  <c r="G16" i="6"/>
  <c r="I16" i="6" s="1"/>
  <c r="F15" i="6"/>
  <c r="G10" i="6"/>
  <c r="I10" i="6" s="1"/>
  <c r="G9" i="6"/>
  <c r="I9" i="6" s="1"/>
  <c r="G8" i="6"/>
  <c r="I8" i="6" s="1"/>
  <c r="G7" i="6"/>
  <c r="I7" i="6" s="1"/>
  <c r="G6" i="6"/>
  <c r="I6" i="6" s="1"/>
  <c r="F5" i="6"/>
  <c r="G12" i="5"/>
  <c r="I12" i="5" s="1"/>
  <c r="J12" i="5" s="1"/>
  <c r="G11" i="5"/>
  <c r="I11" i="5" s="1"/>
  <c r="J11" i="5" s="1"/>
  <c r="G10" i="5"/>
  <c r="I10" i="5" s="1"/>
  <c r="J10" i="5" s="1"/>
  <c r="G9" i="5"/>
  <c r="I9" i="5" s="1"/>
  <c r="J9" i="5" s="1"/>
  <c r="G8" i="5"/>
  <c r="I8" i="5" s="1"/>
  <c r="J8" i="5" s="1"/>
  <c r="G7" i="5"/>
  <c r="F5" i="5"/>
  <c r="G117" i="4"/>
  <c r="I117" i="4" s="1"/>
  <c r="G116" i="4"/>
  <c r="I116" i="4" s="1"/>
  <c r="F110" i="4"/>
  <c r="H110" i="4"/>
  <c r="E110" i="4"/>
  <c r="F114" i="4"/>
  <c r="G109" i="4"/>
  <c r="I109" i="4" s="1"/>
  <c r="G108" i="4"/>
  <c r="I108" i="4" s="1"/>
  <c r="G107" i="4"/>
  <c r="I107" i="4" s="1"/>
  <c r="G106" i="4"/>
  <c r="I106" i="4" s="1"/>
  <c r="G105" i="4"/>
  <c r="I105" i="4" s="1"/>
  <c r="F103" i="4"/>
  <c r="G98" i="4"/>
  <c r="I98" i="4" s="1"/>
  <c r="G97" i="4"/>
  <c r="I97" i="4" s="1"/>
  <c r="F95" i="4"/>
  <c r="G90" i="4"/>
  <c r="I90" i="4" s="1"/>
  <c r="G89" i="4"/>
  <c r="I89" i="4" s="1"/>
  <c r="G88" i="4"/>
  <c r="I88" i="4" s="1"/>
  <c r="G87" i="4"/>
  <c r="I87" i="4" s="1"/>
  <c r="F85" i="4"/>
  <c r="G80" i="4"/>
  <c r="I80" i="4" s="1"/>
  <c r="G79" i="4"/>
  <c r="I79" i="4" s="1"/>
  <c r="F77" i="4"/>
  <c r="G72" i="4"/>
  <c r="I72" i="4" s="1"/>
  <c r="F70" i="4"/>
  <c r="G65" i="4"/>
  <c r="I65" i="4" s="1"/>
  <c r="G64" i="4"/>
  <c r="I64" i="4" s="1"/>
  <c r="J64" i="4" s="1"/>
  <c r="G63" i="4"/>
  <c r="I63" i="4" s="1"/>
  <c r="J63" i="4" s="1"/>
  <c r="G62" i="4"/>
  <c r="I62" i="4" s="1"/>
  <c r="J62" i="4" s="1"/>
  <c r="G61" i="4"/>
  <c r="I61" i="4" s="1"/>
  <c r="G54" i="4"/>
  <c r="I54" i="4" s="1"/>
  <c r="G53" i="4"/>
  <c r="I53" i="4" s="1"/>
  <c r="G52" i="4"/>
  <c r="I52" i="4" s="1"/>
  <c r="G51" i="4"/>
  <c r="I51" i="4" s="1"/>
  <c r="F49" i="4"/>
  <c r="G44" i="4"/>
  <c r="I44" i="4" s="1"/>
  <c r="G43" i="4"/>
  <c r="I43" i="4" s="1"/>
  <c r="G42" i="4"/>
  <c r="I42" i="4" s="1"/>
  <c r="G41" i="4"/>
  <c r="I41" i="4" s="1"/>
  <c r="G40" i="4"/>
  <c r="I40" i="4" s="1"/>
  <c r="G39" i="4"/>
  <c r="I39" i="4" s="1"/>
  <c r="J39" i="4" s="1"/>
  <c r="G38" i="4"/>
  <c r="I38" i="4" s="1"/>
  <c r="J38" i="4" s="1"/>
  <c r="G37" i="4"/>
  <c r="I37" i="4" s="1"/>
  <c r="J37" i="4" s="1"/>
  <c r="G36" i="4"/>
  <c r="I36" i="4" s="1"/>
  <c r="J36" i="4" s="1"/>
  <c r="G35" i="4"/>
  <c r="I35" i="4" s="1"/>
  <c r="G34" i="4"/>
  <c r="I34" i="4" s="1"/>
  <c r="J34" i="4" s="1"/>
  <c r="F32" i="4"/>
  <c r="I27" i="4"/>
  <c r="I21" i="4"/>
  <c r="I20" i="4"/>
  <c r="I19" i="4"/>
  <c r="I18" i="4"/>
  <c r="I17" i="4"/>
  <c r="I16" i="4"/>
  <c r="I15" i="4"/>
  <c r="I14" i="4"/>
  <c r="I13" i="4"/>
  <c r="I12" i="4"/>
  <c r="I11" i="4"/>
  <c r="I10" i="4"/>
  <c r="J10" i="4" s="1"/>
  <c r="I9" i="4"/>
  <c r="J9" i="4" s="1"/>
  <c r="I8" i="4"/>
  <c r="J8" i="4" s="1"/>
  <c r="I7" i="4"/>
  <c r="J7" i="4" s="1"/>
  <c r="F5" i="4"/>
  <c r="G537" i="3"/>
  <c r="I537" i="3" s="1"/>
  <c r="G536" i="3"/>
  <c r="I536" i="3" s="1"/>
  <c r="G535" i="3"/>
  <c r="I535" i="3" s="1"/>
  <c r="G534" i="3"/>
  <c r="I534" i="3" s="1"/>
  <c r="G533" i="3"/>
  <c r="I533" i="3" s="1"/>
  <c r="G532" i="3"/>
  <c r="I532" i="3" s="1"/>
  <c r="J532" i="3" s="1"/>
  <c r="G531" i="3"/>
  <c r="I531" i="3" s="1"/>
  <c r="G530" i="3"/>
  <c r="I530" i="3" s="1"/>
  <c r="G529" i="3"/>
  <c r="I529" i="3" s="1"/>
  <c r="G528" i="3"/>
  <c r="I528" i="3" s="1"/>
  <c r="G527" i="3"/>
  <c r="I527" i="3" s="1"/>
  <c r="J527" i="3" s="1"/>
  <c r="G526" i="3"/>
  <c r="I526" i="3" s="1"/>
  <c r="J526" i="3" s="1"/>
  <c r="G525" i="3"/>
  <c r="I525" i="3" s="1"/>
  <c r="J525" i="3" s="1"/>
  <c r="G524" i="3"/>
  <c r="I524" i="3" s="1"/>
  <c r="G523" i="3"/>
  <c r="I523" i="3" s="1"/>
  <c r="G522" i="3"/>
  <c r="I522" i="3" s="1"/>
  <c r="G521" i="3"/>
  <c r="I521" i="3" s="1"/>
  <c r="F519" i="3"/>
  <c r="G514" i="3"/>
  <c r="I514" i="3" s="1"/>
  <c r="G513" i="3"/>
  <c r="I513" i="3" s="1"/>
  <c r="G512" i="3"/>
  <c r="I512" i="3" s="1"/>
  <c r="G511" i="3"/>
  <c r="I511" i="3" s="1"/>
  <c r="G510" i="3"/>
  <c r="I510" i="3" s="1"/>
  <c r="G509" i="3"/>
  <c r="I509" i="3" s="1"/>
  <c r="G508" i="3"/>
  <c r="I508" i="3" s="1"/>
  <c r="J508" i="3" s="1"/>
  <c r="G507" i="3"/>
  <c r="I507" i="3" s="1"/>
  <c r="G506" i="3"/>
  <c r="I506" i="3" s="1"/>
  <c r="G505" i="3"/>
  <c r="I505" i="3" s="1"/>
  <c r="G504" i="3"/>
  <c r="I504" i="3" s="1"/>
  <c r="J504" i="3" s="1"/>
  <c r="G503" i="3"/>
  <c r="I503" i="3" s="1"/>
  <c r="J503" i="3" s="1"/>
  <c r="G502" i="3"/>
  <c r="I502" i="3" s="1"/>
  <c r="J502" i="3" s="1"/>
  <c r="G501" i="3"/>
  <c r="I501" i="3" s="1"/>
  <c r="J501" i="3" s="1"/>
  <c r="G500" i="3"/>
  <c r="I500" i="3" s="1"/>
  <c r="J500" i="3" s="1"/>
  <c r="G499" i="3"/>
  <c r="I499" i="3" s="1"/>
  <c r="J499" i="3" s="1"/>
  <c r="G498" i="3"/>
  <c r="I498" i="3" s="1"/>
  <c r="J498" i="3" s="1"/>
  <c r="F515" i="3"/>
  <c r="H515" i="3"/>
  <c r="E515" i="3"/>
  <c r="F496" i="3"/>
  <c r="G479" i="3"/>
  <c r="I479" i="3" s="1"/>
  <c r="G477" i="3"/>
  <c r="I477" i="3" s="1"/>
  <c r="G475" i="3"/>
  <c r="I475" i="3" s="1"/>
  <c r="G474" i="3"/>
  <c r="I474" i="3" s="1"/>
  <c r="G473" i="3"/>
  <c r="I473" i="3" s="1"/>
  <c r="G472" i="3"/>
  <c r="I472" i="3" s="1"/>
  <c r="G470" i="3"/>
  <c r="I470" i="3" s="1"/>
  <c r="G468" i="3"/>
  <c r="I468" i="3" s="1"/>
  <c r="G466" i="3"/>
  <c r="I466" i="3" s="1"/>
  <c r="G464" i="3"/>
  <c r="I464" i="3" s="1"/>
  <c r="G462" i="3"/>
  <c r="I462" i="3" s="1"/>
  <c r="G460" i="3"/>
  <c r="I460" i="3" s="1"/>
  <c r="G458" i="3"/>
  <c r="I458" i="3" s="1"/>
  <c r="G456" i="3"/>
  <c r="I456" i="3" s="1"/>
  <c r="G454" i="3"/>
  <c r="I454" i="3" s="1"/>
  <c r="G452" i="3"/>
  <c r="I452" i="3" s="1"/>
  <c r="G451" i="3"/>
  <c r="I451" i="3" s="1"/>
  <c r="G449" i="3"/>
  <c r="I449" i="3" s="1"/>
  <c r="J449" i="3" s="1"/>
  <c r="G447" i="3"/>
  <c r="I447" i="3" s="1"/>
  <c r="F444" i="3"/>
  <c r="G439" i="3"/>
  <c r="I439" i="3" s="1"/>
  <c r="G413" i="3"/>
  <c r="I413" i="3" s="1"/>
  <c r="G411" i="3"/>
  <c r="I411" i="3" s="1"/>
  <c r="G409" i="3"/>
  <c r="I409" i="3" s="1"/>
  <c r="G407" i="3"/>
  <c r="I407" i="3" s="1"/>
  <c r="G405" i="3"/>
  <c r="I405" i="3" s="1"/>
  <c r="G403" i="3"/>
  <c r="I403" i="3" s="1"/>
  <c r="G401" i="3"/>
  <c r="I401" i="3" s="1"/>
  <c r="G399" i="3"/>
  <c r="I399" i="3" s="1"/>
  <c r="J399" i="3" s="1"/>
  <c r="G396" i="3"/>
  <c r="I396" i="3" s="1"/>
  <c r="J396" i="3" s="1"/>
  <c r="G394" i="3"/>
  <c r="I394" i="3" s="1"/>
  <c r="J394" i="3" s="1"/>
  <c r="G390" i="3"/>
  <c r="I390" i="3" s="1"/>
  <c r="J390" i="3" s="1"/>
  <c r="F387" i="3"/>
  <c r="G382" i="3"/>
  <c r="I382" i="3" s="1"/>
  <c r="J382" i="3" s="1"/>
  <c r="G312" i="3"/>
  <c r="I312" i="3" s="1"/>
  <c r="J312" i="3" s="1"/>
  <c r="G311" i="3"/>
  <c r="I311" i="3" s="1"/>
  <c r="J311" i="3" s="1"/>
  <c r="G310" i="3"/>
  <c r="I310" i="3" s="1"/>
  <c r="J310" i="3" s="1"/>
  <c r="G309" i="3"/>
  <c r="I309" i="3" s="1"/>
  <c r="J309" i="3" s="1"/>
  <c r="G308" i="3"/>
  <c r="I308" i="3" s="1"/>
  <c r="J308" i="3" s="1"/>
  <c r="G307" i="3"/>
  <c r="I307" i="3" s="1"/>
  <c r="J307" i="3" s="1"/>
  <c r="G305" i="3"/>
  <c r="I305" i="3" s="1"/>
  <c r="J305" i="3" s="1"/>
  <c r="G303" i="3"/>
  <c r="I303" i="3" s="1"/>
  <c r="J303" i="3" s="1"/>
  <c r="G302" i="3"/>
  <c r="I302" i="3" s="1"/>
  <c r="J302" i="3" s="1"/>
  <c r="G300" i="3"/>
  <c r="I300" i="3" s="1"/>
  <c r="J300" i="3" s="1"/>
  <c r="G298" i="3"/>
  <c r="I298" i="3" s="1"/>
  <c r="J298" i="3" s="1"/>
  <c r="G296" i="3"/>
  <c r="I296" i="3" s="1"/>
  <c r="J296" i="3" s="1"/>
  <c r="G294" i="3"/>
  <c r="I294" i="3" s="1"/>
  <c r="J294" i="3" s="1"/>
  <c r="G293" i="3"/>
  <c r="I293" i="3" s="1"/>
  <c r="J293" i="3" s="1"/>
  <c r="G292" i="3"/>
  <c r="I292" i="3" s="1"/>
  <c r="J292" i="3" s="1"/>
  <c r="G290" i="3"/>
  <c r="I290" i="3" s="1"/>
  <c r="J290" i="3" s="1"/>
  <c r="G288" i="3"/>
  <c r="I288" i="3" s="1"/>
  <c r="J288" i="3" s="1"/>
  <c r="G286" i="3"/>
  <c r="I286" i="3" s="1"/>
  <c r="J286" i="3" s="1"/>
  <c r="G284" i="3"/>
  <c r="I284" i="3" s="1"/>
  <c r="J284" i="3" s="1"/>
  <c r="G282" i="3"/>
  <c r="I282" i="3" s="1"/>
  <c r="J282" i="3" s="1"/>
  <c r="G280" i="3"/>
  <c r="I280" i="3" s="1"/>
  <c r="J280" i="3" s="1"/>
  <c r="G278" i="3"/>
  <c r="I278" i="3" s="1"/>
  <c r="J278" i="3" s="1"/>
  <c r="G276" i="3"/>
  <c r="I276" i="3" s="1"/>
  <c r="J276" i="3" s="1"/>
  <c r="G274" i="3"/>
  <c r="I274" i="3" s="1"/>
  <c r="J274" i="3" s="1"/>
  <c r="G272" i="3"/>
  <c r="I272" i="3" s="1"/>
  <c r="J272" i="3" s="1"/>
  <c r="G270" i="3"/>
  <c r="I270" i="3" s="1"/>
  <c r="J270" i="3" s="1"/>
  <c r="G268" i="3"/>
  <c r="I268" i="3" s="1"/>
  <c r="J268" i="3" s="1"/>
  <c r="G266" i="3"/>
  <c r="I266" i="3" s="1"/>
  <c r="J266" i="3" s="1"/>
  <c r="G264" i="3"/>
  <c r="I264" i="3" s="1"/>
  <c r="G263" i="3"/>
  <c r="I263" i="3" s="1"/>
  <c r="G261" i="3"/>
  <c r="I261" i="3" s="1"/>
  <c r="G259" i="3"/>
  <c r="I259" i="3" s="1"/>
  <c r="F256" i="3"/>
  <c r="G251" i="3"/>
  <c r="I251" i="3" s="1"/>
  <c r="G250" i="3"/>
  <c r="I250" i="3" s="1"/>
  <c r="G249" i="3"/>
  <c r="I249" i="3" s="1"/>
  <c r="G248" i="3"/>
  <c r="I248" i="3" s="1"/>
  <c r="G247" i="3"/>
  <c r="I247" i="3" s="1"/>
  <c r="G246" i="3"/>
  <c r="I246" i="3" s="1"/>
  <c r="G245" i="3"/>
  <c r="I245" i="3" s="1"/>
  <c r="G244" i="3"/>
  <c r="I244" i="3" s="1"/>
  <c r="G243" i="3"/>
  <c r="I243" i="3" s="1"/>
  <c r="G242" i="3"/>
  <c r="I242" i="3" s="1"/>
  <c r="G241" i="3"/>
  <c r="I241" i="3" s="1"/>
  <c r="G240" i="3"/>
  <c r="I240" i="3" s="1"/>
  <c r="G239" i="3"/>
  <c r="I239" i="3" s="1"/>
  <c r="G238" i="3"/>
  <c r="I238" i="3" s="1"/>
  <c r="G237" i="3"/>
  <c r="I237" i="3" s="1"/>
  <c r="G236" i="3"/>
  <c r="I236" i="3" s="1"/>
  <c r="G235" i="3"/>
  <c r="I235" i="3" s="1"/>
  <c r="G234" i="3"/>
  <c r="I234" i="3" s="1"/>
  <c r="G233" i="3"/>
  <c r="I233" i="3" s="1"/>
  <c r="G232" i="3"/>
  <c r="I232" i="3" s="1"/>
  <c r="J232" i="3" s="1"/>
  <c r="G231" i="3"/>
  <c r="I231" i="3" s="1"/>
  <c r="J231" i="3" s="1"/>
  <c r="G230" i="3"/>
  <c r="I230" i="3" s="1"/>
  <c r="J230" i="3" s="1"/>
  <c r="F228" i="3"/>
  <c r="G223" i="3"/>
  <c r="I223" i="3" s="1"/>
  <c r="G222" i="3"/>
  <c r="I222" i="3" s="1"/>
  <c r="G221" i="3"/>
  <c r="I221" i="3" s="1"/>
  <c r="G220" i="3"/>
  <c r="I220" i="3" s="1"/>
  <c r="G219" i="3"/>
  <c r="I219" i="3" s="1"/>
  <c r="G218" i="3"/>
  <c r="I218" i="3" s="1"/>
  <c r="G217" i="3"/>
  <c r="I217" i="3" s="1"/>
  <c r="G216" i="3"/>
  <c r="I216" i="3" s="1"/>
  <c r="G215" i="3"/>
  <c r="I215" i="3" s="1"/>
  <c r="J215" i="3" s="1"/>
  <c r="G214" i="3"/>
  <c r="I214" i="3" s="1"/>
  <c r="J214" i="3" s="1"/>
  <c r="G213" i="3"/>
  <c r="I213" i="3" s="1"/>
  <c r="J213" i="3" s="1"/>
  <c r="G212" i="3"/>
  <c r="I212" i="3" s="1"/>
  <c r="G211" i="3"/>
  <c r="I211" i="3" s="1"/>
  <c r="J211" i="3" s="1"/>
  <c r="G210" i="3"/>
  <c r="I210" i="3" s="1"/>
  <c r="G209" i="3"/>
  <c r="I209" i="3" s="1"/>
  <c r="G208" i="3"/>
  <c r="I208" i="3" s="1"/>
  <c r="G207" i="3"/>
  <c r="I207" i="3" s="1"/>
  <c r="G206" i="3"/>
  <c r="I206" i="3" s="1"/>
  <c r="G205" i="3"/>
  <c r="I205" i="3" s="1"/>
  <c r="J205" i="3" s="1"/>
  <c r="G204" i="3"/>
  <c r="I204" i="3" s="1"/>
  <c r="J204" i="3" s="1"/>
  <c r="G203" i="3"/>
  <c r="I203" i="3" s="1"/>
  <c r="J203" i="3" s="1"/>
  <c r="G202" i="3"/>
  <c r="I202" i="3" s="1"/>
  <c r="J202" i="3" s="1"/>
  <c r="G201" i="3"/>
  <c r="I201" i="3" s="1"/>
  <c r="J201" i="3" s="1"/>
  <c r="G200" i="3"/>
  <c r="I200" i="3" s="1"/>
  <c r="G199" i="3"/>
  <c r="I199" i="3" s="1"/>
  <c r="J199" i="3" s="1"/>
  <c r="G198" i="3"/>
  <c r="I198" i="3" s="1"/>
  <c r="J198" i="3" s="1"/>
  <c r="G197" i="3"/>
  <c r="I197" i="3" s="1"/>
  <c r="G196" i="3"/>
  <c r="I196" i="3" s="1"/>
  <c r="G195" i="3"/>
  <c r="I195" i="3" s="1"/>
  <c r="G194" i="3"/>
  <c r="I194" i="3" s="1"/>
  <c r="G193" i="3"/>
  <c r="I193" i="3" s="1"/>
  <c r="G192" i="3"/>
  <c r="I192" i="3" s="1"/>
  <c r="J192" i="3" s="1"/>
  <c r="G191" i="3"/>
  <c r="I191" i="3" s="1"/>
  <c r="J191" i="3" s="1"/>
  <c r="G190" i="3"/>
  <c r="I190" i="3" s="1"/>
  <c r="J190" i="3" s="1"/>
  <c r="G189" i="3"/>
  <c r="I189" i="3" s="1"/>
  <c r="J189" i="3" s="1"/>
  <c r="G188" i="3"/>
  <c r="I188" i="3" s="1"/>
  <c r="J188" i="3" s="1"/>
  <c r="F186" i="3"/>
  <c r="G181" i="3"/>
  <c r="I181" i="3" s="1"/>
  <c r="G180" i="3"/>
  <c r="I180" i="3" s="1"/>
  <c r="G179" i="3"/>
  <c r="I179" i="3" s="1"/>
  <c r="G178" i="3"/>
  <c r="I178" i="3" s="1"/>
  <c r="G177" i="3"/>
  <c r="I177" i="3" s="1"/>
  <c r="G176" i="3"/>
  <c r="I176" i="3" s="1"/>
  <c r="J176" i="3" s="1"/>
  <c r="G175" i="3"/>
  <c r="I175" i="3" s="1"/>
  <c r="J175" i="3" s="1"/>
  <c r="G174" i="3"/>
  <c r="I174" i="3" s="1"/>
  <c r="J174" i="3" s="1"/>
  <c r="G173" i="3"/>
  <c r="I173" i="3" s="1"/>
  <c r="J173" i="3" s="1"/>
  <c r="G172" i="3"/>
  <c r="I172" i="3" s="1"/>
  <c r="J172" i="3" s="1"/>
  <c r="G171" i="3"/>
  <c r="I171" i="3" s="1"/>
  <c r="J171" i="3" s="1"/>
  <c r="G170" i="3"/>
  <c r="I170" i="3" s="1"/>
  <c r="J170" i="3" s="1"/>
  <c r="G169" i="3"/>
  <c r="I169" i="3" s="1"/>
  <c r="J169" i="3" s="1"/>
  <c r="G168" i="3"/>
  <c r="I168" i="3" s="1"/>
  <c r="J168" i="3" s="1"/>
  <c r="G167" i="3"/>
  <c r="I167" i="3" s="1"/>
  <c r="J167" i="3" s="1"/>
  <c r="G166" i="3"/>
  <c r="I166" i="3" s="1"/>
  <c r="J166" i="3" s="1"/>
  <c r="G165" i="3"/>
  <c r="I165" i="3" s="1"/>
  <c r="J165" i="3" s="1"/>
  <c r="G164" i="3"/>
  <c r="I164" i="3" s="1"/>
  <c r="J164" i="3" s="1"/>
  <c r="G163" i="3"/>
  <c r="I163" i="3" s="1"/>
  <c r="J163" i="3" s="1"/>
  <c r="G162" i="3"/>
  <c r="I162" i="3" s="1"/>
  <c r="J162" i="3" s="1"/>
  <c r="G161" i="3"/>
  <c r="I161" i="3" s="1"/>
  <c r="G160" i="3"/>
  <c r="I160" i="3" s="1"/>
  <c r="J160" i="3" s="1"/>
  <c r="G159" i="3"/>
  <c r="I159" i="3" s="1"/>
  <c r="J159" i="3" s="1"/>
  <c r="G158" i="3"/>
  <c r="I158" i="3" s="1"/>
  <c r="J158" i="3" s="1"/>
  <c r="G157" i="3"/>
  <c r="I157" i="3" s="1"/>
  <c r="J157" i="3" s="1"/>
  <c r="G156" i="3"/>
  <c r="I156" i="3" s="1"/>
  <c r="J156" i="3" s="1"/>
  <c r="G155" i="3"/>
  <c r="I155" i="3" s="1"/>
  <c r="J155" i="3" s="1"/>
  <c r="G154" i="3"/>
  <c r="I154" i="3" s="1"/>
  <c r="J154" i="3" s="1"/>
  <c r="G153" i="3"/>
  <c r="I153" i="3" s="1"/>
  <c r="J153" i="3" s="1"/>
  <c r="G152" i="3"/>
  <c r="I152" i="3" s="1"/>
  <c r="G151" i="3"/>
  <c r="I151" i="3" s="1"/>
  <c r="J151" i="3" s="1"/>
  <c r="G150" i="3"/>
  <c r="I150" i="3" s="1"/>
  <c r="J150" i="3" s="1"/>
  <c r="G149" i="3"/>
  <c r="I149" i="3" s="1"/>
  <c r="G148" i="3"/>
  <c r="I148" i="3" s="1"/>
  <c r="G147" i="3"/>
  <c r="I147" i="3" s="1"/>
  <c r="G146" i="3"/>
  <c r="I146" i="3" s="1"/>
  <c r="J146" i="3" s="1"/>
  <c r="G145" i="3"/>
  <c r="I145" i="3" s="1"/>
  <c r="J145" i="3" s="1"/>
  <c r="G144" i="3"/>
  <c r="I144" i="3" s="1"/>
  <c r="J144" i="3" s="1"/>
  <c r="G143" i="3"/>
  <c r="I143" i="3" s="1"/>
  <c r="J143" i="3" s="1"/>
  <c r="G142" i="3"/>
  <c r="I142" i="3" s="1"/>
  <c r="J142" i="3" s="1"/>
  <c r="G140" i="3"/>
  <c r="I140" i="3" s="1"/>
  <c r="J140" i="3" s="1"/>
  <c r="G139" i="3"/>
  <c r="I139" i="3" s="1"/>
  <c r="J139" i="3" s="1"/>
  <c r="G138" i="3"/>
  <c r="I138" i="3" s="1"/>
  <c r="J138" i="3" s="1"/>
  <c r="G137" i="3"/>
  <c r="I137" i="3" s="1"/>
  <c r="J137" i="3" s="1"/>
  <c r="G136" i="3"/>
  <c r="I136" i="3" s="1"/>
  <c r="G135" i="3"/>
  <c r="I135" i="3" s="1"/>
  <c r="G134" i="3"/>
  <c r="I134" i="3" s="1"/>
  <c r="G133" i="3"/>
  <c r="I133" i="3" s="1"/>
  <c r="G132" i="3"/>
  <c r="I132" i="3" s="1"/>
  <c r="G131" i="3"/>
  <c r="I131" i="3" s="1"/>
  <c r="G130" i="3"/>
  <c r="I130" i="3" s="1"/>
  <c r="G129" i="3"/>
  <c r="I129" i="3" s="1"/>
  <c r="J129" i="3" s="1"/>
  <c r="G128" i="3"/>
  <c r="I128" i="3" s="1"/>
  <c r="J128" i="3" s="1"/>
  <c r="G127" i="3"/>
  <c r="I127" i="3" s="1"/>
  <c r="J127" i="3" s="1"/>
  <c r="F125" i="3"/>
  <c r="G120" i="3"/>
  <c r="I120" i="3" s="1"/>
  <c r="G119" i="3"/>
  <c r="I119" i="3" s="1"/>
  <c r="G118" i="3"/>
  <c r="I118" i="3" s="1"/>
  <c r="G117" i="3"/>
  <c r="I117" i="3" s="1"/>
  <c r="G116" i="3"/>
  <c r="I116" i="3" s="1"/>
  <c r="G115" i="3"/>
  <c r="I115" i="3" s="1"/>
  <c r="G114" i="3"/>
  <c r="I114" i="3" s="1"/>
  <c r="G113" i="3"/>
  <c r="I113" i="3" s="1"/>
  <c r="G112" i="3"/>
  <c r="I112" i="3" s="1"/>
  <c r="J112" i="3" s="1"/>
  <c r="G111" i="3"/>
  <c r="I111" i="3" s="1"/>
  <c r="J111" i="3" s="1"/>
  <c r="G110" i="3"/>
  <c r="I110" i="3" s="1"/>
  <c r="J110" i="3" s="1"/>
  <c r="G109" i="3"/>
  <c r="I109" i="3" s="1"/>
  <c r="J109" i="3" s="1"/>
  <c r="G108" i="3"/>
  <c r="I108" i="3" s="1"/>
  <c r="J108" i="3" s="1"/>
  <c r="G107" i="3"/>
  <c r="I107" i="3" s="1"/>
  <c r="J107" i="3" s="1"/>
  <c r="G106" i="3"/>
  <c r="I106" i="3" s="1"/>
  <c r="J106" i="3" s="1"/>
  <c r="G105" i="3"/>
  <c r="I105" i="3" s="1"/>
  <c r="J105" i="3" s="1"/>
  <c r="G104" i="3"/>
  <c r="I104" i="3" s="1"/>
  <c r="J104" i="3" s="1"/>
  <c r="G103" i="3"/>
  <c r="I103" i="3" s="1"/>
  <c r="J103" i="3" s="1"/>
  <c r="G102" i="3"/>
  <c r="I102" i="3" s="1"/>
  <c r="J102" i="3" s="1"/>
  <c r="G101" i="3"/>
  <c r="I101" i="3" s="1"/>
  <c r="J101" i="3" s="1"/>
  <c r="G100" i="3"/>
  <c r="I100" i="3" s="1"/>
  <c r="J100" i="3" s="1"/>
  <c r="G99" i="3"/>
  <c r="I99" i="3" s="1"/>
  <c r="J99" i="3" s="1"/>
  <c r="G98" i="3"/>
  <c r="I98" i="3" s="1"/>
  <c r="J98" i="3" s="1"/>
  <c r="G97" i="3"/>
  <c r="I97" i="3" s="1"/>
  <c r="J97" i="3" s="1"/>
  <c r="G96" i="3"/>
  <c r="I96" i="3" s="1"/>
  <c r="J96" i="3" s="1"/>
  <c r="G94" i="3"/>
  <c r="I94" i="3" s="1"/>
  <c r="J94" i="3" s="1"/>
  <c r="F92" i="3"/>
  <c r="G87" i="3"/>
  <c r="I87" i="3" s="1"/>
  <c r="G86" i="3"/>
  <c r="I86" i="3" s="1"/>
  <c r="G85" i="3"/>
  <c r="I85" i="3" s="1"/>
  <c r="G84" i="3"/>
  <c r="I84" i="3" s="1"/>
  <c r="G83" i="3"/>
  <c r="I83" i="3" s="1"/>
  <c r="G82" i="3"/>
  <c r="I82" i="3" s="1"/>
  <c r="G81" i="3"/>
  <c r="I81" i="3" s="1"/>
  <c r="G80" i="3"/>
  <c r="I80" i="3" s="1"/>
  <c r="G79" i="3"/>
  <c r="I79" i="3" s="1"/>
  <c r="G78" i="3"/>
  <c r="I78" i="3" s="1"/>
  <c r="G76" i="3"/>
  <c r="I76" i="3" s="1"/>
  <c r="G75" i="3"/>
  <c r="I75" i="3" s="1"/>
  <c r="G74" i="3"/>
  <c r="I74" i="3" s="1"/>
  <c r="G73" i="3"/>
  <c r="I73" i="3" s="1"/>
  <c r="G72" i="3"/>
  <c r="I72" i="3" s="1"/>
  <c r="F70" i="3"/>
  <c r="F48" i="3"/>
  <c r="G65" i="3"/>
  <c r="I65" i="3" s="1"/>
  <c r="G64" i="3"/>
  <c r="I64" i="3" s="1"/>
  <c r="G63" i="3"/>
  <c r="I63" i="3" s="1"/>
  <c r="G62" i="3"/>
  <c r="I62" i="3" s="1"/>
  <c r="G61" i="3"/>
  <c r="I61" i="3" s="1"/>
  <c r="G60" i="3"/>
  <c r="I60" i="3" s="1"/>
  <c r="G59" i="3"/>
  <c r="I59" i="3" s="1"/>
  <c r="G58" i="3"/>
  <c r="I58" i="3" s="1"/>
  <c r="G57" i="3"/>
  <c r="I57" i="3" s="1"/>
  <c r="G56" i="3"/>
  <c r="I56" i="3" s="1"/>
  <c r="G55" i="3"/>
  <c r="I55" i="3" s="1"/>
  <c r="G54" i="3"/>
  <c r="I54" i="3" s="1"/>
  <c r="G53" i="3"/>
  <c r="I53" i="3" s="1"/>
  <c r="G51" i="3"/>
  <c r="I51" i="3" s="1"/>
  <c r="G50" i="3"/>
  <c r="I50" i="3" s="1"/>
  <c r="J50" i="3" s="1"/>
  <c r="F44" i="3"/>
  <c r="G43" i="3"/>
  <c r="I43" i="3" s="1"/>
  <c r="G42" i="3"/>
  <c r="I42" i="3" s="1"/>
  <c r="G41" i="3"/>
  <c r="I41" i="3" s="1"/>
  <c r="G40" i="3"/>
  <c r="I40" i="3" s="1"/>
  <c r="G39" i="3"/>
  <c r="I39" i="3" s="1"/>
  <c r="G38" i="3"/>
  <c r="I38" i="3" s="1"/>
  <c r="G37" i="3"/>
  <c r="I37" i="3" s="1"/>
  <c r="G36" i="3"/>
  <c r="I36" i="3" s="1"/>
  <c r="G35" i="3"/>
  <c r="I35" i="3" s="1"/>
  <c r="G34" i="3"/>
  <c r="I34" i="3" s="1"/>
  <c r="G33" i="3"/>
  <c r="I33" i="3" s="1"/>
  <c r="G32" i="3"/>
  <c r="I32" i="3" s="1"/>
  <c r="F30" i="3"/>
  <c r="G36" i="5" l="1"/>
  <c r="J534" i="3"/>
  <c r="J61" i="4"/>
  <c r="J65" i="4"/>
  <c r="J60" i="6"/>
  <c r="J531" i="3"/>
  <c r="J533" i="3"/>
  <c r="J35" i="4"/>
  <c r="J61" i="6"/>
  <c r="I7" i="5"/>
  <c r="I52" i="6"/>
  <c r="G68" i="6"/>
  <c r="I110" i="4"/>
  <c r="G110" i="4"/>
  <c r="J30" i="7"/>
  <c r="K30" i="7"/>
  <c r="J32" i="7"/>
  <c r="K32" i="7"/>
  <c r="J34" i="7"/>
  <c r="K34" i="7"/>
  <c r="J36" i="7"/>
  <c r="K36" i="7"/>
  <c r="J38" i="7"/>
  <c r="K38" i="7"/>
  <c r="J40" i="7"/>
  <c r="K40" i="7"/>
  <c r="J42" i="7"/>
  <c r="K42" i="7"/>
  <c r="J44" i="7"/>
  <c r="K44" i="7"/>
  <c r="J29" i="7"/>
  <c r="K29" i="7"/>
  <c r="J31" i="7"/>
  <c r="K31" i="7"/>
  <c r="J33" i="7"/>
  <c r="K33" i="7"/>
  <c r="J35" i="7"/>
  <c r="K35" i="7"/>
  <c r="J37" i="7"/>
  <c r="K37" i="7"/>
  <c r="J39" i="7"/>
  <c r="K39" i="7"/>
  <c r="J41" i="7"/>
  <c r="K41" i="7"/>
  <c r="J43" i="7"/>
  <c r="K43" i="7"/>
  <c r="J13" i="7"/>
  <c r="K13" i="7"/>
  <c r="J18" i="7"/>
  <c r="K18" i="7"/>
  <c r="J22" i="7"/>
  <c r="K22" i="7"/>
  <c r="J7" i="7"/>
  <c r="K7" i="7"/>
  <c r="J14" i="7"/>
  <c r="K14" i="7"/>
  <c r="J21" i="7"/>
  <c r="K21" i="7"/>
  <c r="K8" i="7"/>
  <c r="K9" i="7"/>
  <c r="K10" i="7"/>
  <c r="K11" i="7"/>
  <c r="K12" i="7"/>
  <c r="K15" i="7"/>
  <c r="K16" i="7"/>
  <c r="K17" i="7"/>
  <c r="K19" i="7"/>
  <c r="K20" i="7"/>
  <c r="K55" i="6"/>
  <c r="K56" i="6"/>
  <c r="K57" i="6"/>
  <c r="K58" i="6"/>
  <c r="K59" i="6"/>
  <c r="K60" i="6"/>
  <c r="K61" i="6"/>
  <c r="J16" i="6"/>
  <c r="K16" i="6"/>
  <c r="J18" i="6"/>
  <c r="K18" i="6"/>
  <c r="J20" i="6"/>
  <c r="K20" i="6"/>
  <c r="J22" i="6"/>
  <c r="K22" i="6"/>
  <c r="J24" i="6"/>
  <c r="K24" i="6"/>
  <c r="J26" i="6"/>
  <c r="K26" i="6"/>
  <c r="J28" i="6"/>
  <c r="K28" i="6"/>
  <c r="J30" i="6"/>
  <c r="K30" i="6"/>
  <c r="J32" i="6"/>
  <c r="K32" i="6"/>
  <c r="J34" i="6"/>
  <c r="J17" i="6"/>
  <c r="K17" i="6"/>
  <c r="J19" i="6"/>
  <c r="K19" i="6"/>
  <c r="J21" i="6"/>
  <c r="K21" i="6"/>
  <c r="J23" i="6"/>
  <c r="K23" i="6"/>
  <c r="J25" i="6"/>
  <c r="K25" i="6"/>
  <c r="J27" i="6"/>
  <c r="K27" i="6"/>
  <c r="J29" i="6"/>
  <c r="K29" i="6"/>
  <c r="J31" i="6"/>
  <c r="K31" i="6"/>
  <c r="J33" i="6"/>
  <c r="K33" i="6"/>
  <c r="J6" i="6"/>
  <c r="K6" i="6"/>
  <c r="J8" i="6"/>
  <c r="K8" i="6"/>
  <c r="J10" i="6"/>
  <c r="K10" i="6"/>
  <c r="J7" i="6"/>
  <c r="K7" i="6"/>
  <c r="J9" i="6"/>
  <c r="K9" i="6"/>
  <c r="K8" i="5"/>
  <c r="K9" i="5"/>
  <c r="K10" i="5"/>
  <c r="K11" i="5"/>
  <c r="J117" i="4"/>
  <c r="K117" i="4"/>
  <c r="J116" i="4"/>
  <c r="K116" i="4"/>
  <c r="J109" i="4"/>
  <c r="K109" i="4"/>
  <c r="J108" i="4"/>
  <c r="K108" i="4"/>
  <c r="J105" i="4"/>
  <c r="K105" i="4"/>
  <c r="J107" i="4"/>
  <c r="K107" i="4"/>
  <c r="J106" i="4"/>
  <c r="K106" i="4"/>
  <c r="K98" i="4"/>
  <c r="J98" i="4"/>
  <c r="K97" i="4"/>
  <c r="K99" i="4" s="1"/>
  <c r="J97" i="4"/>
  <c r="J99" i="4" s="1"/>
  <c r="J88" i="4"/>
  <c r="K88" i="4"/>
  <c r="J90" i="4"/>
  <c r="K90" i="4"/>
  <c r="J87" i="4"/>
  <c r="K87" i="4"/>
  <c r="J89" i="4"/>
  <c r="K89" i="4"/>
  <c r="J80" i="4"/>
  <c r="K80" i="4"/>
  <c r="J79" i="4"/>
  <c r="K79" i="4"/>
  <c r="J72" i="4"/>
  <c r="K62" i="4"/>
  <c r="K64" i="4"/>
  <c r="K65" i="4"/>
  <c r="J52" i="4"/>
  <c r="J54" i="4"/>
  <c r="K54" i="4"/>
  <c r="J51" i="4"/>
  <c r="J53" i="4"/>
  <c r="J40" i="4"/>
  <c r="K40" i="4"/>
  <c r="J42" i="4"/>
  <c r="J44" i="4"/>
  <c r="K44" i="4"/>
  <c r="J41" i="4"/>
  <c r="K41" i="4"/>
  <c r="J43" i="4"/>
  <c r="K43" i="4"/>
  <c r="K34" i="4"/>
  <c r="K35" i="4"/>
  <c r="K36" i="4"/>
  <c r="K37" i="4"/>
  <c r="K39" i="4"/>
  <c r="J12" i="4"/>
  <c r="K12" i="4"/>
  <c r="J14" i="4"/>
  <c r="K14" i="4"/>
  <c r="J16" i="4"/>
  <c r="K16" i="4"/>
  <c r="J18" i="4"/>
  <c r="K18" i="4"/>
  <c r="J20" i="4"/>
  <c r="K20" i="4"/>
  <c r="J27" i="4"/>
  <c r="K27" i="4"/>
  <c r="J11" i="4"/>
  <c r="K11" i="4"/>
  <c r="J13" i="4"/>
  <c r="K13" i="4"/>
  <c r="J15" i="4"/>
  <c r="K15" i="4"/>
  <c r="J17" i="4"/>
  <c r="K17" i="4"/>
  <c r="J19" i="4"/>
  <c r="K19" i="4"/>
  <c r="J21" i="4"/>
  <c r="K21" i="4"/>
  <c r="K7" i="4"/>
  <c r="K8" i="4"/>
  <c r="K9" i="4"/>
  <c r="K10" i="4"/>
  <c r="J521" i="3"/>
  <c r="K521" i="3"/>
  <c r="J523" i="3"/>
  <c r="K523" i="3"/>
  <c r="J528" i="3"/>
  <c r="K528" i="3"/>
  <c r="J530" i="3"/>
  <c r="K530" i="3"/>
  <c r="J536" i="3"/>
  <c r="K536" i="3"/>
  <c r="J522" i="3"/>
  <c r="K522" i="3"/>
  <c r="J524" i="3"/>
  <c r="K524" i="3"/>
  <c r="J529" i="3"/>
  <c r="K529" i="3"/>
  <c r="J535" i="3"/>
  <c r="K535" i="3"/>
  <c r="J537" i="3"/>
  <c r="K537" i="3"/>
  <c r="K525" i="3"/>
  <c r="K526" i="3"/>
  <c r="K527" i="3"/>
  <c r="K531" i="3"/>
  <c r="K532" i="3"/>
  <c r="K533" i="3"/>
  <c r="K534" i="3"/>
  <c r="G515" i="3"/>
  <c r="J505" i="3"/>
  <c r="K505" i="3"/>
  <c r="J507" i="3"/>
  <c r="K507" i="3"/>
  <c r="J510" i="3"/>
  <c r="K510" i="3"/>
  <c r="J512" i="3"/>
  <c r="K512" i="3"/>
  <c r="J514" i="3"/>
  <c r="K514" i="3"/>
  <c r="J506" i="3"/>
  <c r="K506" i="3"/>
  <c r="J509" i="3"/>
  <c r="K509" i="3"/>
  <c r="J511" i="3"/>
  <c r="K511" i="3"/>
  <c r="J513" i="3"/>
  <c r="K513" i="3"/>
  <c r="K498" i="3"/>
  <c r="K499" i="3"/>
  <c r="K500" i="3"/>
  <c r="K501" i="3"/>
  <c r="K502" i="3"/>
  <c r="K503" i="3"/>
  <c r="K504" i="3"/>
  <c r="K508" i="3"/>
  <c r="I515" i="3"/>
  <c r="J472" i="3"/>
  <c r="K472" i="3"/>
  <c r="J474" i="3"/>
  <c r="K474" i="3"/>
  <c r="J477" i="3"/>
  <c r="K477" i="3"/>
  <c r="J473" i="3"/>
  <c r="J475" i="3"/>
  <c r="K475" i="3"/>
  <c r="J479" i="3"/>
  <c r="K479" i="3"/>
  <c r="K403" i="3"/>
  <c r="K407" i="3"/>
  <c r="K411" i="3"/>
  <c r="J439" i="3"/>
  <c r="K439" i="3"/>
  <c r="K401" i="3"/>
  <c r="K405" i="3"/>
  <c r="K409" i="3"/>
  <c r="J413" i="3"/>
  <c r="K413" i="3"/>
  <c r="K390" i="3"/>
  <c r="K394" i="3"/>
  <c r="K396" i="3"/>
  <c r="J261" i="3"/>
  <c r="K261" i="3"/>
  <c r="J264" i="3"/>
  <c r="K264" i="3"/>
  <c r="J259" i="3"/>
  <c r="K259" i="3"/>
  <c r="J263" i="3"/>
  <c r="K263" i="3"/>
  <c r="K266" i="3"/>
  <c r="K268" i="3"/>
  <c r="K270" i="3"/>
  <c r="K272" i="3"/>
  <c r="K274" i="3"/>
  <c r="K276" i="3"/>
  <c r="K280" i="3"/>
  <c r="K282" i="3"/>
  <c r="K284" i="3"/>
  <c r="K286" i="3"/>
  <c r="K288" i="3"/>
  <c r="K290" i="3"/>
  <c r="K292" i="3"/>
  <c r="K293" i="3"/>
  <c r="K294" i="3"/>
  <c r="K296" i="3"/>
  <c r="K298" i="3"/>
  <c r="K300" i="3"/>
  <c r="K302" i="3"/>
  <c r="K303" i="3"/>
  <c r="K305" i="3"/>
  <c r="K307" i="3"/>
  <c r="K311" i="3"/>
  <c r="K312" i="3"/>
  <c r="K382" i="3"/>
  <c r="J233" i="3"/>
  <c r="J235" i="3"/>
  <c r="J237" i="3"/>
  <c r="J239" i="3"/>
  <c r="J241" i="3"/>
  <c r="J243" i="3"/>
  <c r="J245" i="3"/>
  <c r="J247" i="3"/>
  <c r="J249" i="3"/>
  <c r="J251" i="3"/>
  <c r="J234" i="3"/>
  <c r="J236" i="3"/>
  <c r="J238" i="3"/>
  <c r="J240" i="3"/>
  <c r="J242" i="3"/>
  <c r="K242" i="3"/>
  <c r="J244" i="3"/>
  <c r="J246" i="3"/>
  <c r="J248" i="3"/>
  <c r="J250" i="3"/>
  <c r="J194" i="3"/>
  <c r="K194" i="3"/>
  <c r="J196" i="3"/>
  <c r="K196" i="3"/>
  <c r="J200" i="3"/>
  <c r="K200" i="3"/>
  <c r="J207" i="3"/>
  <c r="K207" i="3"/>
  <c r="J209" i="3"/>
  <c r="K209" i="3"/>
  <c r="J212" i="3"/>
  <c r="K212" i="3"/>
  <c r="J217" i="3"/>
  <c r="K217" i="3"/>
  <c r="J219" i="3"/>
  <c r="K219" i="3"/>
  <c r="J221" i="3"/>
  <c r="J223" i="3"/>
  <c r="K223" i="3"/>
  <c r="J193" i="3"/>
  <c r="K193" i="3"/>
  <c r="J195" i="3"/>
  <c r="K195" i="3"/>
  <c r="J197" i="3"/>
  <c r="K197" i="3"/>
  <c r="J206" i="3"/>
  <c r="K206" i="3"/>
  <c r="J208" i="3"/>
  <c r="K208" i="3"/>
  <c r="J210" i="3"/>
  <c r="K210" i="3"/>
  <c r="J216" i="3"/>
  <c r="K216" i="3"/>
  <c r="J218" i="3"/>
  <c r="K218" i="3"/>
  <c r="J220" i="3"/>
  <c r="J222" i="3"/>
  <c r="K222" i="3"/>
  <c r="K188" i="3"/>
  <c r="K189" i="3"/>
  <c r="K190" i="3"/>
  <c r="K191" i="3"/>
  <c r="K192" i="3"/>
  <c r="K198" i="3"/>
  <c r="K199" i="3"/>
  <c r="K201" i="3"/>
  <c r="K202" i="3"/>
  <c r="K203" i="3"/>
  <c r="K204" i="3"/>
  <c r="K205" i="3"/>
  <c r="K211" i="3"/>
  <c r="K213" i="3"/>
  <c r="K214" i="3"/>
  <c r="K215" i="3"/>
  <c r="J130" i="3"/>
  <c r="K130" i="3"/>
  <c r="J132" i="3"/>
  <c r="K132" i="3"/>
  <c r="J134" i="3"/>
  <c r="K134" i="3"/>
  <c r="J136" i="3"/>
  <c r="K136" i="3"/>
  <c r="J148" i="3"/>
  <c r="K148" i="3"/>
  <c r="J152" i="3"/>
  <c r="K152" i="3"/>
  <c r="J177" i="3"/>
  <c r="K177" i="3"/>
  <c r="J179" i="3"/>
  <c r="K179" i="3"/>
  <c r="J181" i="3"/>
  <c r="K181" i="3"/>
  <c r="J131" i="3"/>
  <c r="K131" i="3"/>
  <c r="J133" i="3"/>
  <c r="K133" i="3"/>
  <c r="J135" i="3"/>
  <c r="K135" i="3"/>
  <c r="J147" i="3"/>
  <c r="K147" i="3"/>
  <c r="J149" i="3"/>
  <c r="K149" i="3"/>
  <c r="J161" i="3"/>
  <c r="K161" i="3"/>
  <c r="J178" i="3"/>
  <c r="K178" i="3"/>
  <c r="J180" i="3"/>
  <c r="K180" i="3"/>
  <c r="K127" i="3"/>
  <c r="K128" i="3"/>
  <c r="K129" i="3"/>
  <c r="K137" i="3"/>
  <c r="K138" i="3"/>
  <c r="K139" i="3"/>
  <c r="K140" i="3"/>
  <c r="K142" i="3"/>
  <c r="K143" i="3"/>
  <c r="K144" i="3"/>
  <c r="K145" i="3"/>
  <c r="K146" i="3"/>
  <c r="K150" i="3"/>
  <c r="K151" i="3"/>
  <c r="K153" i="3"/>
  <c r="K154" i="3"/>
  <c r="K155" i="3"/>
  <c r="K156" i="3"/>
  <c r="K157" i="3"/>
  <c r="K158" i="3"/>
  <c r="K159" i="3"/>
  <c r="K160" i="3"/>
  <c r="K162" i="3"/>
  <c r="K163" i="3"/>
  <c r="K164" i="3"/>
  <c r="K165" i="3"/>
  <c r="K166" i="3"/>
  <c r="K167" i="3"/>
  <c r="K168" i="3"/>
  <c r="K169" i="3"/>
  <c r="K170" i="3"/>
  <c r="K171" i="3"/>
  <c r="K172" i="3"/>
  <c r="K173" i="3"/>
  <c r="K174" i="3"/>
  <c r="K175" i="3"/>
  <c r="K176" i="3"/>
  <c r="J114" i="3"/>
  <c r="K114" i="3"/>
  <c r="J116" i="3"/>
  <c r="K116" i="3"/>
  <c r="J118" i="3"/>
  <c r="K118" i="3"/>
  <c r="J120" i="3"/>
  <c r="J113" i="3"/>
  <c r="K113" i="3"/>
  <c r="J115" i="3"/>
  <c r="K115" i="3"/>
  <c r="J117" i="3"/>
  <c r="K117" i="3"/>
  <c r="J119" i="3"/>
  <c r="K119" i="3"/>
  <c r="K96" i="3"/>
  <c r="K97" i="3"/>
  <c r="K98" i="3"/>
  <c r="K99" i="3"/>
  <c r="K100" i="3"/>
  <c r="K101" i="3"/>
  <c r="K102" i="3"/>
  <c r="K103" i="3"/>
  <c r="K104" i="3"/>
  <c r="K105" i="3"/>
  <c r="K106" i="3"/>
  <c r="K107" i="3"/>
  <c r="K108" i="3"/>
  <c r="K109" i="3"/>
  <c r="K110" i="3"/>
  <c r="K111" i="3"/>
  <c r="K112" i="3"/>
  <c r="K94" i="3"/>
  <c r="K72" i="3"/>
  <c r="J72" i="3"/>
  <c r="K74" i="3"/>
  <c r="J74" i="3"/>
  <c r="K76" i="3"/>
  <c r="J76" i="3"/>
  <c r="K78" i="3"/>
  <c r="J78" i="3"/>
  <c r="K80" i="3"/>
  <c r="J80" i="3"/>
  <c r="K82" i="3"/>
  <c r="J82" i="3"/>
  <c r="K84" i="3"/>
  <c r="J84" i="3"/>
  <c r="K86" i="3"/>
  <c r="J86" i="3"/>
  <c r="K73" i="3"/>
  <c r="J73" i="3"/>
  <c r="K75" i="3"/>
  <c r="J75" i="3"/>
  <c r="J79" i="3"/>
  <c r="K79" i="3"/>
  <c r="K81" i="3"/>
  <c r="J81" i="3"/>
  <c r="K83" i="3"/>
  <c r="J83" i="3"/>
  <c r="K85" i="3"/>
  <c r="J85" i="3"/>
  <c r="K87" i="3"/>
  <c r="J87" i="3"/>
  <c r="J51" i="3"/>
  <c r="K51" i="3"/>
  <c r="J53" i="3"/>
  <c r="K53" i="3"/>
  <c r="J55" i="3"/>
  <c r="K55" i="3"/>
  <c r="J57" i="3"/>
  <c r="K57" i="3"/>
  <c r="J59" i="3"/>
  <c r="K59" i="3"/>
  <c r="J61" i="3"/>
  <c r="K61" i="3"/>
  <c r="J63" i="3"/>
  <c r="K63" i="3"/>
  <c r="J65" i="3"/>
  <c r="K65" i="3"/>
  <c r="J54" i="3"/>
  <c r="K54" i="3"/>
  <c r="J56" i="3"/>
  <c r="K56" i="3"/>
  <c r="J58" i="3"/>
  <c r="K58" i="3"/>
  <c r="J60" i="3"/>
  <c r="K60" i="3"/>
  <c r="J62" i="3"/>
  <c r="K62" i="3"/>
  <c r="J64" i="3"/>
  <c r="K64" i="3"/>
  <c r="K50" i="3"/>
  <c r="J32" i="3"/>
  <c r="K32" i="3"/>
  <c r="K34" i="3"/>
  <c r="J34" i="3"/>
  <c r="K36" i="3"/>
  <c r="J36" i="3"/>
  <c r="K38" i="3"/>
  <c r="J38" i="3"/>
  <c r="K40" i="3"/>
  <c r="J40" i="3"/>
  <c r="K42" i="3"/>
  <c r="J42" i="3"/>
  <c r="J33" i="3"/>
  <c r="K33" i="3"/>
  <c r="K35" i="3"/>
  <c r="J35" i="3"/>
  <c r="J37" i="3"/>
  <c r="K37" i="3"/>
  <c r="K39" i="3"/>
  <c r="J39" i="3"/>
  <c r="K41" i="3"/>
  <c r="J41" i="3"/>
  <c r="J43" i="3"/>
  <c r="K43" i="3"/>
  <c r="F5" i="3"/>
  <c r="G25" i="3"/>
  <c r="I25" i="3" s="1"/>
  <c r="J25" i="3" s="1"/>
  <c r="G24" i="3"/>
  <c r="I24" i="3" s="1"/>
  <c r="J24" i="3" s="1"/>
  <c r="G23" i="3"/>
  <c r="I23" i="3" s="1"/>
  <c r="J23" i="3" s="1"/>
  <c r="G22" i="3"/>
  <c r="I22" i="3" s="1"/>
  <c r="J22" i="3" s="1"/>
  <c r="G21" i="3"/>
  <c r="I21" i="3" s="1"/>
  <c r="J21" i="3" s="1"/>
  <c r="G20" i="3"/>
  <c r="I20" i="3" s="1"/>
  <c r="J20" i="3" s="1"/>
  <c r="G19" i="3"/>
  <c r="I19" i="3" s="1"/>
  <c r="J19" i="3" s="1"/>
  <c r="G18" i="3"/>
  <c r="I18" i="3" s="1"/>
  <c r="J18" i="3" s="1"/>
  <c r="G17" i="3"/>
  <c r="I17" i="3" s="1"/>
  <c r="J17" i="3" s="1"/>
  <c r="G16" i="3"/>
  <c r="I16" i="3" s="1"/>
  <c r="J16" i="3" s="1"/>
  <c r="G15" i="3"/>
  <c r="I15" i="3" s="1"/>
  <c r="J15" i="3" s="1"/>
  <c r="G14" i="3"/>
  <c r="I14" i="3" s="1"/>
  <c r="J14" i="3" s="1"/>
  <c r="G13" i="3"/>
  <c r="I13" i="3" s="1"/>
  <c r="J13" i="3" s="1"/>
  <c r="G12" i="3"/>
  <c r="I12" i="3" s="1"/>
  <c r="J12" i="3" s="1"/>
  <c r="G11" i="3"/>
  <c r="I11" i="3" s="1"/>
  <c r="J11" i="3" s="1"/>
  <c r="G10" i="3"/>
  <c r="I10" i="3" s="1"/>
  <c r="J10" i="3" s="1"/>
  <c r="G9" i="3"/>
  <c r="I9" i="3" s="1"/>
  <c r="J9" i="3" s="1"/>
  <c r="G8" i="3"/>
  <c r="I8" i="3" s="1"/>
  <c r="J8" i="3" s="1"/>
  <c r="G7" i="3"/>
  <c r="I7" i="3" s="1"/>
  <c r="J7" i="3" s="1"/>
  <c r="F215" i="2"/>
  <c r="G216" i="2"/>
  <c r="I216" i="2" s="1"/>
  <c r="G225" i="2"/>
  <c r="I225" i="2" s="1"/>
  <c r="G224" i="2"/>
  <c r="I224" i="2" s="1"/>
  <c r="G223" i="2"/>
  <c r="I223" i="2" s="1"/>
  <c r="J223" i="2" s="1"/>
  <c r="G222" i="2"/>
  <c r="I222" i="2" s="1"/>
  <c r="J222" i="2" s="1"/>
  <c r="G221" i="2"/>
  <c r="I221" i="2" s="1"/>
  <c r="J221" i="2" s="1"/>
  <c r="G220" i="2"/>
  <c r="I220" i="2" s="1"/>
  <c r="J220" i="2" s="1"/>
  <c r="G219" i="2"/>
  <c r="I219" i="2" s="1"/>
  <c r="J219" i="2" s="1"/>
  <c r="G218" i="2"/>
  <c r="I218" i="2" s="1"/>
  <c r="J218" i="2" s="1"/>
  <c r="G217" i="2"/>
  <c r="I217" i="2" s="1"/>
  <c r="J217" i="2" s="1"/>
  <c r="F200" i="2"/>
  <c r="F211" i="2"/>
  <c r="H211" i="2"/>
  <c r="G210" i="2"/>
  <c r="I210" i="2" s="1"/>
  <c r="G209" i="2"/>
  <c r="I209" i="2" s="1"/>
  <c r="G208" i="2"/>
  <c r="I208" i="2" s="1"/>
  <c r="G206" i="2"/>
  <c r="I206" i="2" s="1"/>
  <c r="J206" i="2" s="1"/>
  <c r="G205" i="2"/>
  <c r="I205" i="2" s="1"/>
  <c r="J205" i="2" s="1"/>
  <c r="G204" i="2"/>
  <c r="I204" i="2" s="1"/>
  <c r="J204" i="2" s="1"/>
  <c r="G203" i="2"/>
  <c r="I203" i="2" s="1"/>
  <c r="J203" i="2" s="1"/>
  <c r="G202" i="2"/>
  <c r="I202" i="2" s="1"/>
  <c r="J202" i="2" s="1"/>
  <c r="F187" i="2"/>
  <c r="G195" i="2"/>
  <c r="I195" i="2" s="1"/>
  <c r="G194" i="2"/>
  <c r="I194" i="2" s="1"/>
  <c r="G193" i="2"/>
  <c r="I193" i="2" s="1"/>
  <c r="G192" i="2"/>
  <c r="I192" i="2" s="1"/>
  <c r="G191" i="2"/>
  <c r="I191" i="2" s="1"/>
  <c r="G190" i="2"/>
  <c r="I190" i="2" s="1"/>
  <c r="J190" i="2" s="1"/>
  <c r="G189" i="2"/>
  <c r="F166" i="2"/>
  <c r="G182" i="2"/>
  <c r="I182" i="2" s="1"/>
  <c r="G181" i="2"/>
  <c r="I181" i="2" s="1"/>
  <c r="J181" i="2" s="1"/>
  <c r="G180" i="2"/>
  <c r="I180" i="2" s="1"/>
  <c r="J180" i="2" s="1"/>
  <c r="G179" i="2"/>
  <c r="I179" i="2" s="1"/>
  <c r="G178" i="2"/>
  <c r="I178" i="2" s="1"/>
  <c r="G177" i="2"/>
  <c r="I177" i="2" s="1"/>
  <c r="G176" i="2"/>
  <c r="I176" i="2" s="1"/>
  <c r="G175" i="2"/>
  <c r="I175" i="2" s="1"/>
  <c r="G174" i="2"/>
  <c r="I174" i="2" s="1"/>
  <c r="G173" i="2"/>
  <c r="I173" i="2" s="1"/>
  <c r="G172" i="2"/>
  <c r="I172" i="2" s="1"/>
  <c r="G171" i="2"/>
  <c r="I171" i="2" s="1"/>
  <c r="G170" i="2"/>
  <c r="I170" i="2" s="1"/>
  <c r="J170" i="2" s="1"/>
  <c r="G169" i="2"/>
  <c r="I169" i="2" s="1"/>
  <c r="J169" i="2" s="1"/>
  <c r="G168" i="2"/>
  <c r="F156" i="2"/>
  <c r="G161" i="2"/>
  <c r="I161" i="2" s="1"/>
  <c r="G160" i="2"/>
  <c r="I160" i="2" s="1"/>
  <c r="G159" i="2"/>
  <c r="I159" i="2" s="1"/>
  <c r="G158" i="2"/>
  <c r="I158" i="2" s="1"/>
  <c r="G151" i="2"/>
  <c r="I151" i="2" s="1"/>
  <c r="G150" i="2"/>
  <c r="I150" i="2" s="1"/>
  <c r="G149" i="2"/>
  <c r="I149" i="2" s="1"/>
  <c r="G148" i="2"/>
  <c r="I148" i="2" s="1"/>
  <c r="G147" i="2"/>
  <c r="I147" i="2" s="1"/>
  <c r="F145" i="2"/>
  <c r="G140" i="2"/>
  <c r="I140" i="2" s="1"/>
  <c r="J140" i="2" s="1"/>
  <c r="G139" i="2"/>
  <c r="I139" i="2" s="1"/>
  <c r="J139" i="2" s="1"/>
  <c r="G138" i="2"/>
  <c r="I138" i="2" s="1"/>
  <c r="J138" i="2" s="1"/>
  <c r="G137" i="2"/>
  <c r="I137" i="2" s="1"/>
  <c r="J137" i="2" s="1"/>
  <c r="F135" i="2"/>
  <c r="G130" i="2"/>
  <c r="I130" i="2" s="1"/>
  <c r="G129" i="2"/>
  <c r="I129" i="2" s="1"/>
  <c r="F127" i="2"/>
  <c r="G122" i="2"/>
  <c r="I122" i="2" s="1"/>
  <c r="J122" i="2" s="1"/>
  <c r="G121" i="2"/>
  <c r="I121" i="2" s="1"/>
  <c r="J121" i="2" s="1"/>
  <c r="G114" i="2"/>
  <c r="I114" i="2" s="1"/>
  <c r="J114" i="2" s="1"/>
  <c r="G113" i="2"/>
  <c r="I113" i="2" s="1"/>
  <c r="J113" i="2" s="1"/>
  <c r="G112" i="2"/>
  <c r="I112" i="2" s="1"/>
  <c r="J112" i="2" s="1"/>
  <c r="F119" i="2"/>
  <c r="F42" i="2"/>
  <c r="F13" i="2"/>
  <c r="C12" i="2"/>
  <c r="C398" i="1"/>
  <c r="C391" i="1"/>
  <c r="C366" i="1"/>
  <c r="F346" i="1"/>
  <c r="J515" i="3" l="1"/>
  <c r="I189" i="2"/>
  <c r="J189" i="2" s="1"/>
  <c r="G196" i="2"/>
  <c r="J7" i="5"/>
  <c r="J36" i="5" s="1"/>
  <c r="I36" i="5"/>
  <c r="K7" i="5"/>
  <c r="J52" i="6"/>
  <c r="I68" i="6"/>
  <c r="I168" i="2"/>
  <c r="J168" i="2" s="1"/>
  <c r="G183" i="2"/>
  <c r="J110" i="4"/>
  <c r="K110" i="4"/>
  <c r="K515" i="3"/>
  <c r="K7" i="3"/>
  <c r="K8" i="3"/>
  <c r="K9" i="3"/>
  <c r="K10" i="3"/>
  <c r="K11" i="3"/>
  <c r="K12" i="3"/>
  <c r="K13" i="3"/>
  <c r="K14" i="3"/>
  <c r="K15" i="3"/>
  <c r="K16" i="3"/>
  <c r="K17" i="3"/>
  <c r="K18" i="3"/>
  <c r="K19" i="3"/>
  <c r="K20" i="3"/>
  <c r="K21" i="3"/>
  <c r="K22" i="3"/>
  <c r="K23" i="3"/>
  <c r="K24" i="3"/>
  <c r="K25" i="3"/>
  <c r="J216" i="2"/>
  <c r="K216" i="2"/>
  <c r="J225" i="2"/>
  <c r="K225" i="2"/>
  <c r="J224" i="2"/>
  <c r="K224" i="2"/>
  <c r="K217" i="2"/>
  <c r="K218" i="2"/>
  <c r="K219" i="2"/>
  <c r="K220" i="2"/>
  <c r="K221" i="2"/>
  <c r="K222" i="2"/>
  <c r="K223" i="2"/>
  <c r="J208" i="2"/>
  <c r="K208" i="2"/>
  <c r="J210" i="2"/>
  <c r="K210" i="2"/>
  <c r="J209" i="2"/>
  <c r="K209" i="2"/>
  <c r="K203" i="2"/>
  <c r="K204" i="2"/>
  <c r="K205" i="2"/>
  <c r="K206" i="2"/>
  <c r="K202" i="2"/>
  <c r="K194" i="2"/>
  <c r="K195" i="2"/>
  <c r="J158" i="2"/>
  <c r="K158" i="2"/>
  <c r="J160" i="2"/>
  <c r="K160" i="2"/>
  <c r="J159" i="2"/>
  <c r="K159" i="2"/>
  <c r="J161" i="2"/>
  <c r="K161" i="2"/>
  <c r="K147" i="2"/>
  <c r="J147" i="2"/>
  <c r="K149" i="2"/>
  <c r="J149" i="2"/>
  <c r="K151" i="2"/>
  <c r="J151" i="2"/>
  <c r="J148" i="2"/>
  <c r="K150" i="2"/>
  <c r="J150" i="2"/>
  <c r="K137" i="2"/>
  <c r="K138" i="2"/>
  <c r="K140" i="2"/>
  <c r="J130" i="2"/>
  <c r="K130" i="2"/>
  <c r="J129" i="2"/>
  <c r="K129" i="2"/>
  <c r="K121" i="2"/>
  <c r="K122" i="2"/>
  <c r="K114" i="2"/>
  <c r="K112" i="2"/>
  <c r="K113" i="2"/>
  <c r="F12" i="8" l="1"/>
  <c r="F53" i="8" s="1"/>
  <c r="G12" i="8"/>
  <c r="G53" i="8" s="1"/>
  <c r="F110" i="2"/>
  <c r="G104" i="2"/>
  <c r="I104" i="2" s="1"/>
  <c r="G103" i="2"/>
  <c r="I103" i="2" s="1"/>
  <c r="G102" i="2"/>
  <c r="I102" i="2" s="1"/>
  <c r="G101" i="2"/>
  <c r="I101" i="2" s="1"/>
  <c r="G100" i="2"/>
  <c r="I100" i="2" s="1"/>
  <c r="G99" i="2"/>
  <c r="I99" i="2" s="1"/>
  <c r="G98" i="2"/>
  <c r="F96" i="2"/>
  <c r="G91" i="2"/>
  <c r="I91" i="2" s="1"/>
  <c r="G90" i="2"/>
  <c r="I90" i="2" s="1"/>
  <c r="G89" i="2"/>
  <c r="I89" i="2" s="1"/>
  <c r="G88" i="2"/>
  <c r="I88" i="2" s="1"/>
  <c r="G87" i="2"/>
  <c r="I87" i="2" s="1"/>
  <c r="G86" i="2"/>
  <c r="I86" i="2" s="1"/>
  <c r="G85" i="2"/>
  <c r="I85" i="2" s="1"/>
  <c r="F83" i="2"/>
  <c r="G78" i="2"/>
  <c r="I78" i="2" s="1"/>
  <c r="G77" i="2"/>
  <c r="I77" i="2" s="1"/>
  <c r="G76" i="2"/>
  <c r="I76" i="2" s="1"/>
  <c r="G75" i="2"/>
  <c r="I75" i="2" s="1"/>
  <c r="G74" i="2"/>
  <c r="I74" i="2" s="1"/>
  <c r="G73" i="2"/>
  <c r="I73" i="2" s="1"/>
  <c r="F71" i="2"/>
  <c r="G66" i="2"/>
  <c r="I66" i="2" s="1"/>
  <c r="G65" i="2"/>
  <c r="I65" i="2" s="1"/>
  <c r="G64" i="2"/>
  <c r="I64" i="2" s="1"/>
  <c r="G63" i="2"/>
  <c r="I63" i="2" s="1"/>
  <c r="G62" i="2"/>
  <c r="I62" i="2" s="1"/>
  <c r="F60" i="2"/>
  <c r="G52" i="2"/>
  <c r="I52" i="2" s="1"/>
  <c r="G51" i="2"/>
  <c r="I51" i="2" s="1"/>
  <c r="G50" i="2"/>
  <c r="I50" i="2" s="1"/>
  <c r="G49" i="2"/>
  <c r="I49" i="2" s="1"/>
  <c r="G48" i="2"/>
  <c r="I48" i="2" s="1"/>
  <c r="F46" i="2"/>
  <c r="G41" i="2"/>
  <c r="I41" i="2" s="1"/>
  <c r="G40" i="2"/>
  <c r="I40" i="2" s="1"/>
  <c r="G39" i="2"/>
  <c r="I39" i="2" s="1"/>
  <c r="G32" i="2"/>
  <c r="I32" i="2" s="1"/>
  <c r="G31" i="2"/>
  <c r="I31" i="2" s="1"/>
  <c r="G30" i="2"/>
  <c r="I30" i="2" s="1"/>
  <c r="G29" i="2"/>
  <c r="I29" i="2" s="1"/>
  <c r="F37" i="2"/>
  <c r="F27" i="2"/>
  <c r="G22" i="2"/>
  <c r="I22" i="2" s="1"/>
  <c r="G21" i="2"/>
  <c r="I21" i="2" s="1"/>
  <c r="G20" i="2"/>
  <c r="I20" i="2" s="1"/>
  <c r="G19" i="2"/>
  <c r="I19" i="2" s="1"/>
  <c r="F17" i="2"/>
  <c r="G12" i="2"/>
  <c r="I12" i="2" s="1"/>
  <c r="G11" i="2"/>
  <c r="I11" i="2" s="1"/>
  <c r="G10" i="2"/>
  <c r="I10" i="2" s="1"/>
  <c r="J10" i="2" s="1"/>
  <c r="G9" i="2"/>
  <c r="I9" i="2" s="1"/>
  <c r="J9" i="2" s="1"/>
  <c r="G8" i="2"/>
  <c r="I8" i="2" s="1"/>
  <c r="G7" i="2"/>
  <c r="I7" i="2" s="1"/>
  <c r="J7" i="2" s="1"/>
  <c r="F5" i="2"/>
  <c r="G451" i="1"/>
  <c r="I451" i="1" s="1"/>
  <c r="G450" i="1"/>
  <c r="I450" i="1" s="1"/>
  <c r="G449" i="1"/>
  <c r="I449" i="1" s="1"/>
  <c r="G448" i="1"/>
  <c r="I448" i="1" s="1"/>
  <c r="G447" i="1"/>
  <c r="I447" i="1" s="1"/>
  <c r="G446" i="1"/>
  <c r="I446" i="1" s="1"/>
  <c r="G445" i="1"/>
  <c r="I445" i="1" s="1"/>
  <c r="J445" i="1" s="1"/>
  <c r="G444" i="1"/>
  <c r="I444" i="1" s="1"/>
  <c r="G443" i="1"/>
  <c r="I443" i="1" s="1"/>
  <c r="G442" i="1"/>
  <c r="I442" i="1" s="1"/>
  <c r="G441" i="1"/>
  <c r="I441" i="1" s="1"/>
  <c r="J441" i="1" s="1"/>
  <c r="G440" i="1"/>
  <c r="I440" i="1" s="1"/>
  <c r="G439" i="1"/>
  <c r="I439" i="1" s="1"/>
  <c r="J439" i="1" s="1"/>
  <c r="G438" i="1"/>
  <c r="I438" i="1" s="1"/>
  <c r="K438" i="1" s="1"/>
  <c r="F436" i="1"/>
  <c r="F416" i="1"/>
  <c r="G431" i="1"/>
  <c r="G430" i="1"/>
  <c r="I430" i="1" s="1"/>
  <c r="G429" i="1"/>
  <c r="I429" i="1" s="1"/>
  <c r="J429" i="1" s="1"/>
  <c r="G428" i="1"/>
  <c r="I428" i="1" s="1"/>
  <c r="J428" i="1" s="1"/>
  <c r="G427" i="1"/>
  <c r="I427" i="1" s="1"/>
  <c r="J427" i="1" s="1"/>
  <c r="G426" i="1"/>
  <c r="I426" i="1" s="1"/>
  <c r="J426" i="1" s="1"/>
  <c r="G425" i="1"/>
  <c r="I425" i="1" s="1"/>
  <c r="J425" i="1" s="1"/>
  <c r="G424" i="1"/>
  <c r="I424" i="1" s="1"/>
  <c r="G423" i="1"/>
  <c r="I423" i="1" s="1"/>
  <c r="G422" i="1"/>
  <c r="I422" i="1" s="1"/>
  <c r="J422" i="1" s="1"/>
  <c r="G421" i="1"/>
  <c r="I421" i="1" s="1"/>
  <c r="J421" i="1" s="1"/>
  <c r="G420" i="1"/>
  <c r="I420" i="1" s="1"/>
  <c r="J420" i="1" s="1"/>
  <c r="G419" i="1"/>
  <c r="I419" i="1" s="1"/>
  <c r="J419" i="1" s="1"/>
  <c r="G418" i="1"/>
  <c r="I418" i="1" s="1"/>
  <c r="F385" i="1"/>
  <c r="G409" i="1"/>
  <c r="I409" i="1" s="1"/>
  <c r="J409" i="1" s="1"/>
  <c r="G407" i="1"/>
  <c r="I407" i="1" s="1"/>
  <c r="J407" i="1" s="1"/>
  <c r="G406" i="1"/>
  <c r="I406" i="1" s="1"/>
  <c r="J406" i="1" s="1"/>
  <c r="G404" i="1"/>
  <c r="I404" i="1" s="1"/>
  <c r="G402" i="1"/>
  <c r="I402" i="1" s="1"/>
  <c r="J402" i="1" s="1"/>
  <c r="G400" i="1"/>
  <c r="I400" i="1" s="1"/>
  <c r="J400" i="1" s="1"/>
  <c r="G398" i="1"/>
  <c r="I398" i="1" s="1"/>
  <c r="J398" i="1" s="1"/>
  <c r="G396" i="1"/>
  <c r="I396" i="1" s="1"/>
  <c r="J396" i="1" s="1"/>
  <c r="G394" i="1"/>
  <c r="I394" i="1" s="1"/>
  <c r="G392" i="1"/>
  <c r="I392" i="1" s="1"/>
  <c r="G391" i="1"/>
  <c r="I391" i="1" s="1"/>
  <c r="J391" i="1" s="1"/>
  <c r="G389" i="1"/>
  <c r="I389" i="1" s="1"/>
  <c r="J389" i="1" s="1"/>
  <c r="G388" i="1"/>
  <c r="I388" i="1" s="1"/>
  <c r="J388" i="1" s="1"/>
  <c r="G387" i="1"/>
  <c r="G378" i="1"/>
  <c r="I378" i="1" s="1"/>
  <c r="G376" i="1"/>
  <c r="I376" i="1" s="1"/>
  <c r="G374" i="1"/>
  <c r="I374" i="1" s="1"/>
  <c r="G372" i="1"/>
  <c r="I372" i="1" s="1"/>
  <c r="G368" i="1"/>
  <c r="I368" i="1" s="1"/>
  <c r="G366" i="1"/>
  <c r="I366" i="1" s="1"/>
  <c r="G364" i="1"/>
  <c r="I364" i="1" s="1"/>
  <c r="G362" i="1"/>
  <c r="I362" i="1" s="1"/>
  <c r="G360" i="1"/>
  <c r="I360" i="1" s="1"/>
  <c r="G358" i="1"/>
  <c r="I358" i="1" s="1"/>
  <c r="G357" i="1"/>
  <c r="I357" i="1" s="1"/>
  <c r="G356" i="1"/>
  <c r="I356" i="1" s="1"/>
  <c r="G354" i="1"/>
  <c r="I354" i="1" s="1"/>
  <c r="F351" i="1"/>
  <c r="G343" i="1"/>
  <c r="I343" i="1" s="1"/>
  <c r="G341" i="1"/>
  <c r="I341" i="1" s="1"/>
  <c r="G339" i="1"/>
  <c r="I339" i="1" s="1"/>
  <c r="G337" i="1"/>
  <c r="I337" i="1" s="1"/>
  <c r="G335" i="1"/>
  <c r="I335" i="1" s="1"/>
  <c r="G333" i="1"/>
  <c r="I333" i="1" s="1"/>
  <c r="G331" i="1"/>
  <c r="I331" i="1" s="1"/>
  <c r="G329" i="1"/>
  <c r="I329" i="1" s="1"/>
  <c r="G328" i="1"/>
  <c r="I328" i="1" s="1"/>
  <c r="G326" i="1"/>
  <c r="I326" i="1" s="1"/>
  <c r="G324" i="1"/>
  <c r="I324" i="1" s="1"/>
  <c r="G322" i="1"/>
  <c r="I322" i="1" s="1"/>
  <c r="G320" i="1"/>
  <c r="I320" i="1" s="1"/>
  <c r="G318" i="1"/>
  <c r="I318" i="1" s="1"/>
  <c r="G316" i="1"/>
  <c r="I316" i="1" s="1"/>
  <c r="G314" i="1"/>
  <c r="I314" i="1" s="1"/>
  <c r="G312" i="1"/>
  <c r="I312" i="1" s="1"/>
  <c r="G310" i="1"/>
  <c r="I310" i="1" s="1"/>
  <c r="F307" i="1"/>
  <c r="G254" i="1"/>
  <c r="I254" i="1" s="1"/>
  <c r="G252" i="1"/>
  <c r="I252" i="1" s="1"/>
  <c r="G250" i="1"/>
  <c r="I250" i="1" s="1"/>
  <c r="G248" i="1"/>
  <c r="I248" i="1" s="1"/>
  <c r="G246" i="1"/>
  <c r="I246" i="1" s="1"/>
  <c r="G244" i="1"/>
  <c r="I244" i="1" s="1"/>
  <c r="G242" i="1"/>
  <c r="I242" i="1" s="1"/>
  <c r="J242" i="1" s="1"/>
  <c r="G240" i="1"/>
  <c r="I240" i="1" s="1"/>
  <c r="J240" i="1" s="1"/>
  <c r="G238" i="1"/>
  <c r="F235" i="1"/>
  <c r="G230" i="1"/>
  <c r="I230" i="1" s="1"/>
  <c r="G228" i="1"/>
  <c r="I228" i="1" s="1"/>
  <c r="G184" i="1"/>
  <c r="I184" i="1" s="1"/>
  <c r="G182" i="1"/>
  <c r="I182" i="1" s="1"/>
  <c r="G180" i="1"/>
  <c r="I180" i="1" s="1"/>
  <c r="G178" i="1"/>
  <c r="I178" i="1" s="1"/>
  <c r="F175" i="1"/>
  <c r="G170" i="1"/>
  <c r="I170" i="1" s="1"/>
  <c r="G169" i="1"/>
  <c r="I169" i="1" s="1"/>
  <c r="G168" i="1"/>
  <c r="I168" i="1" s="1"/>
  <c r="G167" i="1"/>
  <c r="I167" i="1" s="1"/>
  <c r="G166" i="1"/>
  <c r="I166" i="1" s="1"/>
  <c r="G165" i="1"/>
  <c r="I165" i="1" s="1"/>
  <c r="G164" i="1"/>
  <c r="I164" i="1" s="1"/>
  <c r="G163" i="1"/>
  <c r="I163" i="1" s="1"/>
  <c r="G162" i="1"/>
  <c r="I162" i="1" s="1"/>
  <c r="J162" i="1" s="1"/>
  <c r="G161" i="1"/>
  <c r="I161" i="1" s="1"/>
  <c r="J161" i="1" s="1"/>
  <c r="G160" i="1"/>
  <c r="I160" i="1" s="1"/>
  <c r="J160" i="1" s="1"/>
  <c r="G159" i="1"/>
  <c r="I159" i="1" s="1"/>
  <c r="J159" i="1" s="1"/>
  <c r="G158" i="1"/>
  <c r="I158" i="1" s="1"/>
  <c r="J158" i="1" s="1"/>
  <c r="G157" i="1"/>
  <c r="I157" i="1" s="1"/>
  <c r="J157" i="1" s="1"/>
  <c r="G156" i="1"/>
  <c r="I156" i="1" s="1"/>
  <c r="J156" i="1" s="1"/>
  <c r="G155" i="1"/>
  <c r="I155" i="1" s="1"/>
  <c r="J155" i="1" s="1"/>
  <c r="G154" i="1"/>
  <c r="I154" i="1" s="1"/>
  <c r="J154" i="1" s="1"/>
  <c r="G153" i="1"/>
  <c r="I153" i="1" s="1"/>
  <c r="J153" i="1" s="1"/>
  <c r="G152" i="1"/>
  <c r="I152" i="1" s="1"/>
  <c r="J152" i="1" s="1"/>
  <c r="G151" i="1"/>
  <c r="I151" i="1" s="1"/>
  <c r="J151" i="1" s="1"/>
  <c r="G150" i="1"/>
  <c r="I150" i="1" s="1"/>
  <c r="J150" i="1" s="1"/>
  <c r="G149" i="1"/>
  <c r="I149" i="1" s="1"/>
  <c r="J149" i="1" s="1"/>
  <c r="G148" i="1"/>
  <c r="I148" i="1" s="1"/>
  <c r="J148" i="1" s="1"/>
  <c r="G147" i="1"/>
  <c r="I147" i="1" s="1"/>
  <c r="J147" i="1" s="1"/>
  <c r="G146" i="1"/>
  <c r="I146" i="1" s="1"/>
  <c r="J146" i="1" s="1"/>
  <c r="G145" i="1"/>
  <c r="I145" i="1" s="1"/>
  <c r="J145" i="1" s="1"/>
  <c r="G144" i="1"/>
  <c r="I144" i="1" s="1"/>
  <c r="J144" i="1" s="1"/>
  <c r="G143" i="1"/>
  <c r="I143" i="1" s="1"/>
  <c r="J143" i="1" s="1"/>
  <c r="G142" i="1"/>
  <c r="I142" i="1" s="1"/>
  <c r="J142" i="1" s="1"/>
  <c r="G141" i="1"/>
  <c r="I141" i="1" s="1"/>
  <c r="J141" i="1" s="1"/>
  <c r="F139" i="1"/>
  <c r="G134" i="1"/>
  <c r="I134" i="1" s="1"/>
  <c r="G133" i="1"/>
  <c r="I133" i="1" s="1"/>
  <c r="G131" i="1"/>
  <c r="I131" i="1" s="1"/>
  <c r="J131" i="1" s="1"/>
  <c r="G129" i="1"/>
  <c r="I129" i="1" s="1"/>
  <c r="J129" i="1" s="1"/>
  <c r="G127" i="1"/>
  <c r="I127" i="1" s="1"/>
  <c r="J127" i="1" s="1"/>
  <c r="G125" i="1"/>
  <c r="I125" i="1" s="1"/>
  <c r="J125" i="1" s="1"/>
  <c r="G123" i="1"/>
  <c r="I123" i="1" s="1"/>
  <c r="J123" i="1" s="1"/>
  <c r="G121" i="1"/>
  <c r="I121" i="1" s="1"/>
  <c r="J121" i="1" s="1"/>
  <c r="G120" i="1"/>
  <c r="I120" i="1" s="1"/>
  <c r="J120" i="1" s="1"/>
  <c r="G118" i="1"/>
  <c r="I118" i="1" s="1"/>
  <c r="J118" i="1" s="1"/>
  <c r="G116" i="1"/>
  <c r="I116" i="1" s="1"/>
  <c r="J116" i="1" s="1"/>
  <c r="G114" i="1"/>
  <c r="I114" i="1" s="1"/>
  <c r="J114" i="1" s="1"/>
  <c r="G112" i="1"/>
  <c r="I112" i="1" s="1"/>
  <c r="J112" i="1" s="1"/>
  <c r="G110" i="1"/>
  <c r="I110" i="1" s="1"/>
  <c r="J110" i="1" s="1"/>
  <c r="G109" i="1"/>
  <c r="I109" i="1" s="1"/>
  <c r="J109" i="1" s="1"/>
  <c r="F107" i="1"/>
  <c r="G102" i="1"/>
  <c r="I102" i="1" s="1"/>
  <c r="G101" i="1"/>
  <c r="I101" i="1" s="1"/>
  <c r="G100" i="1"/>
  <c r="I100" i="1" s="1"/>
  <c r="G99" i="1"/>
  <c r="I99" i="1" s="1"/>
  <c r="G98" i="1"/>
  <c r="I98" i="1" s="1"/>
  <c r="G97" i="1"/>
  <c r="I97" i="1" s="1"/>
  <c r="G96" i="1"/>
  <c r="I96" i="1" s="1"/>
  <c r="G95" i="1"/>
  <c r="I95" i="1" s="1"/>
  <c r="G94" i="1"/>
  <c r="I94" i="1" s="1"/>
  <c r="G93" i="1"/>
  <c r="I93" i="1" s="1"/>
  <c r="G92" i="1"/>
  <c r="I92" i="1" s="1"/>
  <c r="G91" i="1"/>
  <c r="I91" i="1" s="1"/>
  <c r="G90" i="1"/>
  <c r="I90" i="1" s="1"/>
  <c r="G89" i="1"/>
  <c r="I89" i="1" s="1"/>
  <c r="G88" i="1"/>
  <c r="I88" i="1" s="1"/>
  <c r="F86" i="1"/>
  <c r="G81" i="1"/>
  <c r="I81" i="1" s="1"/>
  <c r="G80" i="1"/>
  <c r="I80" i="1" s="1"/>
  <c r="G79" i="1"/>
  <c r="I79" i="1" s="1"/>
  <c r="G78" i="1"/>
  <c r="I78" i="1" s="1"/>
  <c r="G77" i="1"/>
  <c r="I77" i="1" s="1"/>
  <c r="G76" i="1"/>
  <c r="I76" i="1" s="1"/>
  <c r="G75" i="1"/>
  <c r="I75" i="1" s="1"/>
  <c r="G74" i="1"/>
  <c r="I74" i="1" s="1"/>
  <c r="J74" i="1" s="1"/>
  <c r="G73" i="1"/>
  <c r="I73" i="1" s="1"/>
  <c r="J73" i="1" s="1"/>
  <c r="G72" i="1"/>
  <c r="I72" i="1" s="1"/>
  <c r="J72" i="1" s="1"/>
  <c r="G71" i="1"/>
  <c r="I71" i="1" s="1"/>
  <c r="J71" i="1" s="1"/>
  <c r="G70" i="1"/>
  <c r="I70" i="1" s="1"/>
  <c r="J70" i="1" s="1"/>
  <c r="G69" i="1"/>
  <c r="I69" i="1" s="1"/>
  <c r="J69" i="1" s="1"/>
  <c r="F67" i="1"/>
  <c r="G62" i="1"/>
  <c r="I62" i="1" s="1"/>
  <c r="G61" i="1"/>
  <c r="I61" i="1" s="1"/>
  <c r="G60" i="1"/>
  <c r="I60" i="1" s="1"/>
  <c r="G59" i="1"/>
  <c r="I59" i="1" s="1"/>
  <c r="G58" i="1"/>
  <c r="I58" i="1" s="1"/>
  <c r="G57" i="1"/>
  <c r="I57" i="1" s="1"/>
  <c r="G56" i="1"/>
  <c r="I56" i="1" s="1"/>
  <c r="J56" i="1" s="1"/>
  <c r="G55" i="1"/>
  <c r="I55" i="1" s="1"/>
  <c r="J55" i="1" s="1"/>
  <c r="G54" i="1"/>
  <c r="I54" i="1" s="1"/>
  <c r="J54" i="1" s="1"/>
  <c r="G53" i="1"/>
  <c r="I53" i="1" s="1"/>
  <c r="J53" i="1" s="1"/>
  <c r="G52" i="1"/>
  <c r="I52" i="1" s="1"/>
  <c r="J52" i="1" s="1"/>
  <c r="G51" i="1"/>
  <c r="I51" i="1" s="1"/>
  <c r="J51" i="1" s="1"/>
  <c r="F49" i="1"/>
  <c r="G44" i="1"/>
  <c r="I44" i="1" s="1"/>
  <c r="K44" i="1" s="1"/>
  <c r="G43" i="1"/>
  <c r="I43" i="1" s="1"/>
  <c r="K43" i="1" s="1"/>
  <c r="G42" i="1"/>
  <c r="I42" i="1" s="1"/>
  <c r="K42" i="1" s="1"/>
  <c r="G41" i="1"/>
  <c r="I41" i="1" s="1"/>
  <c r="K41" i="1" s="1"/>
  <c r="G40" i="1"/>
  <c r="I40" i="1" s="1"/>
  <c r="K40" i="1" s="1"/>
  <c r="G39" i="1"/>
  <c r="I39" i="1" s="1"/>
  <c r="K39" i="1" s="1"/>
  <c r="G38" i="1"/>
  <c r="I38" i="1" s="1"/>
  <c r="K38" i="1" s="1"/>
  <c r="G37" i="1"/>
  <c r="I37" i="1" s="1"/>
  <c r="K37" i="1" s="1"/>
  <c r="G36" i="1"/>
  <c r="I36" i="1" s="1"/>
  <c r="K36" i="1" s="1"/>
  <c r="G35" i="1"/>
  <c r="I35" i="1" s="1"/>
  <c r="K35" i="1" s="1"/>
  <c r="G34" i="1"/>
  <c r="I34" i="1" s="1"/>
  <c r="K34" i="1" s="1"/>
  <c r="G33" i="1"/>
  <c r="I33" i="1" s="1"/>
  <c r="K33" i="1" s="1"/>
  <c r="G32" i="1"/>
  <c r="I32" i="1" s="1"/>
  <c r="K32" i="1" s="1"/>
  <c r="G31" i="1"/>
  <c r="I31" i="1" s="1"/>
  <c r="K31" i="1" s="1"/>
  <c r="G30" i="1"/>
  <c r="I30" i="1" s="1"/>
  <c r="K30" i="1" s="1"/>
  <c r="G29" i="1"/>
  <c r="I29" i="1" s="1"/>
  <c r="K29" i="1" s="1"/>
  <c r="G28" i="1"/>
  <c r="I28" i="1" s="1"/>
  <c r="K28" i="1" s="1"/>
  <c r="G27" i="1"/>
  <c r="I27" i="1" s="1"/>
  <c r="K27" i="1" s="1"/>
  <c r="G26" i="1"/>
  <c r="I26" i="1" s="1"/>
  <c r="K26" i="1" s="1"/>
  <c r="G25" i="1"/>
  <c r="I25" i="1" s="1"/>
  <c r="K25" i="1" s="1"/>
  <c r="G24" i="1"/>
  <c r="I24" i="1" s="1"/>
  <c r="K24" i="1" s="1"/>
  <c r="G23" i="1"/>
  <c r="I23" i="1" s="1"/>
  <c r="G22" i="1"/>
  <c r="I22" i="1" s="1"/>
  <c r="K22" i="1" s="1"/>
  <c r="G21" i="1"/>
  <c r="I21" i="1" s="1"/>
  <c r="K21" i="1" s="1"/>
  <c r="G20" i="1"/>
  <c r="I20" i="1" s="1"/>
  <c r="J20" i="1" s="1"/>
  <c r="G19" i="1"/>
  <c r="I19" i="1" s="1"/>
  <c r="J19" i="1" s="1"/>
  <c r="G18" i="1"/>
  <c r="I18" i="1" s="1"/>
  <c r="J18" i="1" s="1"/>
  <c r="G17" i="1"/>
  <c r="I17" i="1" s="1"/>
  <c r="J17" i="1" s="1"/>
  <c r="G16" i="1"/>
  <c r="I16" i="1" s="1"/>
  <c r="J16" i="1" s="1"/>
  <c r="G15" i="1"/>
  <c r="I15" i="1" s="1"/>
  <c r="J15" i="1" s="1"/>
  <c r="G14" i="1"/>
  <c r="I14" i="1" s="1"/>
  <c r="K14" i="1" s="1"/>
  <c r="G13" i="1"/>
  <c r="I13" i="1" s="1"/>
  <c r="J13" i="1" s="1"/>
  <c r="G12" i="1"/>
  <c r="I12" i="1" s="1"/>
  <c r="K12" i="1" s="1"/>
  <c r="G11" i="1"/>
  <c r="I11" i="1" s="1"/>
  <c r="K11" i="1" s="1"/>
  <c r="G10" i="1"/>
  <c r="I10" i="1" s="1"/>
  <c r="J10" i="1" s="1"/>
  <c r="G9" i="1"/>
  <c r="I9" i="1" s="1"/>
  <c r="J9" i="1" s="1"/>
  <c r="G8" i="1"/>
  <c r="I8" i="1" s="1"/>
  <c r="K8" i="1" s="1"/>
  <c r="I238" i="1" l="1"/>
  <c r="K238" i="1" s="1"/>
  <c r="G303" i="1"/>
  <c r="I346" i="1"/>
  <c r="I431" i="1"/>
  <c r="J431" i="1" s="1"/>
  <c r="J418" i="1"/>
  <c r="I98" i="2"/>
  <c r="J98" i="2" s="1"/>
  <c r="G105" i="2"/>
  <c r="I387" i="1"/>
  <c r="K387" i="1" s="1"/>
  <c r="G412" i="1"/>
  <c r="J423" i="1"/>
  <c r="J443" i="1"/>
  <c r="K449" i="1"/>
  <c r="J424" i="1"/>
  <c r="J430" i="1"/>
  <c r="K440" i="1"/>
  <c r="K442" i="1"/>
  <c r="K444" i="1"/>
  <c r="K446" i="1"/>
  <c r="K448" i="1"/>
  <c r="K450" i="1"/>
  <c r="K447" i="1"/>
  <c r="J447" i="1"/>
  <c r="K451" i="1"/>
  <c r="J451" i="1"/>
  <c r="J449" i="1"/>
  <c r="J100" i="2"/>
  <c r="K100" i="2"/>
  <c r="J102" i="2"/>
  <c r="K102" i="2"/>
  <c r="J104" i="2"/>
  <c r="K104" i="2"/>
  <c r="J99" i="2"/>
  <c r="K99" i="2"/>
  <c r="J101" i="2"/>
  <c r="K101" i="2"/>
  <c r="J103" i="2"/>
  <c r="K103" i="2"/>
  <c r="J85" i="2"/>
  <c r="K85" i="2"/>
  <c r="J87" i="2"/>
  <c r="K87" i="2"/>
  <c r="J89" i="2"/>
  <c r="K89" i="2"/>
  <c r="J91" i="2"/>
  <c r="K91" i="2"/>
  <c r="J86" i="2"/>
  <c r="K86" i="2"/>
  <c r="J88" i="2"/>
  <c r="K88" i="2"/>
  <c r="J90" i="2"/>
  <c r="K90" i="2"/>
  <c r="J73" i="2"/>
  <c r="K73" i="2"/>
  <c r="J75" i="2"/>
  <c r="K75" i="2"/>
  <c r="J77" i="2"/>
  <c r="J74" i="2"/>
  <c r="K74" i="2"/>
  <c r="J76" i="2"/>
  <c r="K76" i="2"/>
  <c r="J78" i="2"/>
  <c r="K78" i="2"/>
  <c r="J62" i="2"/>
  <c r="K62" i="2"/>
  <c r="J64" i="2"/>
  <c r="K64" i="2"/>
  <c r="J66" i="2"/>
  <c r="K66" i="2"/>
  <c r="J63" i="2"/>
  <c r="K63" i="2"/>
  <c r="J65" i="2"/>
  <c r="K65" i="2"/>
  <c r="J48" i="2"/>
  <c r="K48" i="2"/>
  <c r="J50" i="2"/>
  <c r="K50" i="2"/>
  <c r="J52" i="2"/>
  <c r="K52" i="2"/>
  <c r="J49" i="2"/>
  <c r="K49" i="2"/>
  <c r="J51" i="2"/>
  <c r="K51" i="2"/>
  <c r="J39" i="2"/>
  <c r="K39" i="2"/>
  <c r="J41" i="2"/>
  <c r="K41" i="2"/>
  <c r="J40" i="2"/>
  <c r="K40" i="2"/>
  <c r="J30" i="2"/>
  <c r="K30" i="2"/>
  <c r="J32" i="2"/>
  <c r="K32" i="2"/>
  <c r="J29" i="2"/>
  <c r="K29" i="2"/>
  <c r="J31" i="2"/>
  <c r="K31" i="2"/>
  <c r="J20" i="2"/>
  <c r="K20" i="2"/>
  <c r="J22" i="2"/>
  <c r="K22" i="2"/>
  <c r="J19" i="2"/>
  <c r="K19" i="2"/>
  <c r="J21" i="2"/>
  <c r="K21" i="2"/>
  <c r="J8" i="2"/>
  <c r="K8" i="2"/>
  <c r="J12" i="2"/>
  <c r="K12" i="2"/>
  <c r="J11" i="2"/>
  <c r="K11" i="2"/>
  <c r="K9" i="2"/>
  <c r="K10" i="2"/>
  <c r="K7" i="2"/>
  <c r="J438" i="1"/>
  <c r="K439" i="1"/>
  <c r="J440" i="1"/>
  <c r="K441" i="1"/>
  <c r="J442" i="1"/>
  <c r="K443" i="1"/>
  <c r="J444" i="1"/>
  <c r="K445" i="1"/>
  <c r="J446" i="1"/>
  <c r="J448" i="1"/>
  <c r="J450" i="1"/>
  <c r="K388" i="1"/>
  <c r="K389" i="1"/>
  <c r="K406" i="1"/>
  <c r="K407" i="1"/>
  <c r="J356" i="1"/>
  <c r="J358" i="1"/>
  <c r="J362" i="1"/>
  <c r="J374" i="1"/>
  <c r="J378" i="1"/>
  <c r="J354" i="1"/>
  <c r="J357" i="1"/>
  <c r="J360" i="1"/>
  <c r="J364" i="1"/>
  <c r="J368" i="1"/>
  <c r="J376" i="1"/>
  <c r="J312" i="1"/>
  <c r="K312" i="1"/>
  <c r="J316" i="1"/>
  <c r="K316" i="1"/>
  <c r="J320" i="1"/>
  <c r="K320" i="1"/>
  <c r="J324" i="1"/>
  <c r="K324" i="1"/>
  <c r="J328" i="1"/>
  <c r="K328" i="1"/>
  <c r="J331" i="1"/>
  <c r="K331" i="1"/>
  <c r="J335" i="1"/>
  <c r="K335" i="1"/>
  <c r="J339" i="1"/>
  <c r="K339" i="1"/>
  <c r="J343" i="1"/>
  <c r="K343" i="1"/>
  <c r="J310" i="1"/>
  <c r="K310" i="1"/>
  <c r="J314" i="1"/>
  <c r="K314" i="1"/>
  <c r="J318" i="1"/>
  <c r="K318" i="1"/>
  <c r="J322" i="1"/>
  <c r="K322" i="1"/>
  <c r="J326" i="1"/>
  <c r="K326" i="1"/>
  <c r="J329" i="1"/>
  <c r="K329" i="1"/>
  <c r="J333" i="1"/>
  <c r="K333" i="1"/>
  <c r="J337" i="1"/>
  <c r="K337" i="1"/>
  <c r="J341" i="1"/>
  <c r="K341" i="1"/>
  <c r="J246" i="1"/>
  <c r="K246" i="1"/>
  <c r="J250" i="1"/>
  <c r="K250" i="1"/>
  <c r="J254" i="1"/>
  <c r="K254" i="1"/>
  <c r="J244" i="1"/>
  <c r="K244" i="1"/>
  <c r="J248" i="1"/>
  <c r="K248" i="1"/>
  <c r="J252" i="1"/>
  <c r="K252" i="1"/>
  <c r="K240" i="1"/>
  <c r="K242" i="1"/>
  <c r="J180" i="1"/>
  <c r="K180" i="1"/>
  <c r="J184" i="1"/>
  <c r="K184" i="1"/>
  <c r="J230" i="1"/>
  <c r="K230" i="1"/>
  <c r="J178" i="1"/>
  <c r="K178" i="1"/>
  <c r="J182" i="1"/>
  <c r="K182" i="1"/>
  <c r="J228" i="1"/>
  <c r="K228" i="1"/>
  <c r="J164" i="1"/>
  <c r="K164" i="1"/>
  <c r="J166" i="1"/>
  <c r="K166" i="1"/>
  <c r="J168" i="1"/>
  <c r="K168" i="1"/>
  <c r="J170" i="1"/>
  <c r="K170" i="1"/>
  <c r="J163" i="1"/>
  <c r="K163" i="1"/>
  <c r="J165" i="1"/>
  <c r="K165" i="1"/>
  <c r="J167" i="1"/>
  <c r="K167" i="1"/>
  <c r="J169" i="1"/>
  <c r="K169" i="1"/>
  <c r="K141" i="1"/>
  <c r="K142" i="1"/>
  <c r="K143" i="1"/>
  <c r="K144" i="1"/>
  <c r="K145" i="1"/>
  <c r="K146" i="1"/>
  <c r="K147" i="1"/>
  <c r="K148" i="1"/>
  <c r="K149" i="1"/>
  <c r="K150" i="1"/>
  <c r="K151" i="1"/>
  <c r="K152" i="1"/>
  <c r="K153" i="1"/>
  <c r="K154" i="1"/>
  <c r="K155" i="1"/>
  <c r="K156" i="1"/>
  <c r="K157" i="1"/>
  <c r="K158" i="1"/>
  <c r="K159" i="1"/>
  <c r="K160" i="1"/>
  <c r="K161" i="1"/>
  <c r="K162" i="1"/>
  <c r="K10" i="1"/>
  <c r="K16" i="1"/>
  <c r="K18" i="1"/>
  <c r="K20" i="1"/>
  <c r="K9" i="1"/>
  <c r="K13" i="1"/>
  <c r="K15" i="1"/>
  <c r="K17" i="1"/>
  <c r="K19" i="1"/>
  <c r="J133" i="1"/>
  <c r="K133" i="1"/>
  <c r="J134" i="1"/>
  <c r="K134" i="1"/>
  <c r="K109" i="1"/>
  <c r="K110" i="1"/>
  <c r="K112" i="1"/>
  <c r="K114" i="1"/>
  <c r="K116" i="1"/>
  <c r="K118" i="1"/>
  <c r="K123" i="1"/>
  <c r="K125" i="1"/>
  <c r="K127" i="1"/>
  <c r="K129" i="1"/>
  <c r="K131" i="1"/>
  <c r="J88" i="1"/>
  <c r="K88" i="1"/>
  <c r="J90" i="1"/>
  <c r="K90" i="1"/>
  <c r="K92" i="1"/>
  <c r="J92" i="1"/>
  <c r="J94" i="1"/>
  <c r="K94" i="1"/>
  <c r="J96" i="1"/>
  <c r="J98" i="1"/>
  <c r="K100" i="1"/>
  <c r="J100" i="1"/>
  <c r="J102" i="1"/>
  <c r="K102" i="1"/>
  <c r="J89" i="1"/>
  <c r="K89" i="1"/>
  <c r="J91" i="1"/>
  <c r="K91" i="1"/>
  <c r="K93" i="1"/>
  <c r="J93" i="1"/>
  <c r="J95" i="1"/>
  <c r="J97" i="1"/>
  <c r="J99" i="1"/>
  <c r="J101" i="1"/>
  <c r="K101" i="1"/>
  <c r="J75" i="1"/>
  <c r="K75" i="1"/>
  <c r="J77" i="1"/>
  <c r="J79" i="1"/>
  <c r="K79" i="1"/>
  <c r="J81" i="1"/>
  <c r="J76" i="1"/>
  <c r="K76" i="1"/>
  <c r="J78" i="1"/>
  <c r="K78" i="1"/>
  <c r="J80" i="1"/>
  <c r="K80" i="1"/>
  <c r="K69" i="1"/>
  <c r="K70" i="1"/>
  <c r="K71" i="1"/>
  <c r="K72" i="1"/>
  <c r="K73" i="1"/>
  <c r="K74" i="1"/>
  <c r="J57" i="1"/>
  <c r="K57" i="1"/>
  <c r="J59" i="1"/>
  <c r="K59" i="1"/>
  <c r="J61" i="1"/>
  <c r="K61" i="1"/>
  <c r="J58" i="1"/>
  <c r="K58" i="1"/>
  <c r="J60" i="1"/>
  <c r="K60" i="1"/>
  <c r="J62" i="1"/>
  <c r="K62" i="1"/>
  <c r="K51" i="1"/>
  <c r="K52" i="1"/>
  <c r="K53" i="1"/>
  <c r="K54" i="1"/>
  <c r="K55" i="1"/>
  <c r="K56" i="1"/>
  <c r="J21" i="1"/>
  <c r="J25" i="1"/>
  <c r="J11" i="1"/>
  <c r="J14" i="1"/>
  <c r="J22" i="1"/>
  <c r="J24" i="1"/>
  <c r="J26" i="1"/>
  <c r="J28" i="1"/>
  <c r="J30" i="1"/>
  <c r="J32" i="1"/>
  <c r="J34" i="1"/>
  <c r="J36" i="1"/>
  <c r="J38" i="1"/>
  <c r="J40" i="1"/>
  <c r="J42" i="1"/>
  <c r="J44" i="1"/>
  <c r="J12" i="1"/>
  <c r="J23" i="1"/>
  <c r="J27" i="1"/>
  <c r="J29" i="1"/>
  <c r="J31" i="1"/>
  <c r="J33" i="1"/>
  <c r="J35" i="1"/>
  <c r="J37" i="1"/>
  <c r="J39" i="1"/>
  <c r="J41" i="1"/>
  <c r="J43" i="1"/>
  <c r="H45" i="7"/>
  <c r="F45" i="7"/>
  <c r="E45" i="7"/>
  <c r="K303" i="1" l="1"/>
  <c r="J238" i="1"/>
  <c r="J303" i="1" s="1"/>
  <c r="I303" i="1"/>
  <c r="I432" i="1"/>
  <c r="K98" i="2"/>
  <c r="J387" i="1"/>
  <c r="I412" i="1"/>
  <c r="F72" i="7"/>
  <c r="H538" i="3"/>
  <c r="F538" i="3"/>
  <c r="F605" i="3" s="1"/>
  <c r="C10" i="8" s="1"/>
  <c r="C51" i="8" s="1"/>
  <c r="E538" i="3"/>
  <c r="C14" i="8" l="1"/>
  <c r="C55" i="8" s="1"/>
  <c r="H452" i="1"/>
  <c r="F452" i="1"/>
  <c r="E452" i="1"/>
  <c r="D473" i="3"/>
  <c r="K473" i="3" s="1"/>
  <c r="D399" i="3"/>
  <c r="K399" i="3" s="1"/>
  <c r="E397" i="3"/>
  <c r="G397" i="3" s="1"/>
  <c r="I397" i="3" s="1"/>
  <c r="J397" i="3" s="1"/>
  <c r="G141" i="3"/>
  <c r="I141" i="3" s="1"/>
  <c r="J141" i="3" l="1"/>
  <c r="K141" i="3"/>
  <c r="F226" i="2" l="1"/>
  <c r="F270" i="2" s="1"/>
  <c r="C9" i="8" s="1"/>
  <c r="C50" i="8" s="1"/>
  <c r="H226" i="2"/>
  <c r="E226" i="2"/>
  <c r="K452" i="1" l="1"/>
  <c r="G45" i="7" l="1"/>
  <c r="K45" i="7"/>
  <c r="K11" i="6" l="1"/>
  <c r="K118" i="4"/>
  <c r="J118" i="4"/>
  <c r="I118" i="4"/>
  <c r="K81" i="4"/>
  <c r="K91" i="4"/>
  <c r="K28" i="4"/>
  <c r="K162" i="2"/>
  <c r="K131" i="2"/>
  <c r="K123" i="2"/>
  <c r="K56" i="2"/>
  <c r="K42" i="2"/>
  <c r="K33" i="2"/>
  <c r="K23" i="2"/>
  <c r="K13" i="2"/>
  <c r="K182" i="3" l="1"/>
  <c r="K105" i="2"/>
  <c r="K115" i="2"/>
  <c r="K92" i="2"/>
  <c r="K67" i="2"/>
  <c r="K44" i="3"/>
  <c r="K26" i="3"/>
  <c r="I492" i="3"/>
  <c r="K226" i="2"/>
  <c r="K63" i="1" l="1"/>
  <c r="J8" i="1"/>
  <c r="I45" i="7"/>
  <c r="F118" i="4"/>
  <c r="F161" i="4" s="1"/>
  <c r="E118" i="4"/>
  <c r="K171" i="1" l="1"/>
  <c r="G538" i="3"/>
  <c r="K231" i="1"/>
  <c r="K346" i="1"/>
  <c r="G452" i="1"/>
  <c r="H118" i="4"/>
  <c r="J45" i="7"/>
  <c r="G118" i="4"/>
  <c r="C11" i="8" l="1"/>
  <c r="C52" i="8" s="1"/>
  <c r="I538" i="3"/>
  <c r="K538" i="3"/>
  <c r="G226" i="2"/>
  <c r="J538" i="3"/>
  <c r="I452" i="1"/>
  <c r="J452" i="1"/>
  <c r="J226" i="2" l="1"/>
  <c r="I226" i="2"/>
  <c r="F432" i="1"/>
  <c r="E432" i="1"/>
  <c r="K431" i="1"/>
  <c r="D430" i="1"/>
  <c r="K430" i="1" s="1"/>
  <c r="D429" i="1"/>
  <c r="K429" i="1" s="1"/>
  <c r="D428" i="1"/>
  <c r="K428" i="1" s="1"/>
  <c r="D427" i="1"/>
  <c r="K427" i="1" s="1"/>
  <c r="D426" i="1"/>
  <c r="K426" i="1" s="1"/>
  <c r="D425" i="1"/>
  <c r="K425" i="1" s="1"/>
  <c r="D424" i="1"/>
  <c r="K424" i="1" s="1"/>
  <c r="D423" i="1"/>
  <c r="K423" i="1" s="1"/>
  <c r="D422" i="1"/>
  <c r="K422" i="1" s="1"/>
  <c r="D421" i="1"/>
  <c r="K421" i="1" s="1"/>
  <c r="D420" i="1"/>
  <c r="K420" i="1" s="1"/>
  <c r="D419" i="1"/>
  <c r="K419" i="1" s="1"/>
  <c r="D418" i="1"/>
  <c r="K418" i="1" s="1"/>
  <c r="D409" i="1"/>
  <c r="K409" i="1" s="1"/>
  <c r="D404" i="1"/>
  <c r="K404" i="1" s="1"/>
  <c r="D402" i="1"/>
  <c r="K402" i="1" s="1"/>
  <c r="D400" i="1"/>
  <c r="K400" i="1" s="1"/>
  <c r="D398" i="1"/>
  <c r="K398" i="1" s="1"/>
  <c r="D394" i="1"/>
  <c r="K394" i="1" s="1"/>
  <c r="D391" i="1"/>
  <c r="K391" i="1" s="1"/>
  <c r="K366" i="1"/>
  <c r="G77" i="3"/>
  <c r="I77" i="3" s="1"/>
  <c r="G41" i="6"/>
  <c r="I41" i="6" s="1"/>
  <c r="J41" i="6" s="1"/>
  <c r="E52" i="3"/>
  <c r="G52" i="3" s="1"/>
  <c r="I52" i="3" s="1"/>
  <c r="G95" i="3"/>
  <c r="I95" i="3" s="1"/>
  <c r="G111" i="1"/>
  <c r="I111" i="1" s="1"/>
  <c r="E23" i="7"/>
  <c r="E72" i="7" s="1"/>
  <c r="B14" i="8" s="1"/>
  <c r="E492" i="3"/>
  <c r="E440" i="3"/>
  <c r="E44" i="3"/>
  <c r="E33" i="2"/>
  <c r="C59" i="6"/>
  <c r="J59" i="6" s="1"/>
  <c r="C58" i="6"/>
  <c r="J58" i="6" s="1"/>
  <c r="K54" i="6"/>
  <c r="K53" i="6"/>
  <c r="K52" i="6"/>
  <c r="E46" i="6"/>
  <c r="D45" i="6"/>
  <c r="K45" i="6" s="1"/>
  <c r="D44" i="6"/>
  <c r="K44" i="6" s="1"/>
  <c r="D43" i="6"/>
  <c r="K43" i="6" s="1"/>
  <c r="D42" i="6"/>
  <c r="K42" i="6" s="1"/>
  <c r="D41" i="6"/>
  <c r="E35" i="6"/>
  <c r="D34" i="6"/>
  <c r="K34" i="6" s="1"/>
  <c r="E11" i="6"/>
  <c r="D12" i="5"/>
  <c r="E99" i="4"/>
  <c r="G99" i="4"/>
  <c r="E91" i="4"/>
  <c r="E81" i="4"/>
  <c r="I81" i="4"/>
  <c r="E73" i="4"/>
  <c r="H73" i="4"/>
  <c r="G73" i="4"/>
  <c r="D72" i="4"/>
  <c r="E66" i="4"/>
  <c r="D63" i="4"/>
  <c r="K63" i="4" s="1"/>
  <c r="D61" i="4"/>
  <c r="K61" i="4" s="1"/>
  <c r="E55" i="4"/>
  <c r="J55" i="4"/>
  <c r="D53" i="4"/>
  <c r="K53" i="4" s="1"/>
  <c r="D52" i="4"/>
  <c r="K52" i="4" s="1"/>
  <c r="D51" i="4"/>
  <c r="K51" i="4" s="1"/>
  <c r="E45" i="4"/>
  <c r="D42" i="4"/>
  <c r="K42" i="4" s="1"/>
  <c r="D38" i="4"/>
  <c r="J28" i="4"/>
  <c r="K470" i="3"/>
  <c r="C470" i="3"/>
  <c r="J470" i="3" s="1"/>
  <c r="K468" i="3"/>
  <c r="C468" i="3"/>
  <c r="J468" i="3" s="1"/>
  <c r="K466" i="3"/>
  <c r="C466" i="3"/>
  <c r="J466" i="3" s="1"/>
  <c r="K464" i="3"/>
  <c r="C464" i="3"/>
  <c r="J464" i="3" s="1"/>
  <c r="K462" i="3"/>
  <c r="C462" i="3"/>
  <c r="J462" i="3" s="1"/>
  <c r="K460" i="3"/>
  <c r="C460" i="3"/>
  <c r="J460" i="3" s="1"/>
  <c r="K458" i="3"/>
  <c r="C458" i="3"/>
  <c r="J458" i="3" s="1"/>
  <c r="D456" i="3"/>
  <c r="K456" i="3" s="1"/>
  <c r="C456" i="3"/>
  <c r="J456" i="3" s="1"/>
  <c r="D454" i="3"/>
  <c r="K454" i="3" s="1"/>
  <c r="C454" i="3"/>
  <c r="J454" i="3" s="1"/>
  <c r="D452" i="3"/>
  <c r="K452" i="3" s="1"/>
  <c r="C452" i="3"/>
  <c r="J452" i="3" s="1"/>
  <c r="D451" i="3"/>
  <c r="K451" i="3" s="1"/>
  <c r="C451" i="3"/>
  <c r="J451" i="3" s="1"/>
  <c r="D449" i="3"/>
  <c r="K449" i="3" s="1"/>
  <c r="D447" i="3"/>
  <c r="K447" i="3" s="1"/>
  <c r="C447" i="3"/>
  <c r="J447" i="3" s="1"/>
  <c r="C411" i="3"/>
  <c r="J411" i="3" s="1"/>
  <c r="B411" i="3"/>
  <c r="C409" i="3"/>
  <c r="J409" i="3" s="1"/>
  <c r="B409" i="3"/>
  <c r="C407" i="3"/>
  <c r="J407" i="3" s="1"/>
  <c r="C405" i="3"/>
  <c r="J405" i="3" s="1"/>
  <c r="C403" i="3"/>
  <c r="J403" i="3" s="1"/>
  <c r="C401" i="3"/>
  <c r="J401" i="3" s="1"/>
  <c r="D397" i="3"/>
  <c r="K397" i="3" s="1"/>
  <c r="E383" i="3"/>
  <c r="D310" i="3"/>
  <c r="K310" i="3" s="1"/>
  <c r="D309" i="3"/>
  <c r="K309" i="3" s="1"/>
  <c r="D308" i="3"/>
  <c r="K308" i="3" s="1"/>
  <c r="D278" i="3"/>
  <c r="K278" i="3" s="1"/>
  <c r="E252" i="3"/>
  <c r="D251" i="3"/>
  <c r="K251" i="3" s="1"/>
  <c r="D250" i="3"/>
  <c r="K250" i="3" s="1"/>
  <c r="D249" i="3"/>
  <c r="K249" i="3" s="1"/>
  <c r="D248" i="3"/>
  <c r="K248" i="3" s="1"/>
  <c r="D247" i="3"/>
  <c r="K247" i="3" s="1"/>
  <c r="D246" i="3"/>
  <c r="K246" i="3" s="1"/>
  <c r="D245" i="3"/>
  <c r="K245" i="3" s="1"/>
  <c r="D244" i="3"/>
  <c r="K244" i="3" s="1"/>
  <c r="D243" i="3"/>
  <c r="K243" i="3" s="1"/>
  <c r="D241" i="3"/>
  <c r="K241" i="3" s="1"/>
  <c r="D240" i="3"/>
  <c r="K240" i="3" s="1"/>
  <c r="D239" i="3"/>
  <c r="K239" i="3" s="1"/>
  <c r="D238" i="3"/>
  <c r="K238" i="3" s="1"/>
  <c r="D237" i="3"/>
  <c r="K237" i="3" s="1"/>
  <c r="D236" i="3"/>
  <c r="K236" i="3" s="1"/>
  <c r="D235" i="3"/>
  <c r="K235" i="3" s="1"/>
  <c r="D234" i="3"/>
  <c r="K234" i="3" s="1"/>
  <c r="D233" i="3"/>
  <c r="K233" i="3" s="1"/>
  <c r="D232" i="3"/>
  <c r="K232" i="3" s="1"/>
  <c r="D231" i="3"/>
  <c r="K231" i="3" s="1"/>
  <c r="D230" i="3"/>
  <c r="K230" i="3" s="1"/>
  <c r="E224" i="3"/>
  <c r="J224" i="3"/>
  <c r="D221" i="3"/>
  <c r="K221" i="3" s="1"/>
  <c r="D220" i="3"/>
  <c r="E182" i="3"/>
  <c r="D120" i="3"/>
  <c r="K120" i="3" s="1"/>
  <c r="E26" i="3"/>
  <c r="B204" i="2"/>
  <c r="E196" i="2"/>
  <c r="C195" i="2"/>
  <c r="J195" i="2" s="1"/>
  <c r="C194" i="2"/>
  <c r="J194" i="2" s="1"/>
  <c r="K193" i="2"/>
  <c r="C193" i="2"/>
  <c r="J193" i="2" s="1"/>
  <c r="K192" i="2"/>
  <c r="C192" i="2"/>
  <c r="J192" i="2" s="1"/>
  <c r="K191" i="2"/>
  <c r="C191" i="2"/>
  <c r="J191" i="2" s="1"/>
  <c r="K190" i="2"/>
  <c r="K189" i="2"/>
  <c r="K182" i="2"/>
  <c r="C182" i="2"/>
  <c r="J182" i="2" s="1"/>
  <c r="K181" i="2"/>
  <c r="K180" i="2"/>
  <c r="K179" i="2"/>
  <c r="J179" i="2"/>
  <c r="K178" i="2"/>
  <c r="J178" i="2"/>
  <c r="K177" i="2"/>
  <c r="J177" i="2"/>
  <c r="K176" i="2"/>
  <c r="J176" i="2"/>
  <c r="K175" i="2"/>
  <c r="J175" i="2"/>
  <c r="K174" i="2"/>
  <c r="J174" i="2"/>
  <c r="K173" i="2"/>
  <c r="J173" i="2"/>
  <c r="K172" i="2"/>
  <c r="J172" i="2"/>
  <c r="K171" i="2"/>
  <c r="J171" i="2"/>
  <c r="K170" i="2"/>
  <c r="K169" i="2"/>
  <c r="K168" i="2"/>
  <c r="E162" i="2"/>
  <c r="J162" i="2"/>
  <c r="E152" i="2"/>
  <c r="D148" i="2"/>
  <c r="K148" i="2" s="1"/>
  <c r="E141" i="2"/>
  <c r="J141" i="2"/>
  <c r="D139" i="2"/>
  <c r="K139" i="2" s="1"/>
  <c r="E131" i="2"/>
  <c r="E123" i="2"/>
  <c r="E115" i="2"/>
  <c r="J115" i="2"/>
  <c r="E105" i="2"/>
  <c r="E92" i="2"/>
  <c r="E79" i="2"/>
  <c r="D77" i="2"/>
  <c r="K77" i="2" s="1"/>
  <c r="E67" i="2"/>
  <c r="E56" i="2"/>
  <c r="E42" i="2"/>
  <c r="J42" i="2"/>
  <c r="E23" i="2"/>
  <c r="E13" i="2"/>
  <c r="E412" i="1"/>
  <c r="J404" i="1"/>
  <c r="D396" i="1"/>
  <c r="K396" i="1" s="1"/>
  <c r="C394" i="1"/>
  <c r="J394" i="1" s="1"/>
  <c r="D392" i="1"/>
  <c r="K392" i="1" s="1"/>
  <c r="C392" i="1"/>
  <c r="J392" i="1" s="1"/>
  <c r="K378" i="1"/>
  <c r="K376" i="1"/>
  <c r="K374" i="1"/>
  <c r="K372" i="1"/>
  <c r="J372" i="1"/>
  <c r="K368" i="1"/>
  <c r="J366" i="1"/>
  <c r="K364" i="1"/>
  <c r="K362" i="1"/>
  <c r="K360" i="1"/>
  <c r="K358" i="1"/>
  <c r="K357" i="1"/>
  <c r="K356" i="1"/>
  <c r="K354" i="1"/>
  <c r="E346" i="1"/>
  <c r="J231" i="1"/>
  <c r="E231" i="1"/>
  <c r="E171" i="1"/>
  <c r="K120" i="1"/>
  <c r="E103" i="1"/>
  <c r="D99" i="1"/>
  <c r="K99" i="1" s="1"/>
  <c r="D98" i="1"/>
  <c r="K98" i="1" s="1"/>
  <c r="D97" i="1"/>
  <c r="K97" i="1" s="1"/>
  <c r="D96" i="1"/>
  <c r="K96" i="1" s="1"/>
  <c r="D95" i="1"/>
  <c r="E82" i="1"/>
  <c r="D81" i="1"/>
  <c r="K81" i="1" s="1"/>
  <c r="D77" i="1"/>
  <c r="J63" i="1"/>
  <c r="E63" i="1"/>
  <c r="J45" i="1"/>
  <c r="E45" i="1"/>
  <c r="F6" i="1"/>
  <c r="D23" i="1"/>
  <c r="D14" i="8" l="1"/>
  <c r="D55" i="8" s="1"/>
  <c r="B55" i="8"/>
  <c r="E161" i="4"/>
  <c r="F488" i="1"/>
  <c r="C8" i="8" s="1"/>
  <c r="C49" i="8" s="1"/>
  <c r="C35" i="8"/>
  <c r="E71" i="6"/>
  <c r="B13" i="8" s="1"/>
  <c r="B54" i="8" s="1"/>
  <c r="K12" i="5"/>
  <c r="K36" i="5" s="1"/>
  <c r="K41" i="6"/>
  <c r="J68" i="6"/>
  <c r="K68" i="6"/>
  <c r="B11" i="8"/>
  <c r="F71" i="6"/>
  <c r="D35" i="6"/>
  <c r="K72" i="4"/>
  <c r="K73" i="4" s="1"/>
  <c r="K38" i="4"/>
  <c r="K45" i="4" s="1"/>
  <c r="J52" i="3"/>
  <c r="J66" i="3" s="1"/>
  <c r="K52" i="3"/>
  <c r="K66" i="3" s="1"/>
  <c r="K77" i="3"/>
  <c r="K88" i="3" s="1"/>
  <c r="J77" i="3"/>
  <c r="J88" i="3" s="1"/>
  <c r="K220" i="3"/>
  <c r="K224" i="3" s="1"/>
  <c r="J95" i="3"/>
  <c r="J121" i="3" s="1"/>
  <c r="K95" i="3"/>
  <c r="K121" i="3" s="1"/>
  <c r="G207" i="2"/>
  <c r="E211" i="2"/>
  <c r="E270" i="2" s="1"/>
  <c r="B9" i="8" s="1"/>
  <c r="E381" i="1"/>
  <c r="G370" i="1"/>
  <c r="I370" i="1" s="1"/>
  <c r="J370" i="1" s="1"/>
  <c r="K77" i="1"/>
  <c r="K82" i="1" s="1"/>
  <c r="K23" i="1"/>
  <c r="K45" i="1" s="1"/>
  <c r="K95" i="1"/>
  <c r="K103" i="1" s="1"/>
  <c r="J111" i="1"/>
  <c r="J135" i="1" s="1"/>
  <c r="K111" i="1"/>
  <c r="J123" i="2"/>
  <c r="K152" i="2"/>
  <c r="K196" i="2"/>
  <c r="J383" i="3"/>
  <c r="G55" i="4"/>
  <c r="J13" i="2"/>
  <c r="J67" i="2"/>
  <c r="K79" i="2"/>
  <c r="J92" i="2"/>
  <c r="J152" i="2"/>
  <c r="J182" i="3"/>
  <c r="K252" i="3"/>
  <c r="K383" i="3"/>
  <c r="K66" i="4"/>
  <c r="G131" i="2"/>
  <c r="J131" i="2"/>
  <c r="J33" i="2"/>
  <c r="K440" i="3"/>
  <c r="K492" i="3"/>
  <c r="J45" i="4"/>
  <c r="K55" i="4"/>
  <c r="J23" i="2"/>
  <c r="J56" i="2"/>
  <c r="J79" i="2"/>
  <c r="J105" i="2"/>
  <c r="K141" i="2"/>
  <c r="J26" i="3"/>
  <c r="J252" i="3"/>
  <c r="J440" i="3"/>
  <c r="J73" i="4"/>
  <c r="J91" i="4"/>
  <c r="I91" i="4"/>
  <c r="E66" i="3"/>
  <c r="E88" i="3"/>
  <c r="J66" i="4"/>
  <c r="J81" i="4"/>
  <c r="J11" i="6"/>
  <c r="K46" i="6"/>
  <c r="J46" i="6"/>
  <c r="J103" i="1"/>
  <c r="K121" i="1"/>
  <c r="E135" i="1"/>
  <c r="J82" i="1"/>
  <c r="J171" i="1"/>
  <c r="J346" i="1"/>
  <c r="I44" i="3"/>
  <c r="J44" i="3"/>
  <c r="K35" i="6"/>
  <c r="J35" i="6"/>
  <c r="K432" i="1"/>
  <c r="I23" i="7"/>
  <c r="K183" i="2"/>
  <c r="J492" i="3"/>
  <c r="G432" i="1"/>
  <c r="G252" i="3"/>
  <c r="E121" i="3"/>
  <c r="G88" i="3"/>
  <c r="G46" i="6"/>
  <c r="I66" i="4"/>
  <c r="G26" i="3"/>
  <c r="G182" i="3"/>
  <c r="G224" i="3"/>
  <c r="G66" i="4"/>
  <c r="G13" i="2"/>
  <c r="H131" i="2"/>
  <c r="H11" i="6"/>
  <c r="I11" i="6"/>
  <c r="H81" i="4"/>
  <c r="G81" i="4"/>
  <c r="G11" i="6"/>
  <c r="G28" i="4"/>
  <c r="H99" i="4"/>
  <c r="G23" i="7"/>
  <c r="G72" i="7" s="1"/>
  <c r="H46" i="6"/>
  <c r="G66" i="3"/>
  <c r="G91" i="4"/>
  <c r="G35" i="6"/>
  <c r="I35" i="6"/>
  <c r="I28" i="4"/>
  <c r="G492" i="3"/>
  <c r="G440" i="3"/>
  <c r="G44" i="3"/>
  <c r="G67" i="2"/>
  <c r="I67" i="2"/>
  <c r="G115" i="2"/>
  <c r="H123" i="2"/>
  <c r="G152" i="2"/>
  <c r="G56" i="2"/>
  <c r="H79" i="2"/>
  <c r="H92" i="2"/>
  <c r="G141" i="2"/>
  <c r="G162" i="2"/>
  <c r="G79" i="2"/>
  <c r="G33" i="2"/>
  <c r="I33" i="2"/>
  <c r="H67" i="2"/>
  <c r="G123" i="2"/>
  <c r="I162" i="2"/>
  <c r="G23" i="2"/>
  <c r="H115" i="2"/>
  <c r="G346" i="1"/>
  <c r="G231" i="1"/>
  <c r="I99" i="4"/>
  <c r="I45" i="4"/>
  <c r="G45" i="4"/>
  <c r="I92" i="2"/>
  <c r="G92" i="2"/>
  <c r="G383" i="3"/>
  <c r="I13" i="2"/>
  <c r="H42" i="2"/>
  <c r="G42" i="2"/>
  <c r="I56" i="2"/>
  <c r="I23" i="2"/>
  <c r="G45" i="1"/>
  <c r="G63" i="1"/>
  <c r="G103" i="1"/>
  <c r="G171" i="1"/>
  <c r="I231" i="1"/>
  <c r="G82" i="1"/>
  <c r="K135" i="1" l="1"/>
  <c r="D11" i="8"/>
  <c r="D52" i="8" s="1"/>
  <c r="B52" i="8"/>
  <c r="D9" i="8"/>
  <c r="D50" i="8" s="1"/>
  <c r="B50" i="8"/>
  <c r="E605" i="3"/>
  <c r="B10" i="8" s="1"/>
  <c r="J161" i="4"/>
  <c r="G161" i="4"/>
  <c r="E488" i="1"/>
  <c r="B8" i="8" s="1"/>
  <c r="K605" i="3"/>
  <c r="K161" i="4"/>
  <c r="J605" i="3"/>
  <c r="C13" i="8"/>
  <c r="C32" i="8"/>
  <c r="C30" i="8"/>
  <c r="H12" i="8"/>
  <c r="O12" i="8" s="1"/>
  <c r="I72" i="7"/>
  <c r="G71" i="6"/>
  <c r="N12" i="8"/>
  <c r="I207" i="2"/>
  <c r="G211" i="2"/>
  <c r="G270" i="2" s="1"/>
  <c r="J183" i="2"/>
  <c r="J196" i="2"/>
  <c r="K370" i="1"/>
  <c r="K381" i="1" s="1"/>
  <c r="I73" i="4"/>
  <c r="J23" i="7"/>
  <c r="K23" i="7"/>
  <c r="J412" i="1"/>
  <c r="G381" i="1"/>
  <c r="J381" i="1"/>
  <c r="K412" i="1"/>
  <c r="J432" i="1"/>
  <c r="H432" i="1"/>
  <c r="H66" i="3"/>
  <c r="I88" i="3"/>
  <c r="G121" i="3"/>
  <c r="G605" i="3" s="1"/>
  <c r="I26" i="3"/>
  <c r="H121" i="3"/>
  <c r="I224" i="3"/>
  <c r="H492" i="3"/>
  <c r="H383" i="3"/>
  <c r="I121" i="3"/>
  <c r="H440" i="3"/>
  <c r="I182" i="3"/>
  <c r="H44" i="3"/>
  <c r="I66" i="3"/>
  <c r="I252" i="3"/>
  <c r="H26" i="3"/>
  <c r="H381" i="1"/>
  <c r="H182" i="3"/>
  <c r="H141" i="2"/>
  <c r="H88" i="3"/>
  <c r="H91" i="4"/>
  <c r="H152" i="2"/>
  <c r="I135" i="1"/>
  <c r="I383" i="3"/>
  <c r="H23" i="7"/>
  <c r="H35" i="6"/>
  <c r="H71" i="6" s="1"/>
  <c r="E13" i="8" s="1"/>
  <c r="E54" i="8" s="1"/>
  <c r="I46" i="6"/>
  <c r="I55" i="4"/>
  <c r="I161" i="4" s="1"/>
  <c r="I440" i="3"/>
  <c r="G135" i="1"/>
  <c r="I79" i="2"/>
  <c r="H224" i="3"/>
  <c r="H66" i="4"/>
  <c r="H252" i="3"/>
  <c r="I105" i="2"/>
  <c r="I196" i="2"/>
  <c r="H23" i="2"/>
  <c r="I42" i="2"/>
  <c r="I183" i="2"/>
  <c r="H183" i="2"/>
  <c r="H56" i="2"/>
  <c r="H162" i="2"/>
  <c r="H103" i="1"/>
  <c r="H171" i="1"/>
  <c r="H135" i="1"/>
  <c r="I82" i="1"/>
  <c r="H63" i="1"/>
  <c r="H45" i="1"/>
  <c r="I115" i="2"/>
  <c r="H33" i="2"/>
  <c r="H13" i="2"/>
  <c r="I171" i="1"/>
  <c r="I45" i="1"/>
  <c r="H231" i="1"/>
  <c r="I103" i="1"/>
  <c r="H82" i="1"/>
  <c r="I63" i="1"/>
  <c r="G488" i="1" l="1"/>
  <c r="H161" i="4"/>
  <c r="D8" i="8"/>
  <c r="D49" i="8" s="1"/>
  <c r="B49" i="8"/>
  <c r="D10" i="8"/>
  <c r="D51" i="8" s="1"/>
  <c r="B51" i="8"/>
  <c r="C16" i="8"/>
  <c r="C57" i="8" s="1"/>
  <c r="C54" i="8"/>
  <c r="H270" i="2"/>
  <c r="E9" i="8" s="1"/>
  <c r="E50" i="8" s="1"/>
  <c r="H605" i="3"/>
  <c r="I605" i="3"/>
  <c r="F10" i="8" s="1"/>
  <c r="F51" i="8" s="1"/>
  <c r="F14" i="8"/>
  <c r="F55" i="8" s="1"/>
  <c r="B16" i="8"/>
  <c r="B57" i="8" s="1"/>
  <c r="C29" i="8"/>
  <c r="H488" i="1"/>
  <c r="D13" i="8"/>
  <c r="J488" i="1"/>
  <c r="G8" i="8" s="1"/>
  <c r="G49" i="8" s="1"/>
  <c r="K488" i="1"/>
  <c r="G11" i="8"/>
  <c r="G52" i="8" s="1"/>
  <c r="G10" i="8"/>
  <c r="G51" i="8" s="1"/>
  <c r="C34" i="8"/>
  <c r="H72" i="7"/>
  <c r="K72" i="7"/>
  <c r="J72" i="7"/>
  <c r="H11" i="8"/>
  <c r="O11" i="8" s="1"/>
  <c r="H10" i="8"/>
  <c r="M12" i="8"/>
  <c r="I71" i="6"/>
  <c r="F13" i="8" s="1"/>
  <c r="F54" i="8" s="1"/>
  <c r="K71" i="6"/>
  <c r="J71" i="6"/>
  <c r="G13" i="8" s="1"/>
  <c r="G54" i="8" s="1"/>
  <c r="I211" i="2"/>
  <c r="K207" i="2"/>
  <c r="K211" i="2" s="1"/>
  <c r="K270" i="2" s="1"/>
  <c r="J207" i="2"/>
  <c r="J211" i="2" s="1"/>
  <c r="J270" i="2" s="1"/>
  <c r="I381" i="1"/>
  <c r="I488" i="1" s="1"/>
  <c r="I123" i="2"/>
  <c r="D16" i="8" l="1"/>
  <c r="D57" i="8" s="1"/>
  <c r="D54" i="8"/>
  <c r="G14" i="8"/>
  <c r="G55" i="8" s="1"/>
  <c r="E14" i="8"/>
  <c r="E55" i="8" s="1"/>
  <c r="E11" i="8"/>
  <c r="E52" i="8" s="1"/>
  <c r="F11" i="8"/>
  <c r="F52" i="8" s="1"/>
  <c r="F8" i="8"/>
  <c r="F49" i="8" s="1"/>
  <c r="E8" i="8"/>
  <c r="E49" i="8" s="1"/>
  <c r="E10" i="8"/>
  <c r="E51" i="8" s="1"/>
  <c r="C31" i="8"/>
  <c r="N11" i="8"/>
  <c r="M14" i="8"/>
  <c r="H14" i="8"/>
  <c r="O14" i="8" s="1"/>
  <c r="O10" i="8"/>
  <c r="H13" i="8"/>
  <c r="O13" i="8" s="1"/>
  <c r="H8" i="8"/>
  <c r="N10" i="8"/>
  <c r="G9" i="8"/>
  <c r="G50" i="8" s="1"/>
  <c r="I131" i="2"/>
  <c r="G16" i="8" l="1"/>
  <c r="G57" i="8" s="1"/>
  <c r="E16" i="8"/>
  <c r="E57" i="8" s="1"/>
  <c r="M11" i="8"/>
  <c r="C36" i="8"/>
  <c r="N14" i="8"/>
  <c r="M13" i="8"/>
  <c r="N13" i="8"/>
  <c r="M10" i="8"/>
  <c r="O8" i="8"/>
  <c r="N8" i="8"/>
  <c r="H9" i="8"/>
  <c r="O9" i="8" s="1"/>
  <c r="M8" i="8"/>
  <c r="I141" i="2"/>
  <c r="N9" i="8" l="1"/>
  <c r="H16" i="8"/>
  <c r="I152" i="2"/>
  <c r="I270" i="2" s="1"/>
  <c r="N16" i="8" l="1"/>
  <c r="O16" i="8"/>
  <c r="F9" i="8" l="1"/>
  <c r="F16" i="8" l="1"/>
  <c r="F57" i="8" s="1"/>
  <c r="F50" i="8"/>
  <c r="M9" i="8"/>
  <c r="M16" i="8" l="1"/>
</calcChain>
</file>

<file path=xl/comments1.xml><?xml version="1.0" encoding="utf-8"?>
<comments xmlns="http://schemas.openxmlformats.org/spreadsheetml/2006/main">
  <authors>
    <author>Author</author>
  </authors>
  <commentList>
    <comment ref="H33" authorId="0" shapeId="0">
      <text>
        <r>
          <rPr>
            <b/>
            <sz val="9"/>
            <color indexed="81"/>
            <rFont val="Tahoma"/>
            <family val="2"/>
          </rPr>
          <t xml:space="preserve">repacking
pameran 2017
</t>
        </r>
      </text>
    </comment>
    <comment ref="H52" authorId="0" shapeId="0">
      <text>
        <r>
          <rPr>
            <b/>
            <sz val="9"/>
            <color indexed="81"/>
            <rFont val="Tahoma"/>
            <family val="2"/>
          </rPr>
          <t>maret repacking pameran 2017 p adnan</t>
        </r>
      </text>
    </comment>
    <comment ref="H60" authorId="0" shapeId="0">
      <text>
        <r>
          <rPr>
            <b/>
            <sz val="9"/>
            <color indexed="81"/>
            <rFont val="Tahoma"/>
            <family val="2"/>
          </rPr>
          <t>maret repacking pameran 2017 p adnan</t>
        </r>
      </text>
    </comment>
    <comment ref="H69" authorId="0" shapeId="0">
      <text>
        <r>
          <rPr>
            <b/>
            <sz val="9"/>
            <color indexed="81"/>
            <rFont val="Tahoma"/>
            <family val="2"/>
          </rPr>
          <t>maret repacking pameran 2017 p adnan</t>
        </r>
      </text>
    </comment>
    <comment ref="H71" authorId="0" shapeId="0">
      <text>
        <r>
          <rPr>
            <b/>
            <sz val="9"/>
            <color indexed="81"/>
            <rFont val="Tahoma"/>
            <family val="2"/>
          </rPr>
          <t>maret prod 600
maret repacking pameran 2017 p adnan 16 274</t>
        </r>
      </text>
    </comment>
    <comment ref="H74" authorId="0" shapeId="0">
      <text>
        <r>
          <rPr>
            <sz val="9"/>
            <color indexed="81"/>
            <rFont val="Tahoma"/>
            <family val="2"/>
          </rPr>
          <t xml:space="preserve">maret repacking pameran 2017 p adnan
</t>
        </r>
      </text>
    </comment>
    <comment ref="H88" authorId="0" shapeId="0">
      <text>
        <r>
          <rPr>
            <b/>
            <sz val="9"/>
            <color indexed="81"/>
            <rFont val="Tahoma"/>
            <family val="2"/>
          </rPr>
          <t>maret repacking pameran 2017 p adnan</t>
        </r>
      </text>
    </comment>
    <comment ref="H90" authorId="0" shapeId="0">
      <text>
        <r>
          <rPr>
            <b/>
            <sz val="9"/>
            <color indexed="81"/>
            <rFont val="Tahoma"/>
            <family val="2"/>
          </rPr>
          <t>maret repacking pameran 2017 p adnan</t>
        </r>
      </text>
    </comment>
    <comment ref="H98" authorId="0" shapeId="0">
      <text>
        <r>
          <rPr>
            <b/>
            <sz val="9"/>
            <color indexed="81"/>
            <rFont val="Tahoma"/>
            <family val="2"/>
          </rPr>
          <t>maret repacking pameran 2017 p adnan</t>
        </r>
      </text>
    </comment>
    <comment ref="H99" authorId="0" shapeId="0">
      <text>
        <r>
          <rPr>
            <b/>
            <sz val="9"/>
            <color indexed="81"/>
            <rFont val="Tahoma"/>
            <family val="2"/>
          </rPr>
          <t>maret repacking pameran 2017 p adnan</t>
        </r>
      </text>
    </comment>
    <comment ref="H109" authorId="0" shapeId="0">
      <text>
        <r>
          <rPr>
            <b/>
            <sz val="9"/>
            <color indexed="81"/>
            <rFont val="Tahoma"/>
            <family val="2"/>
          </rPr>
          <t>prod maret 50
maret repacking pameran 2017 p adnan218</t>
        </r>
      </text>
    </comment>
    <comment ref="H111" authorId="0" shapeId="0">
      <text>
        <r>
          <rPr>
            <b/>
            <sz val="9"/>
            <color indexed="81"/>
            <rFont val="Tahoma"/>
            <family val="2"/>
          </rPr>
          <t>maret repacking pameran 2017 p adnan</t>
        </r>
      </text>
    </comment>
    <comment ref="H120" authorId="0" shapeId="0">
      <text>
        <r>
          <rPr>
            <b/>
            <sz val="9"/>
            <color indexed="81"/>
            <rFont val="Tahoma"/>
            <family val="2"/>
          </rPr>
          <t xml:space="preserve">maret repacking pameran 2017 p adnan
</t>
        </r>
      </text>
    </comment>
    <comment ref="H133" authorId="0" shapeId="0">
      <text>
        <r>
          <rPr>
            <b/>
            <sz val="9"/>
            <color indexed="81"/>
            <rFont val="Tahoma"/>
            <family val="2"/>
          </rPr>
          <t xml:space="preserve">maret repacking pameran 2017 p adnan
</t>
        </r>
      </text>
    </comment>
    <comment ref="H134" authorId="0" shapeId="0">
      <text>
        <r>
          <rPr>
            <b/>
            <sz val="9"/>
            <color indexed="81"/>
            <rFont val="Tahoma"/>
            <family val="2"/>
          </rPr>
          <t xml:space="preserve">maret repacking pameran 2017 p adnan
</t>
        </r>
      </text>
    </comment>
    <comment ref="H151" authorId="0" shapeId="0">
      <text>
        <r>
          <rPr>
            <b/>
            <sz val="9"/>
            <color indexed="81"/>
            <rFont val="Tahoma"/>
            <family val="2"/>
          </rPr>
          <t xml:space="preserve">maret repacking pameran 2017 p adnan
</t>
        </r>
      </text>
    </comment>
    <comment ref="H178" authorId="0" shapeId="0">
      <text>
        <r>
          <rPr>
            <b/>
            <sz val="9"/>
            <color indexed="81"/>
            <rFont val="Tahoma"/>
            <family val="2"/>
          </rPr>
          <t xml:space="preserve">maret repacking pameran 2017 p adnan
</t>
        </r>
      </text>
    </comment>
    <comment ref="H180" authorId="0" shapeId="0">
      <text>
        <r>
          <rPr>
            <b/>
            <sz val="9"/>
            <color indexed="81"/>
            <rFont val="Tahoma"/>
            <family val="2"/>
          </rPr>
          <t xml:space="preserve">maret repacking pameran 2017 p adnan
</t>
        </r>
      </text>
    </comment>
    <comment ref="H182" authorId="0" shapeId="0">
      <text>
        <r>
          <rPr>
            <b/>
            <sz val="9"/>
            <color indexed="81"/>
            <rFont val="Tahoma"/>
            <family val="2"/>
          </rPr>
          <t xml:space="preserve">maret repacking pameran 2017 p adnan
</t>
        </r>
      </text>
    </comment>
    <comment ref="H184" authorId="0" shapeId="0">
      <text>
        <r>
          <rPr>
            <b/>
            <sz val="9"/>
            <color indexed="81"/>
            <rFont val="Tahoma"/>
            <family val="2"/>
          </rPr>
          <t xml:space="preserve">maret repacking pameran 2017 p adnan
</t>
        </r>
      </text>
    </comment>
    <comment ref="H228" authorId="0" shapeId="0">
      <text>
        <r>
          <rPr>
            <b/>
            <sz val="9"/>
            <color indexed="81"/>
            <rFont val="Tahoma"/>
            <family val="2"/>
          </rPr>
          <t xml:space="preserve">maret repacking pameran 2017 p adnan
</t>
        </r>
      </text>
    </comment>
    <comment ref="H230" authorId="0" shapeId="0">
      <text>
        <r>
          <rPr>
            <b/>
            <sz val="9"/>
            <color indexed="81"/>
            <rFont val="Tahoma"/>
            <family val="2"/>
          </rPr>
          <t xml:space="preserve">maret repacking pameran 2017 p adnan
</t>
        </r>
      </text>
    </comment>
    <comment ref="H238" authorId="0" shapeId="0">
      <text>
        <r>
          <rPr>
            <b/>
            <sz val="9"/>
            <color indexed="81"/>
            <rFont val="Tahoma"/>
            <family val="2"/>
          </rPr>
          <t xml:space="preserve">maret repacking pameran 2017 p adnan
</t>
        </r>
      </text>
    </comment>
    <comment ref="H240" authorId="0" shapeId="0">
      <text>
        <r>
          <rPr>
            <b/>
            <sz val="9"/>
            <color indexed="81"/>
            <rFont val="Tahoma"/>
            <family val="2"/>
          </rPr>
          <t xml:space="preserve">maret repacking pameran 2017 p adnan
</t>
        </r>
      </text>
    </comment>
    <comment ref="H242" authorId="0" shapeId="0">
      <text>
        <r>
          <rPr>
            <b/>
            <sz val="9"/>
            <color indexed="81"/>
            <rFont val="Tahoma"/>
            <family val="2"/>
          </rPr>
          <t xml:space="preserve">maret repacking pameran 2017 p adnan
</t>
        </r>
      </text>
    </comment>
    <comment ref="H246" authorId="0" shapeId="0">
      <text>
        <r>
          <rPr>
            <b/>
            <sz val="9"/>
            <color indexed="81"/>
            <rFont val="Tahoma"/>
            <family val="2"/>
          </rPr>
          <t xml:space="preserve">maret repacking pameran 2017 p adnan
</t>
        </r>
      </text>
    </comment>
    <comment ref="H250" authorId="0" shapeId="0">
      <text>
        <r>
          <rPr>
            <b/>
            <sz val="9"/>
            <color indexed="81"/>
            <rFont val="Tahoma"/>
            <family val="2"/>
          </rPr>
          <t xml:space="preserve">maret repacking pameran 2017 p adnan
</t>
        </r>
      </text>
    </comment>
    <comment ref="H252" authorId="0" shapeId="0">
      <text>
        <r>
          <rPr>
            <b/>
            <sz val="9"/>
            <color indexed="81"/>
            <rFont val="Tahoma"/>
            <family val="2"/>
          </rPr>
          <t xml:space="preserve">maret repacking pameran 2017 p adnan
</t>
        </r>
      </text>
    </comment>
    <comment ref="H254" authorId="0" shapeId="0">
      <text>
        <r>
          <rPr>
            <b/>
            <sz val="9"/>
            <color indexed="81"/>
            <rFont val="Tahoma"/>
            <family val="2"/>
          </rPr>
          <t xml:space="preserve">maret repacking pameran 2017 p adnan
</t>
        </r>
      </text>
    </comment>
    <comment ref="H268" authorId="0" shapeId="0">
      <text>
        <r>
          <rPr>
            <b/>
            <sz val="9"/>
            <color indexed="81"/>
            <rFont val="Tahoma"/>
            <family val="2"/>
          </rPr>
          <t xml:space="preserve">maret repacking pameran 2017 p adnan
</t>
        </r>
      </text>
    </comment>
    <comment ref="H270" authorId="0" shapeId="0">
      <text>
        <r>
          <rPr>
            <b/>
            <sz val="9"/>
            <color indexed="81"/>
            <rFont val="Tahoma"/>
            <family val="2"/>
          </rPr>
          <t xml:space="preserve">maret repacking pameran 2017 p adnan
</t>
        </r>
      </text>
    </comment>
    <comment ref="H272" authorId="0" shapeId="0">
      <text>
        <r>
          <rPr>
            <b/>
            <sz val="9"/>
            <color indexed="81"/>
            <rFont val="Tahoma"/>
            <family val="2"/>
          </rPr>
          <t xml:space="preserve">maret repacking pameran 2017 p adnan
</t>
        </r>
      </text>
    </comment>
    <comment ref="H274" authorId="0" shapeId="0">
      <text>
        <r>
          <rPr>
            <b/>
            <sz val="9"/>
            <color indexed="81"/>
            <rFont val="Tahoma"/>
            <family val="2"/>
          </rPr>
          <t xml:space="preserve">maret repacking pameran 2017 p adnan
</t>
        </r>
      </text>
    </comment>
    <comment ref="H276" authorId="0" shapeId="0">
      <text>
        <r>
          <rPr>
            <b/>
            <sz val="9"/>
            <color indexed="81"/>
            <rFont val="Tahoma"/>
            <family val="2"/>
          </rPr>
          <t xml:space="preserve">maret repacking pameran 2017 p adnan
</t>
        </r>
      </text>
    </comment>
    <comment ref="H278" authorId="0" shapeId="0">
      <text>
        <r>
          <rPr>
            <b/>
            <sz val="9"/>
            <color indexed="81"/>
            <rFont val="Tahoma"/>
            <family val="2"/>
          </rPr>
          <t xml:space="preserve">maret repacking pameran 2017 p adnan
</t>
        </r>
      </text>
    </comment>
    <comment ref="H280" authorId="0" shapeId="0">
      <text>
        <r>
          <rPr>
            <b/>
            <sz val="9"/>
            <color indexed="81"/>
            <rFont val="Tahoma"/>
            <family val="2"/>
          </rPr>
          <t xml:space="preserve">maret repacking pameran 2017 p adnan
</t>
        </r>
      </text>
    </comment>
    <comment ref="H282" authorId="0" shapeId="0">
      <text>
        <r>
          <rPr>
            <b/>
            <sz val="9"/>
            <color indexed="81"/>
            <rFont val="Tahoma"/>
            <family val="2"/>
          </rPr>
          <t xml:space="preserve">maret repacking pameran 2017 p adnan
</t>
        </r>
      </text>
    </comment>
    <comment ref="H284" authorId="0" shapeId="0">
      <text>
        <r>
          <rPr>
            <b/>
            <sz val="9"/>
            <color indexed="81"/>
            <rFont val="Tahoma"/>
            <family val="2"/>
          </rPr>
          <t xml:space="preserve">maret repacking pameran 2017 p adnan
</t>
        </r>
      </text>
    </comment>
    <comment ref="H286" authorId="0" shapeId="0">
      <text>
        <r>
          <rPr>
            <b/>
            <sz val="9"/>
            <color indexed="81"/>
            <rFont val="Tahoma"/>
            <family val="2"/>
          </rPr>
          <t xml:space="preserve">maret repacking pameran 2017 p adnan
</t>
        </r>
      </text>
    </comment>
    <comment ref="H288" authorId="0" shapeId="0">
      <text>
        <r>
          <rPr>
            <b/>
            <sz val="9"/>
            <color indexed="81"/>
            <rFont val="Tahoma"/>
            <family val="2"/>
          </rPr>
          <t xml:space="preserve">maret repacking pameran 2017 p adnan
</t>
        </r>
      </text>
    </comment>
    <comment ref="H290" authorId="0" shapeId="0">
      <text>
        <r>
          <rPr>
            <b/>
            <sz val="9"/>
            <color indexed="81"/>
            <rFont val="Tahoma"/>
            <family val="2"/>
          </rPr>
          <t xml:space="preserve">maret repacking pameran 2017 p adnan
</t>
        </r>
      </text>
    </comment>
    <comment ref="H292" authorId="0" shapeId="0">
      <text>
        <r>
          <rPr>
            <b/>
            <sz val="9"/>
            <color indexed="81"/>
            <rFont val="Tahoma"/>
            <family val="2"/>
          </rPr>
          <t xml:space="preserve">maret repacking pameran 2017 p adnan
</t>
        </r>
      </text>
    </comment>
    <comment ref="H294" authorId="0" shapeId="0">
      <text>
        <r>
          <rPr>
            <b/>
            <sz val="9"/>
            <color indexed="81"/>
            <rFont val="Tahoma"/>
            <family val="2"/>
          </rPr>
          <t xml:space="preserve">maret repacking pameran 2017 p adnan
</t>
        </r>
      </text>
    </comment>
    <comment ref="H296" authorId="0" shapeId="0">
      <text>
        <r>
          <rPr>
            <b/>
            <sz val="9"/>
            <color indexed="81"/>
            <rFont val="Tahoma"/>
            <family val="2"/>
          </rPr>
          <t xml:space="preserve">maret repacking pameran 2017 p adnan
</t>
        </r>
      </text>
    </comment>
    <comment ref="H298" authorId="0" shapeId="0">
      <text>
        <r>
          <rPr>
            <b/>
            <sz val="9"/>
            <color indexed="81"/>
            <rFont val="Tahoma"/>
            <family val="2"/>
          </rPr>
          <t xml:space="preserve">maret repacking pameran 2017 p adnan
</t>
        </r>
      </text>
    </comment>
    <comment ref="H300" authorId="0" shapeId="0">
      <text>
        <r>
          <rPr>
            <b/>
            <sz val="9"/>
            <color indexed="81"/>
            <rFont val="Tahoma"/>
            <family val="2"/>
          </rPr>
          <t xml:space="preserve">maret repacking pameran 2017 p adnan
</t>
        </r>
      </text>
    </comment>
    <comment ref="H302" authorId="0" shapeId="0">
      <text>
        <r>
          <rPr>
            <b/>
            <sz val="9"/>
            <color indexed="81"/>
            <rFont val="Tahoma"/>
            <family val="2"/>
          </rPr>
          <t xml:space="preserve">maret repacking pameran 2017 p adnan
</t>
        </r>
      </text>
    </comment>
    <comment ref="F318" authorId="0" shapeId="0">
      <text>
        <r>
          <rPr>
            <b/>
            <sz val="8"/>
            <color indexed="81"/>
            <rFont val="Tahoma"/>
            <family val="2"/>
          </rPr>
          <t>di isi pada saat pemeriksaan KAP akhir Desember barang nya ada, tapi sy tidak melihat brg dms krn pada saat yg sama sedang meriksa brg yg lainnya</t>
        </r>
        <r>
          <rPr>
            <sz val="9"/>
            <color indexed="81"/>
            <rFont val="Tahoma"/>
            <family val="2"/>
          </rPr>
          <t xml:space="preserve">
</t>
        </r>
      </text>
    </comment>
    <comment ref="M320" authorId="0" shapeId="0">
      <text>
        <r>
          <rPr>
            <b/>
            <sz val="9"/>
            <color indexed="81"/>
            <rFont val="Tahoma"/>
            <charset val="1"/>
          </rPr>
          <t>Author:</t>
        </r>
        <r>
          <rPr>
            <sz val="9"/>
            <color indexed="81"/>
            <rFont val="Tahoma"/>
            <charset val="1"/>
          </rPr>
          <t xml:space="preserve">
di PER. 1 sebelumnya saldo 5440 (1 juli 2017)</t>
        </r>
      </text>
    </comment>
    <comment ref="M322" authorId="0" shapeId="0">
      <text>
        <r>
          <rPr>
            <b/>
            <sz val="9"/>
            <color indexed="81"/>
            <rFont val="Tahoma"/>
            <family val="2"/>
          </rPr>
          <t>Author:</t>
        </r>
        <r>
          <rPr>
            <sz val="9"/>
            <color indexed="81"/>
            <rFont val="Tahoma"/>
            <family val="2"/>
          </rPr>
          <t xml:space="preserve">
di PER. 1 sebelumnya saldo 67365 (1 juli 2017)</t>
        </r>
      </text>
    </comment>
    <comment ref="M324" authorId="0" shapeId="0">
      <text>
        <r>
          <rPr>
            <b/>
            <sz val="9"/>
            <color indexed="81"/>
            <rFont val="Tahoma"/>
            <family val="2"/>
          </rPr>
          <t>Author:</t>
        </r>
        <r>
          <rPr>
            <sz val="9"/>
            <color indexed="81"/>
            <rFont val="Tahoma"/>
            <family val="2"/>
          </rPr>
          <t xml:space="preserve">
di PER. 1 sebelumnya saldo 67365 (1 juli 2017)</t>
        </r>
      </text>
    </comment>
    <comment ref="M326" authorId="0" shapeId="0">
      <text>
        <r>
          <rPr>
            <b/>
            <sz val="9"/>
            <color indexed="81"/>
            <rFont val="Tahoma"/>
            <family val="2"/>
          </rPr>
          <t>Author:</t>
        </r>
        <r>
          <rPr>
            <sz val="9"/>
            <color indexed="81"/>
            <rFont val="Tahoma"/>
            <family val="2"/>
          </rPr>
          <t xml:space="preserve">
di PER. 1 sebelumnya saldo 67365 (1 juli 2017)
habis tanggal 8 agustus 2017</t>
        </r>
      </text>
    </comment>
    <comment ref="M328" authorId="0" shapeId="0">
      <text>
        <r>
          <rPr>
            <b/>
            <sz val="9"/>
            <color indexed="81"/>
            <rFont val="Tahoma"/>
            <family val="2"/>
          </rPr>
          <t>Author:</t>
        </r>
        <r>
          <rPr>
            <sz val="9"/>
            <color indexed="81"/>
            <rFont val="Tahoma"/>
            <family val="2"/>
          </rPr>
          <t xml:space="preserve">
di PER. 1 sebelumnya saldo 67365 (1 juli 2017)</t>
        </r>
      </text>
    </comment>
    <comment ref="M329" authorId="0" shapeId="0">
      <text>
        <r>
          <rPr>
            <b/>
            <sz val="9"/>
            <color indexed="81"/>
            <rFont val="Tahoma"/>
            <family val="2"/>
          </rPr>
          <t>Author:</t>
        </r>
        <r>
          <rPr>
            <sz val="9"/>
            <color indexed="81"/>
            <rFont val="Tahoma"/>
            <family val="2"/>
          </rPr>
          <t xml:space="preserve">
di PER. 1 sebelumnya 91328
4 juni wonosari 6400 + 6120. 1 juli 2017 =78808</t>
        </r>
      </text>
    </comment>
    <comment ref="M331" authorId="0" shapeId="0">
      <text>
        <r>
          <rPr>
            <b/>
            <sz val="9"/>
            <color indexed="81"/>
            <rFont val="Tahoma"/>
            <family val="2"/>
          </rPr>
          <t>Author:</t>
        </r>
        <r>
          <rPr>
            <sz val="9"/>
            <color indexed="81"/>
            <rFont val="Tahoma"/>
            <family val="2"/>
          </rPr>
          <t xml:space="preserve">
di PER. 1 sebelumnya saldo 67365 (1 juli 2017)</t>
        </r>
      </text>
    </comment>
    <comment ref="M333" authorId="0" shapeId="0">
      <text>
        <r>
          <rPr>
            <b/>
            <sz val="9"/>
            <color indexed="81"/>
            <rFont val="Tahoma"/>
            <family val="2"/>
          </rPr>
          <t>Author:
di PER. 1 sebelumnya saldo 64890 (1 juli 2017)</t>
        </r>
      </text>
    </comment>
    <comment ref="M335" authorId="0" shapeId="0">
      <text>
        <r>
          <rPr>
            <b/>
            <sz val="9"/>
            <color indexed="81"/>
            <rFont val="Tahoma"/>
            <charset val="1"/>
          </rPr>
          <t>Author:</t>
        </r>
        <r>
          <rPr>
            <sz val="9"/>
            <color indexed="81"/>
            <rFont val="Tahoma"/>
            <charset val="1"/>
          </rPr>
          <t xml:space="preserve">
di PER. 1 sebelumnya saldo 6214 (1 juli 2017)</t>
        </r>
      </text>
    </comment>
    <comment ref="M337" authorId="0" shapeId="0">
      <text>
        <r>
          <rPr>
            <b/>
            <sz val="9"/>
            <color indexed="81"/>
            <rFont val="Tahoma"/>
            <charset val="1"/>
          </rPr>
          <t>Author:</t>
        </r>
        <r>
          <rPr>
            <sz val="9"/>
            <color indexed="81"/>
            <rFont val="Tahoma"/>
            <charset val="1"/>
          </rPr>
          <t xml:space="preserve">
di PER. 1 sebelumnya saldo 67365 (1 juli 2017)</t>
        </r>
      </text>
    </comment>
    <comment ref="M339" authorId="0" shapeId="0">
      <text>
        <r>
          <rPr>
            <b/>
            <sz val="9"/>
            <color indexed="81"/>
            <rFont val="Tahoma"/>
            <family val="2"/>
          </rPr>
          <t>Author:</t>
        </r>
        <r>
          <rPr>
            <sz val="9"/>
            <color indexed="81"/>
            <rFont val="Tahoma"/>
            <family val="2"/>
          </rPr>
          <t xml:space="preserve">
di PER. 1 sebelumnya saldo 67365 (1 juli 2017)</t>
        </r>
      </text>
    </comment>
    <comment ref="M341" authorId="0" shapeId="0">
      <text>
        <r>
          <rPr>
            <b/>
            <sz val="9"/>
            <color indexed="81"/>
            <rFont val="Tahoma"/>
            <family val="2"/>
          </rPr>
          <t>Author:</t>
        </r>
        <r>
          <rPr>
            <sz val="9"/>
            <color indexed="81"/>
            <rFont val="Tahoma"/>
            <family val="2"/>
          </rPr>
          <t xml:space="preserve">
di PER. 1 sebelumnya saldo 67365 (1 juli 2017)
habis 8 agustus 2017 ke jogja</t>
        </r>
      </text>
    </comment>
    <comment ref="M343" authorId="0" shapeId="0">
      <text>
        <r>
          <rPr>
            <b/>
            <sz val="9"/>
            <color indexed="81"/>
            <rFont val="Tahoma"/>
            <charset val="1"/>
          </rPr>
          <t>Author:</t>
        </r>
        <r>
          <rPr>
            <sz val="9"/>
            <color indexed="81"/>
            <rFont val="Tahoma"/>
            <charset val="1"/>
          </rPr>
          <t xml:space="preserve">
di PER. 1 sebelumnya saldo 21202 (1 juli 2017)</t>
        </r>
      </text>
    </comment>
    <comment ref="H360" authorId="0" shapeId="0">
      <text>
        <r>
          <rPr>
            <b/>
            <sz val="9"/>
            <color indexed="81"/>
            <rFont val="Tahoma"/>
            <family val="2"/>
          </rPr>
          <t>sept 74.400</t>
        </r>
      </text>
    </comment>
    <comment ref="F364" authorId="0" shapeId="0">
      <text>
        <r>
          <rPr>
            <b/>
            <sz val="9"/>
            <color indexed="81"/>
            <rFont val="Tahoma"/>
            <family val="2"/>
          </rPr>
          <t xml:space="preserve">18-7-2016
di g15format sblm nya ga ada, (kain#3)
di g2c pun ga ada.
Di g2c usw akan di entri di kain 24 prop.
Format di 2017 akan dirubah total disesuaikan dengan jenis bfl yang pernah tebit
</t>
        </r>
        <r>
          <rPr>
            <sz val="9"/>
            <color indexed="81"/>
            <rFont val="Tahoma"/>
            <family val="2"/>
          </rPr>
          <t xml:space="preserve">
kain #3 18-07-2016 utk wno
dari bna dus 127
bangunan ibadah 18 juli 10.000 kpg = 2.000 set = jku dus 148</t>
        </r>
      </text>
    </comment>
    <comment ref="S364" authorId="0" shapeId="0">
      <text>
        <r>
          <rPr>
            <b/>
            <sz val="9"/>
            <color indexed="81"/>
            <rFont val="Tahoma"/>
            <charset val="1"/>
          </rPr>
          <t>Author:</t>
        </r>
        <r>
          <rPr>
            <sz val="9"/>
            <color indexed="81"/>
            <rFont val="Tahoma"/>
            <charset val="1"/>
          </rPr>
          <t xml:space="preserve">
tgl 16-8-2017 dikirim ke upt</t>
        </r>
      </text>
    </comment>
    <comment ref="V364" authorId="0" shapeId="0">
      <text>
        <r>
          <rPr>
            <b/>
            <sz val="9"/>
            <color indexed="81"/>
            <rFont val="Tahoma"/>
            <charset val="1"/>
          </rPr>
          <t>Author:</t>
        </r>
        <r>
          <rPr>
            <sz val="9"/>
            <color indexed="81"/>
            <rFont val="Tahoma"/>
            <charset val="1"/>
          </rPr>
          <t xml:space="preserve">
tgl 16-8-2017 dikirim ke upt</t>
        </r>
      </text>
    </comment>
    <comment ref="W364" authorId="0" shapeId="0">
      <text>
        <r>
          <rPr>
            <b/>
            <sz val="9"/>
            <color indexed="81"/>
            <rFont val="Tahoma"/>
            <charset val="1"/>
          </rPr>
          <t>Author:</t>
        </r>
        <r>
          <rPr>
            <sz val="9"/>
            <color indexed="81"/>
            <rFont val="Tahoma"/>
            <charset val="1"/>
          </rPr>
          <t xml:space="preserve">
tgl 16-8-2017 dikirim ke upt</t>
        </r>
      </text>
    </comment>
    <comment ref="X364" authorId="0" shapeId="0">
      <text>
        <r>
          <rPr>
            <b/>
            <sz val="9"/>
            <color indexed="81"/>
            <rFont val="Tahoma"/>
            <charset val="1"/>
          </rPr>
          <t>Author:</t>
        </r>
        <r>
          <rPr>
            <sz val="9"/>
            <color indexed="81"/>
            <rFont val="Tahoma"/>
            <charset val="1"/>
          </rPr>
          <t xml:space="preserve">
tgl 16-8-2017 dikirim ke upt</t>
        </r>
      </text>
    </comment>
    <comment ref="Z364" authorId="0" shapeId="0">
      <text>
        <r>
          <rPr>
            <b/>
            <sz val="9"/>
            <color indexed="81"/>
            <rFont val="Tahoma"/>
            <charset val="1"/>
          </rPr>
          <t>Author:</t>
        </r>
        <r>
          <rPr>
            <sz val="9"/>
            <color indexed="81"/>
            <rFont val="Tahoma"/>
            <charset val="1"/>
          </rPr>
          <t xml:space="preserve">
tgl 16-8-2017 dikirim ke upt</t>
        </r>
      </text>
    </comment>
    <comment ref="C366" authorId="0" shapeId="0">
      <text>
        <r>
          <rPr>
            <b/>
            <sz val="9"/>
            <color indexed="81"/>
            <rFont val="Tahoma"/>
            <family val="2"/>
          </rPr>
          <t>sebelumnya rp 10.000 (harga 1set), sedangkan angka bilangan adalah hitungan keping. Jadi dirubah di akhir desember menjadi bsu rp 2.500 menyesuaikan hitungan angka perkalian angka bilangan keping</t>
        </r>
      </text>
    </comment>
    <comment ref="H387" authorId="0" shapeId="0">
      <text>
        <r>
          <rPr>
            <b/>
            <sz val="9"/>
            <color indexed="81"/>
            <rFont val="Tahoma"/>
            <family val="2"/>
          </rPr>
          <t xml:space="preserve">koreksi salah kaidah pencatatan .. Total keping cocok 108,672 keping seharusnya 108,672 kpg : 3 karena coupurenya beda2 28-12-2016
koreksi 72,448
</t>
        </r>
        <r>
          <rPr>
            <sz val="9"/>
            <color indexed="81"/>
            <rFont val="Tahoma"/>
            <family val="2"/>
          </rPr>
          <t xml:space="preserve">
sama dengan pencatatat dan fisik di per 1 hitungan nya keping</t>
        </r>
      </text>
    </comment>
    <comment ref="C391" authorId="0" shapeId="0">
      <text>
        <r>
          <rPr>
            <b/>
            <sz val="9"/>
            <color indexed="81"/>
            <rFont val="Tahoma"/>
            <family val="2"/>
          </rPr>
          <t>tadinya rp 5.000 (harga 1 set). Sedangkan angka penghitungannya adalah bilangan keping, jadi disesuaikan di akhir desember 2015 menjadi rp 2.500 sesuai dengan harga per keping</t>
        </r>
      </text>
    </comment>
    <comment ref="H391" authorId="0" shapeId="0">
      <text>
        <r>
          <rPr>
            <b/>
            <sz val="9"/>
            <color indexed="81"/>
            <rFont val="Tahoma"/>
            <family val="2"/>
          </rPr>
          <t>nov pengalihan 3980</t>
        </r>
        <r>
          <rPr>
            <sz val="9"/>
            <color indexed="81"/>
            <rFont val="Tahoma"/>
            <family val="2"/>
          </rPr>
          <t xml:space="preserve">
feb 17 pengalihan 10.000</t>
        </r>
      </text>
    </comment>
    <comment ref="H392" authorId="0" shapeId="0">
      <text>
        <r>
          <rPr>
            <b/>
            <sz val="9"/>
            <color indexed="81"/>
            <rFont val="Tahoma"/>
            <charset val="1"/>
          </rPr>
          <t>26 juni 2017
repacking pameran dunia 12.000</t>
        </r>
      </text>
    </comment>
    <comment ref="H394" authorId="0" shapeId="0">
      <text>
        <r>
          <rPr>
            <b/>
            <sz val="9"/>
            <color indexed="81"/>
            <rFont val="Tahoma"/>
            <family val="2"/>
          </rPr>
          <t>di isi 188.000 krn bsu perkalian rp 30.000 adalah Set. Sedangkan angka bilangan adalah hitungan keping, maka angka bilangan disesuaikan dengan bilngan SET (18.800 set)</t>
        </r>
      </text>
    </comment>
    <comment ref="C398" authorId="0" shapeId="0">
      <text>
        <r>
          <rPr>
            <b/>
            <sz val="9"/>
            <color indexed="81"/>
            <rFont val="Tahoma"/>
            <family val="2"/>
          </rPr>
          <t>tadinya rp 7.500 (harga 1 set). Sedangkan angka penghitungannya adalah bilangan keping, jadi disesuaikan di akhir desember 2015 menjadi rp 2.500 sesuai dengan harga per keping</t>
        </r>
      </text>
    </comment>
    <comment ref="C400" authorId="0" shapeId="0">
      <text>
        <r>
          <rPr>
            <b/>
            <sz val="9"/>
            <color indexed="81"/>
            <rFont val="Tahoma"/>
            <charset val="1"/>
          </rPr>
          <t>Author:</t>
        </r>
        <r>
          <rPr>
            <sz val="9"/>
            <color indexed="81"/>
            <rFont val="Tahoma"/>
            <charset val="1"/>
          </rPr>
          <t xml:space="preserve">
tadinya 5000 sama dengan hitungan set, sekarang tanggal 15-8-2017 dibuat hitungan keping</t>
        </r>
      </text>
    </comment>
    <comment ref="C402" authorId="0" shapeId="0">
      <text>
        <r>
          <rPr>
            <b/>
            <sz val="9"/>
            <color indexed="81"/>
            <rFont val="Tahoma"/>
            <charset val="1"/>
          </rPr>
          <t>Author:</t>
        </r>
        <r>
          <rPr>
            <sz val="9"/>
            <color indexed="81"/>
            <rFont val="Tahoma"/>
            <charset val="1"/>
          </rPr>
          <t xml:space="preserve">
tadinya 5000 sama dengan hitungan set, sekarang tanggal 15-8-2017 dibuat hitungan keping</t>
        </r>
      </text>
    </comment>
    <comment ref="C404" authorId="0" shapeId="0">
      <text/>
    </comment>
    <comment ref="C406" authorId="0" shapeId="0">
      <text>
        <r>
          <rPr>
            <b/>
            <sz val="9"/>
            <color indexed="81"/>
            <rFont val="Tahoma"/>
            <charset val="1"/>
          </rPr>
          <t>Author:</t>
        </r>
        <r>
          <rPr>
            <sz val="9"/>
            <color indexed="81"/>
            <rFont val="Tahoma"/>
            <charset val="1"/>
          </rPr>
          <t xml:space="preserve">
digabung</t>
        </r>
      </text>
    </comment>
    <comment ref="C409" authorId="0" shapeId="0">
      <text>
        <r>
          <rPr>
            <b/>
            <sz val="9"/>
            <color indexed="81"/>
            <rFont val="Tahoma"/>
            <charset val="1"/>
          </rPr>
          <t>Author:</t>
        </r>
        <r>
          <rPr>
            <sz val="9"/>
            <color indexed="81"/>
            <rFont val="Tahoma"/>
            <charset val="1"/>
          </rPr>
          <t xml:space="preserve">
tadinya 5000 sama dengan hitungan set, sekarang tanggal 15-8-2017 dibuat hitungan keping</t>
        </r>
      </text>
    </comment>
    <comment ref="F409" authorId="0" shapeId="0">
      <text>
        <r>
          <rPr>
            <b/>
            <sz val="9"/>
            <color indexed="81"/>
            <rFont val="Tahoma"/>
            <family val="2"/>
          </rPr>
          <t>juni retouran 1200
ret sep 200</t>
        </r>
        <r>
          <rPr>
            <sz val="9"/>
            <color indexed="81"/>
            <rFont val="Tahoma"/>
            <family val="2"/>
          </rPr>
          <t xml:space="preserve">
</t>
        </r>
      </text>
    </comment>
    <comment ref="H431" authorId="0" shapeId="0">
      <text>
        <r>
          <rPr>
            <b/>
            <sz val="9"/>
            <color indexed="81"/>
            <rFont val="Tahoma"/>
            <family val="2"/>
          </rPr>
          <t>7500 pengalihan def</t>
        </r>
        <r>
          <rPr>
            <sz val="9"/>
            <color indexed="81"/>
            <rFont val="Tahoma"/>
            <family val="2"/>
          </rPr>
          <t xml:space="preserve">
</t>
        </r>
      </text>
    </comment>
    <comment ref="C462" authorId="0" shapeId="0">
      <text>
        <r>
          <rPr>
            <b/>
            <sz val="9"/>
            <color indexed="81"/>
            <rFont val="Tahoma"/>
            <family val="2"/>
          </rPr>
          <t>1 set =6 kpg
1 fs = 4 set = 24 kpg</t>
        </r>
        <r>
          <rPr>
            <sz val="9"/>
            <color indexed="81"/>
            <rFont val="Tahoma"/>
            <family val="2"/>
          </rPr>
          <t xml:space="preserve">
</t>
        </r>
      </text>
    </comment>
    <comment ref="F462" authorId="0" shapeId="0">
      <text>
        <r>
          <rPr>
            <b/>
            <sz val="9"/>
            <color indexed="81"/>
            <rFont val="Tahoma"/>
            <family val="2"/>
          </rPr>
          <t xml:space="preserve">jan dialihkan dari def ke filateli utk kfj
4.000 set + 4000
</t>
        </r>
      </text>
    </comment>
    <comment ref="H462" authorId="0" shapeId="0">
      <text>
        <r>
          <rPr>
            <b/>
            <sz val="9"/>
            <color indexed="81"/>
            <rFont val="Tahoma"/>
            <family val="2"/>
          </rPr>
          <t xml:space="preserve">139.720 pengalihan def
</t>
        </r>
      </text>
    </comment>
    <comment ref="F471" authorId="0" shapeId="0">
      <text>
        <r>
          <rPr>
            <b/>
            <sz val="9"/>
            <color indexed="81"/>
            <rFont val="Tahoma"/>
            <family val="2"/>
          </rPr>
          <t>50.000 LBR X 8 SET</t>
        </r>
        <r>
          <rPr>
            <sz val="9"/>
            <color indexed="81"/>
            <rFont val="Tahoma"/>
            <family val="2"/>
          </rPr>
          <t xml:space="preserve">
</t>
        </r>
      </text>
    </comment>
    <comment ref="F472" authorId="0" shapeId="0">
      <text>
        <r>
          <rPr>
            <b/>
            <sz val="9"/>
            <color indexed="81"/>
            <rFont val="Tahoma"/>
            <family val="2"/>
          </rPr>
          <t xml:space="preserve">30.000 lbr
</t>
        </r>
        <r>
          <rPr>
            <sz val="9"/>
            <color indexed="81"/>
            <rFont val="Tahoma"/>
            <family val="2"/>
          </rPr>
          <t xml:space="preserve">
</t>
        </r>
      </text>
    </comment>
    <comment ref="F473" authorId="0" shapeId="0">
      <text>
        <r>
          <rPr>
            <b/>
            <sz val="9"/>
            <color indexed="81"/>
            <rFont val="Tahoma"/>
            <family val="2"/>
          </rPr>
          <t xml:space="preserve">990,000
10,000 tanpa perforasi (500 lbr)
</t>
        </r>
        <r>
          <rPr>
            <sz val="9"/>
            <color indexed="81"/>
            <rFont val="Tahoma"/>
            <family val="2"/>
          </rPr>
          <t xml:space="preserve">
</t>
        </r>
      </text>
    </comment>
    <comment ref="F474" authorId="0" shapeId="0">
      <text>
        <r>
          <rPr>
            <b/>
            <sz val="9"/>
            <color indexed="81"/>
            <rFont val="Tahoma"/>
            <family val="2"/>
          </rPr>
          <t>jun 10.000 lbr 
1 fs 8 set
8 x 10.000 = 80.000</t>
        </r>
      </text>
    </comment>
    <comment ref="F475" authorId="0" shapeId="0">
      <text>
        <r>
          <rPr>
            <b/>
            <sz val="9"/>
            <color indexed="81"/>
            <rFont val="Tahoma"/>
            <family val="2"/>
          </rPr>
          <t>juni 2017
29.500 lbr x 10 = 295.000 set
imperf 500 lbr = 5.000 set
 1fs = 10 set
1set 2 kpg @rp 4.000</t>
        </r>
        <r>
          <rPr>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H8" authorId="0" shapeId="0">
      <text>
        <r>
          <rPr>
            <b/>
            <sz val="9"/>
            <color indexed="81"/>
            <rFont val="Tahoma"/>
            <family val="2"/>
          </rPr>
          <t xml:space="preserve">maret repacking pameran 2017 p adnan
</t>
        </r>
      </text>
    </comment>
    <comment ref="H9" authorId="0" shapeId="0">
      <text>
        <r>
          <rPr>
            <b/>
            <sz val="9"/>
            <color indexed="81"/>
            <rFont val="Tahoma"/>
            <family val="2"/>
          </rPr>
          <t xml:space="preserve">maret repacking pameran 2017 p adnan
</t>
        </r>
      </text>
    </comment>
    <comment ref="H11" authorId="0" shapeId="0">
      <text>
        <r>
          <rPr>
            <b/>
            <sz val="9"/>
            <color indexed="81"/>
            <rFont val="Tahoma"/>
            <family val="2"/>
          </rPr>
          <t xml:space="preserve">maret repacking pameran 2017 p adnan
</t>
        </r>
      </text>
    </comment>
    <comment ref="C12" authorId="0" shapeId="0">
      <text>
        <r>
          <rPr>
            <b/>
            <sz val="9"/>
            <color indexed="81"/>
            <rFont val="Tahoma"/>
            <family val="2"/>
          </rPr>
          <t>tadinya rp 48.000. namun 1 set 6 gambar x rp 6.000 = 36.000. dicek ulang barang nya ada 200+170 buah per masing masing gambar</t>
        </r>
      </text>
    </comment>
    <comment ref="H12" authorId="0" shapeId="0">
      <text>
        <r>
          <rPr>
            <b/>
            <sz val="9"/>
            <color indexed="81"/>
            <rFont val="Tahoma"/>
            <family val="2"/>
          </rPr>
          <t xml:space="preserve">maret repacking pameran 2017 p adnan
</t>
        </r>
      </text>
    </comment>
    <comment ref="H19" authorId="0" shapeId="0">
      <text>
        <r>
          <rPr>
            <b/>
            <sz val="9"/>
            <color indexed="81"/>
            <rFont val="Tahoma"/>
            <family val="2"/>
          </rPr>
          <t xml:space="preserve">maret repacking pameran 2017 p adnan
</t>
        </r>
      </text>
    </comment>
    <comment ref="H20" authorId="0" shapeId="0">
      <text>
        <r>
          <rPr>
            <b/>
            <sz val="9"/>
            <color indexed="81"/>
            <rFont val="Tahoma"/>
            <family val="2"/>
          </rPr>
          <t xml:space="preserve">maret repacking pameran 2017 p adnan
</t>
        </r>
      </text>
    </comment>
    <comment ref="H21" authorId="0" shapeId="0">
      <text>
        <r>
          <rPr>
            <b/>
            <sz val="9"/>
            <color indexed="81"/>
            <rFont val="Tahoma"/>
            <family val="2"/>
          </rPr>
          <t xml:space="preserve">maret repacking pameran 2017 p adnan
</t>
        </r>
      </text>
    </comment>
    <comment ref="H22" authorId="0" shapeId="0">
      <text>
        <r>
          <rPr>
            <b/>
            <sz val="9"/>
            <color indexed="81"/>
            <rFont val="Tahoma"/>
            <family val="2"/>
          </rPr>
          <t xml:space="preserve">hitungan KAP 7297 bukan 7299. selisih kurang 2. pada saat yg bersamaan sy sedang menge cek barang yg lain. Disesuaikan oleh pa tito di akhir desember
</t>
        </r>
        <r>
          <rPr>
            <sz val="9"/>
            <color indexed="81"/>
            <rFont val="Tahoma"/>
            <family val="2"/>
          </rPr>
          <t xml:space="preserve">
maret repacking pameran 2017 p adnan</t>
        </r>
      </text>
    </comment>
    <comment ref="H29" authorId="0" shapeId="0">
      <text>
        <r>
          <rPr>
            <b/>
            <sz val="9"/>
            <color indexed="81"/>
            <rFont val="Tahoma"/>
            <family val="2"/>
          </rPr>
          <t>hitungan KAP 1.159 bukan 1.529. selisih kurang 370. pada saat yg bersamaan sy sedang menge cek barang yg lain. Disesuaikan oleh pa tito di akhir desember
masuk ke kelompok SS CR 2005
maret repacking pameran 2017 p adnan</t>
        </r>
        <r>
          <rPr>
            <sz val="9"/>
            <color indexed="81"/>
            <rFont val="Tahoma"/>
            <family val="2"/>
          </rPr>
          <t xml:space="preserve">
</t>
        </r>
      </text>
    </comment>
    <comment ref="H31" authorId="0" shapeId="0">
      <text>
        <r>
          <rPr>
            <b/>
            <sz val="9"/>
            <color indexed="81"/>
            <rFont val="Tahoma"/>
            <family val="2"/>
          </rPr>
          <t xml:space="preserve">maret repacking pameran 2017 p adnan
</t>
        </r>
      </text>
    </comment>
    <comment ref="H32" authorId="0" shapeId="0">
      <text>
        <r>
          <rPr>
            <b/>
            <sz val="9"/>
            <color indexed="81"/>
            <rFont val="Tahoma"/>
            <family val="2"/>
          </rPr>
          <t xml:space="preserve">maret repacking pameran 2017 p adnan
</t>
        </r>
      </text>
    </comment>
    <comment ref="F39" authorId="0" shapeId="0">
      <text>
        <r>
          <rPr>
            <b/>
            <sz val="9"/>
            <color indexed="81"/>
            <rFont val="Tahoma"/>
            <family val="2"/>
          </rPr>
          <t>hitungan KAP 645 bukan 275. selisih kurang 370. pada saat yg bersamaan sy sedang menge cek barang yg lain. Disesuaikan oleh pa tito di akhir desember
mengurangi kelompok SS CR 2004</t>
        </r>
        <r>
          <rPr>
            <sz val="9"/>
            <color indexed="81"/>
            <rFont val="Tahoma"/>
            <family val="2"/>
          </rPr>
          <t xml:space="preserve">
</t>
        </r>
      </text>
    </comment>
    <comment ref="H39" authorId="0" shapeId="0">
      <text>
        <r>
          <rPr>
            <b/>
            <sz val="9"/>
            <color indexed="81"/>
            <rFont val="Tahoma"/>
            <family val="2"/>
          </rPr>
          <t xml:space="preserve">maret repacking pameran 2017 p adnan
</t>
        </r>
      </text>
    </comment>
    <comment ref="H40" authorId="0" shapeId="0">
      <text>
        <r>
          <rPr>
            <b/>
            <sz val="9"/>
            <color indexed="81"/>
            <rFont val="Tahoma"/>
            <family val="2"/>
          </rPr>
          <t xml:space="preserve">maret repacking pameran 2017 p adnan
</t>
        </r>
      </text>
    </comment>
    <comment ref="H41" authorId="0" shapeId="0">
      <text>
        <r>
          <rPr>
            <b/>
            <sz val="9"/>
            <color indexed="81"/>
            <rFont val="Tahoma"/>
            <family val="2"/>
          </rPr>
          <t xml:space="preserve">maret repacking pameran 2017 p adnan
</t>
        </r>
      </text>
    </comment>
    <comment ref="H49" authorId="0" shapeId="0">
      <text>
        <r>
          <rPr>
            <b/>
            <sz val="9"/>
            <color indexed="81"/>
            <rFont val="Tahoma"/>
            <family val="2"/>
          </rPr>
          <t xml:space="preserve">maret repacking pameran 2017 p adnan
</t>
        </r>
      </text>
    </comment>
    <comment ref="H50" authorId="0" shapeId="0">
      <text>
        <r>
          <rPr>
            <b/>
            <sz val="9"/>
            <color indexed="81"/>
            <rFont val="Tahoma"/>
            <family val="2"/>
          </rPr>
          <t xml:space="preserve">maret repacking pameran 2017 p adnan
</t>
        </r>
      </text>
    </comment>
    <comment ref="H51" authorId="0" shapeId="0">
      <text>
        <r>
          <rPr>
            <b/>
            <sz val="9"/>
            <color indexed="81"/>
            <rFont val="Tahoma"/>
            <family val="2"/>
          </rPr>
          <t xml:space="preserve">maret repacking pameran 2017 p adnan
</t>
        </r>
      </text>
    </comment>
    <comment ref="H52" authorId="0" shapeId="0">
      <text>
        <r>
          <rPr>
            <b/>
            <sz val="9"/>
            <color indexed="81"/>
            <rFont val="Tahoma"/>
            <family val="2"/>
          </rPr>
          <t xml:space="preserve">maret repacking pameran 2017 p adnan
</t>
        </r>
      </text>
    </comment>
    <comment ref="H62" authorId="0" shapeId="0">
      <text>
        <r>
          <rPr>
            <b/>
            <sz val="9"/>
            <color indexed="81"/>
            <rFont val="Tahoma"/>
            <family val="2"/>
          </rPr>
          <t>26-4-2017 = 5,000 rpacking pameran 2017 ginanjar</t>
        </r>
      </text>
    </comment>
    <comment ref="H63" authorId="0" shapeId="0">
      <text>
        <r>
          <rPr>
            <b/>
            <sz val="9"/>
            <color indexed="81"/>
            <rFont val="Tahoma"/>
            <family val="2"/>
          </rPr>
          <t xml:space="preserve">maret repacking pameran 2017 p adnan
</t>
        </r>
      </text>
    </comment>
    <comment ref="H64" authorId="0" shapeId="0">
      <text>
        <r>
          <rPr>
            <b/>
            <sz val="9"/>
            <color indexed="81"/>
            <rFont val="Tahoma"/>
            <family val="2"/>
          </rPr>
          <t xml:space="preserve">maret repacking pameran 2017 p adnan
</t>
        </r>
      </text>
    </comment>
    <comment ref="H65" authorId="0" shapeId="0">
      <text>
        <r>
          <rPr>
            <b/>
            <sz val="9"/>
            <color indexed="81"/>
            <rFont val="Tahoma"/>
            <family val="2"/>
          </rPr>
          <t xml:space="preserve">maret repacking pameran 2017 p adnan
</t>
        </r>
      </text>
    </comment>
    <comment ref="H66" authorId="0" shapeId="0">
      <text>
        <r>
          <rPr>
            <b/>
            <sz val="9"/>
            <color indexed="81"/>
            <rFont val="Tahoma"/>
            <family val="2"/>
          </rPr>
          <t xml:space="preserve">maret repacking pameran 2017 p adnan
</t>
        </r>
      </text>
    </comment>
    <comment ref="H73" authorId="0" shapeId="0">
      <text>
        <r>
          <rPr>
            <b/>
            <sz val="9"/>
            <color indexed="81"/>
            <rFont val="Tahoma"/>
            <family val="2"/>
          </rPr>
          <t>26-4-2017 = 5,000 rpacking pameran 2017 ginanjar</t>
        </r>
      </text>
    </comment>
    <comment ref="H75" authorId="0" shapeId="0">
      <text>
        <r>
          <rPr>
            <b/>
            <sz val="9"/>
            <color indexed="81"/>
            <rFont val="Tahoma"/>
            <family val="2"/>
          </rPr>
          <t xml:space="preserve">maret repacking pameran 2017 p adnan
</t>
        </r>
      </text>
    </comment>
    <comment ref="H76" authorId="0" shapeId="0">
      <text>
        <r>
          <rPr>
            <b/>
            <sz val="9"/>
            <color indexed="81"/>
            <rFont val="Tahoma"/>
            <family val="2"/>
          </rPr>
          <t xml:space="preserve">maret repacking pameran 2017 p adnan
</t>
        </r>
      </text>
    </comment>
    <comment ref="H77" authorId="0" shapeId="0">
      <text>
        <r>
          <rPr>
            <b/>
            <sz val="9"/>
            <color indexed="81"/>
            <rFont val="Tahoma"/>
            <family val="2"/>
          </rPr>
          <t xml:space="preserve">maret repacking pameran 2017 p adnan
</t>
        </r>
      </text>
    </comment>
    <comment ref="H78" authorId="0" shapeId="0">
      <text>
        <r>
          <rPr>
            <b/>
            <sz val="9"/>
            <color indexed="81"/>
            <rFont val="Tahoma"/>
            <family val="2"/>
          </rPr>
          <t xml:space="preserve">maret repacking pameran 2017 p adnan
</t>
        </r>
      </text>
    </comment>
    <comment ref="H86" authorId="0" shapeId="0">
      <text>
        <r>
          <rPr>
            <b/>
            <sz val="9"/>
            <color indexed="81"/>
            <rFont val="Tahoma"/>
            <family val="2"/>
          </rPr>
          <t>nov pengalihan def</t>
        </r>
      </text>
    </comment>
    <comment ref="H87" authorId="0" shapeId="0">
      <text>
        <r>
          <rPr>
            <b/>
            <sz val="9"/>
            <color indexed="81"/>
            <rFont val="Tahoma"/>
            <family val="2"/>
          </rPr>
          <t>nov pengalihan def</t>
        </r>
      </text>
    </comment>
    <comment ref="H88" authorId="0" shapeId="0">
      <text>
        <r>
          <rPr>
            <b/>
            <sz val="9"/>
            <color indexed="81"/>
            <rFont val="Tahoma"/>
            <family val="2"/>
          </rPr>
          <t>maret repacking pameran 2017 p adnan</t>
        </r>
        <r>
          <rPr>
            <sz val="9"/>
            <color indexed="81"/>
            <rFont val="Tahoma"/>
            <family val="2"/>
          </rPr>
          <t xml:space="preserve">
</t>
        </r>
      </text>
    </comment>
    <comment ref="H89" authorId="0" shapeId="0">
      <text>
        <r>
          <rPr>
            <b/>
            <sz val="9"/>
            <color indexed="81"/>
            <rFont val="Tahoma"/>
            <family val="2"/>
          </rPr>
          <t xml:space="preserve">maret repacking pameran 2017 p adnan
</t>
        </r>
      </text>
    </comment>
    <comment ref="H90" authorId="0" shapeId="0">
      <text>
        <r>
          <rPr>
            <b/>
            <sz val="9"/>
            <color indexed="81"/>
            <rFont val="Tahoma"/>
            <family val="2"/>
          </rPr>
          <t xml:space="preserve">maret repacking pameran 2017 p adnan
</t>
        </r>
      </text>
    </comment>
    <comment ref="H91" authorId="0" shapeId="0">
      <text>
        <r>
          <rPr>
            <b/>
            <sz val="9"/>
            <color indexed="81"/>
            <rFont val="Tahoma"/>
            <family val="2"/>
          </rPr>
          <t xml:space="preserve">maret repacking pameran 2017 p adnan
</t>
        </r>
      </text>
    </comment>
    <comment ref="H98" authorId="0" shapeId="0">
      <text>
        <r>
          <rPr>
            <b/>
            <sz val="9"/>
            <color indexed="81"/>
            <rFont val="Tahoma"/>
            <family val="2"/>
          </rPr>
          <t xml:space="preserve">maret repacking pameran 2017 p adnan
</t>
        </r>
      </text>
    </comment>
    <comment ref="H99" authorId="0" shapeId="0">
      <text>
        <r>
          <rPr>
            <b/>
            <sz val="9"/>
            <color indexed="81"/>
            <rFont val="Tahoma"/>
            <family val="2"/>
          </rPr>
          <t xml:space="preserve">maret repacking pameran 2017 p adnan
</t>
        </r>
      </text>
    </comment>
    <comment ref="H100" authorId="0" shapeId="0">
      <text>
        <r>
          <rPr>
            <b/>
            <sz val="9"/>
            <color indexed="81"/>
            <rFont val="Tahoma"/>
            <family val="2"/>
          </rPr>
          <t xml:space="preserve">maret repacking pameran 2017 p adnan
</t>
        </r>
      </text>
    </comment>
    <comment ref="H102" authorId="0" shapeId="0">
      <text>
        <r>
          <rPr>
            <b/>
            <sz val="9"/>
            <color indexed="81"/>
            <rFont val="Tahoma"/>
            <family val="2"/>
          </rPr>
          <t xml:space="preserve">maret repacking pameran 2017 p adnan
</t>
        </r>
      </text>
    </comment>
    <comment ref="H103" authorId="0" shapeId="0">
      <text>
        <r>
          <rPr>
            <b/>
            <sz val="9"/>
            <color indexed="81"/>
            <rFont val="Tahoma"/>
            <family val="2"/>
          </rPr>
          <t xml:space="preserve">maret repacking pameran 2017 p adnan
</t>
        </r>
      </text>
    </comment>
    <comment ref="H104" authorId="0" shapeId="0">
      <text>
        <r>
          <rPr>
            <b/>
            <sz val="9"/>
            <color indexed="81"/>
            <rFont val="Tahoma"/>
            <family val="2"/>
          </rPr>
          <t xml:space="preserve">maret repacking pameran 2017 p adnan
</t>
        </r>
      </text>
    </comment>
    <comment ref="H112" authorId="0" shapeId="0">
      <text>
        <r>
          <rPr>
            <b/>
            <sz val="9"/>
            <color indexed="81"/>
            <rFont val="Tahoma"/>
            <family val="2"/>
          </rPr>
          <t xml:space="preserve">maret repacking pameran 2017 p adnan
</t>
        </r>
      </text>
    </comment>
    <comment ref="H113" authorId="0" shapeId="0">
      <text>
        <r>
          <rPr>
            <b/>
            <sz val="9"/>
            <color indexed="81"/>
            <rFont val="Tahoma"/>
            <family val="2"/>
          </rPr>
          <t xml:space="preserve">maret repacking pameran 2017 p adnan
</t>
        </r>
      </text>
    </comment>
    <comment ref="H114" authorId="0" shapeId="0">
      <text>
        <r>
          <rPr>
            <b/>
            <sz val="9"/>
            <color indexed="81"/>
            <rFont val="Tahoma"/>
            <family val="2"/>
          </rPr>
          <t xml:space="preserve">maret repacking pameran 2017 p adnan
</t>
        </r>
      </text>
    </comment>
    <comment ref="H121" authorId="0" shapeId="0">
      <text>
        <r>
          <rPr>
            <b/>
            <sz val="9"/>
            <color indexed="81"/>
            <rFont val="Tahoma"/>
            <family val="2"/>
          </rPr>
          <t xml:space="preserve">maret repacking pameran 2017 p adnan
</t>
        </r>
      </text>
    </comment>
    <comment ref="H122" authorId="0" shapeId="0">
      <text>
        <r>
          <rPr>
            <b/>
            <sz val="9"/>
            <color indexed="81"/>
            <rFont val="Tahoma"/>
            <family val="2"/>
          </rPr>
          <t xml:space="preserve">maret repacking pameran 2017 p adnan
</t>
        </r>
      </text>
    </comment>
    <comment ref="H129" authorId="0" shapeId="0">
      <text>
        <r>
          <rPr>
            <b/>
            <sz val="9"/>
            <color indexed="81"/>
            <rFont val="Tahoma"/>
            <family val="2"/>
          </rPr>
          <t xml:space="preserve">maret repacking pameran 2017 p adnan
</t>
        </r>
      </text>
    </comment>
    <comment ref="H130" authorId="0" shapeId="0">
      <text>
        <r>
          <rPr>
            <b/>
            <sz val="9"/>
            <color indexed="81"/>
            <rFont val="Tahoma"/>
            <family val="2"/>
          </rPr>
          <t xml:space="preserve">maret repacking pameran 2017 p adnan
</t>
        </r>
      </text>
    </comment>
    <comment ref="H137" authorId="0" shapeId="0">
      <text>
        <r>
          <rPr>
            <b/>
            <sz val="9"/>
            <color indexed="81"/>
            <rFont val="Tahoma"/>
            <family val="2"/>
          </rPr>
          <t xml:space="preserve">maret repacking pameran 2017 p adnan
</t>
        </r>
      </text>
    </comment>
    <comment ref="H138" authorId="0" shapeId="0">
      <text>
        <r>
          <rPr>
            <b/>
            <sz val="9"/>
            <color indexed="81"/>
            <rFont val="Tahoma"/>
            <family val="2"/>
          </rPr>
          <t xml:space="preserve">maret repacking pameran 2017 p adnan
</t>
        </r>
      </text>
    </comment>
    <comment ref="H139" authorId="0" shapeId="0">
      <text>
        <r>
          <rPr>
            <b/>
            <sz val="9"/>
            <color indexed="81"/>
            <rFont val="Tahoma"/>
            <family val="2"/>
          </rPr>
          <t xml:space="preserve">maret repacking pameran 2017 p adnan
</t>
        </r>
      </text>
    </comment>
    <comment ref="H140" authorId="0" shapeId="0">
      <text>
        <r>
          <rPr>
            <b/>
            <sz val="9"/>
            <color indexed="81"/>
            <rFont val="Tahoma"/>
            <family val="2"/>
          </rPr>
          <t>repacking 14 juni 2017. pameran dunia
1000</t>
        </r>
      </text>
    </comment>
    <comment ref="H147" authorId="0" shapeId="0">
      <text>
        <r>
          <rPr>
            <b/>
            <sz val="9"/>
            <color indexed="81"/>
            <rFont val="Tahoma"/>
            <family val="2"/>
          </rPr>
          <t xml:space="preserve">maret repacking pameran 2017 p adnan
</t>
        </r>
      </text>
    </comment>
    <comment ref="H148" authorId="0" shapeId="0">
      <text>
        <r>
          <rPr>
            <b/>
            <sz val="9"/>
            <color indexed="81"/>
            <rFont val="Tahoma"/>
            <family val="2"/>
          </rPr>
          <t xml:space="preserve">maret repacking pameran 2017 p adnan
</t>
        </r>
      </text>
    </comment>
    <comment ref="H150" authorId="0" shapeId="0">
      <text>
        <r>
          <rPr>
            <b/>
            <sz val="9"/>
            <color indexed="81"/>
            <rFont val="Tahoma"/>
            <family val="2"/>
          </rPr>
          <t xml:space="preserve">maret repacking pameran 2017 p adnan
</t>
        </r>
      </text>
    </comment>
    <comment ref="H151" authorId="0" shapeId="0">
      <text>
        <r>
          <rPr>
            <b/>
            <sz val="9"/>
            <color indexed="81"/>
            <rFont val="Tahoma"/>
            <family val="2"/>
          </rPr>
          <t xml:space="preserve">maret repacking pameran 2017 p adnan
</t>
        </r>
      </text>
    </comment>
    <comment ref="H158" authorId="0" shapeId="0">
      <text>
        <r>
          <rPr>
            <b/>
            <sz val="9"/>
            <color indexed="81"/>
            <rFont val="Tahoma"/>
            <charset val="1"/>
          </rPr>
          <t>26 juni 2017
repacking pameran dunia 500</t>
        </r>
      </text>
    </comment>
    <comment ref="H159" authorId="0" shapeId="0">
      <text>
        <r>
          <rPr>
            <b/>
            <sz val="9"/>
            <color indexed="81"/>
            <rFont val="Tahoma"/>
            <family val="2"/>
          </rPr>
          <t xml:space="preserve">maret repacking pameran 2017 p adnan
</t>
        </r>
      </text>
    </comment>
    <comment ref="H160" authorId="0" shapeId="0">
      <text>
        <r>
          <rPr>
            <b/>
            <sz val="9"/>
            <color indexed="81"/>
            <rFont val="Tahoma"/>
            <family val="2"/>
          </rPr>
          <t xml:space="preserve">maret repacking pameran 2017 p adnan
</t>
        </r>
      </text>
    </comment>
    <comment ref="H168" authorId="0" shapeId="0">
      <text>
        <r>
          <rPr>
            <b/>
            <sz val="9"/>
            <color indexed="81"/>
            <rFont val="Tahoma"/>
            <family val="2"/>
          </rPr>
          <t xml:space="preserve">maret repacking pameran 2017 p adnan
</t>
        </r>
      </text>
    </comment>
    <comment ref="H169" authorId="0" shapeId="0">
      <text>
        <r>
          <rPr>
            <b/>
            <sz val="9"/>
            <color indexed="81"/>
            <rFont val="Tahoma"/>
            <family val="2"/>
          </rPr>
          <t xml:space="preserve">maret repacking pameran 2017 p adnan
</t>
        </r>
      </text>
    </comment>
    <comment ref="H170" authorId="0" shapeId="0">
      <text>
        <r>
          <rPr>
            <b/>
            <sz val="9"/>
            <color indexed="81"/>
            <rFont val="Tahoma"/>
            <family val="2"/>
          </rPr>
          <t xml:space="preserve">maret repacking pameran 2017 p adnan
</t>
        </r>
      </text>
    </comment>
    <comment ref="H171" authorId="0" shapeId="0">
      <text>
        <r>
          <rPr>
            <b/>
            <sz val="9"/>
            <color indexed="81"/>
            <rFont val="Tahoma"/>
            <family val="2"/>
          </rPr>
          <t xml:space="preserve">maret repacking pameran 2017 p adnan
</t>
        </r>
      </text>
    </comment>
    <comment ref="H172" authorId="0" shapeId="0">
      <text>
        <r>
          <rPr>
            <b/>
            <sz val="9"/>
            <color indexed="81"/>
            <rFont val="Tahoma"/>
            <family val="2"/>
          </rPr>
          <t xml:space="preserve">maret repacking pameran 2017 p adnan
</t>
        </r>
      </text>
    </comment>
    <comment ref="H173" authorId="0" shapeId="0">
      <text>
        <r>
          <rPr>
            <b/>
            <sz val="9"/>
            <color indexed="81"/>
            <rFont val="Tahoma"/>
            <family val="2"/>
          </rPr>
          <t xml:space="preserve">maret repacking pameran 2017 p adnan
</t>
        </r>
      </text>
    </comment>
    <comment ref="H174" authorId="0" shapeId="0">
      <text>
        <r>
          <rPr>
            <b/>
            <sz val="9"/>
            <color indexed="81"/>
            <rFont val="Tahoma"/>
            <family val="2"/>
          </rPr>
          <t xml:space="preserve">maret repacking pameran 2017 p adnan
</t>
        </r>
      </text>
    </comment>
    <comment ref="H175" authorId="0" shapeId="0">
      <text>
        <r>
          <rPr>
            <b/>
            <sz val="9"/>
            <color indexed="81"/>
            <rFont val="Tahoma"/>
            <family val="2"/>
          </rPr>
          <t xml:space="preserve">maret repacking pameran 2017 p adnan
</t>
        </r>
      </text>
    </comment>
    <comment ref="H176" authorId="0" shapeId="0">
      <text>
        <r>
          <rPr>
            <b/>
            <sz val="9"/>
            <color indexed="81"/>
            <rFont val="Tahoma"/>
            <family val="2"/>
          </rPr>
          <t xml:space="preserve">maret repacking pameran 2017 p adnan
</t>
        </r>
      </text>
    </comment>
    <comment ref="H177" authorId="0" shapeId="0">
      <text>
        <r>
          <rPr>
            <b/>
            <sz val="9"/>
            <color indexed="81"/>
            <rFont val="Tahoma"/>
            <family val="2"/>
          </rPr>
          <t xml:space="preserve">maret repacking pameran 2017 p adnan
</t>
        </r>
      </text>
    </comment>
    <comment ref="F178" authorId="0" shapeId="0">
      <text>
        <r>
          <rPr>
            <b/>
            <sz val="9"/>
            <color indexed="81"/>
            <rFont val="Tahoma"/>
            <family val="2"/>
          </rPr>
          <t>saldo awalnya harga 2.500 seharusnya rp 10.000.
oki ditambah 7.500 (tambahan keping baru biar harganya 10.000</t>
        </r>
        <r>
          <rPr>
            <sz val="9"/>
            <color indexed="81"/>
            <rFont val="Tahoma"/>
            <family val="2"/>
          </rPr>
          <t xml:space="preserve">
</t>
        </r>
      </text>
    </comment>
    <comment ref="H179" authorId="0" shapeId="0">
      <text>
        <r>
          <rPr>
            <b/>
            <sz val="9"/>
            <color indexed="81"/>
            <rFont val="Tahoma"/>
            <family val="2"/>
          </rPr>
          <t xml:space="preserve">maret repacking pameran 2017 p adnan
</t>
        </r>
      </text>
    </comment>
    <comment ref="H180" authorId="0" shapeId="0">
      <text>
        <r>
          <rPr>
            <b/>
            <sz val="9"/>
            <color indexed="81"/>
            <rFont val="Tahoma"/>
            <family val="2"/>
          </rPr>
          <t xml:space="preserve">maret repacking pameran 2017 p adnan
</t>
        </r>
      </text>
    </comment>
    <comment ref="H182" authorId="0" shapeId="0">
      <text>
        <r>
          <rPr>
            <b/>
            <sz val="9"/>
            <color indexed="81"/>
            <rFont val="Tahoma"/>
            <family val="2"/>
          </rPr>
          <t>31 mei 2017 persiapan pameran 2017</t>
        </r>
        <r>
          <rPr>
            <sz val="9"/>
            <color indexed="81"/>
            <rFont val="Tahoma"/>
            <family val="2"/>
          </rPr>
          <t xml:space="preserve">
</t>
        </r>
      </text>
    </comment>
    <comment ref="H189" authorId="0" shapeId="0">
      <text>
        <r>
          <rPr>
            <b/>
            <sz val="9"/>
            <color indexed="81"/>
            <rFont val="Tahoma"/>
            <family val="2"/>
          </rPr>
          <t>persiapan pameran 2017</t>
        </r>
        <r>
          <rPr>
            <sz val="9"/>
            <color indexed="81"/>
            <rFont val="Tahoma"/>
            <family val="2"/>
          </rPr>
          <t xml:space="preserve">
</t>
        </r>
      </text>
    </comment>
    <comment ref="H190" authorId="0" shapeId="0">
      <text>
        <r>
          <rPr>
            <b/>
            <sz val="9"/>
            <color indexed="81"/>
            <rFont val="Tahoma"/>
            <charset val="1"/>
          </rPr>
          <t>26 juni 2017
repacking pameran dunia 5.000</t>
        </r>
      </text>
    </comment>
    <comment ref="H191" authorId="0" shapeId="0">
      <text>
        <r>
          <rPr>
            <b/>
            <sz val="9"/>
            <color indexed="81"/>
            <rFont val="Tahoma"/>
            <family val="2"/>
          </rPr>
          <t>repacking 14 juni 2017. pameran dunia
5.000 lbr</t>
        </r>
        <r>
          <rPr>
            <sz val="9"/>
            <color indexed="81"/>
            <rFont val="Tahoma"/>
            <family val="2"/>
          </rPr>
          <t xml:space="preserve">
</t>
        </r>
      </text>
    </comment>
    <comment ref="H192" authorId="0" shapeId="0">
      <text>
        <r>
          <rPr>
            <b/>
            <sz val="9"/>
            <color indexed="81"/>
            <rFont val="Tahoma"/>
            <family val="2"/>
          </rPr>
          <t>repacking 14 juni 2017. pameran dunia
1000</t>
        </r>
        <r>
          <rPr>
            <sz val="9"/>
            <color indexed="81"/>
            <rFont val="Tahoma"/>
            <family val="2"/>
          </rPr>
          <t xml:space="preserve">
</t>
        </r>
      </text>
    </comment>
    <comment ref="H193" authorId="0" shapeId="0">
      <text>
        <r>
          <rPr>
            <b/>
            <sz val="9"/>
            <color indexed="81"/>
            <rFont val="Tahoma"/>
            <family val="2"/>
          </rPr>
          <t>repacking 14 juni 2017. pameran dunia
500</t>
        </r>
        <r>
          <rPr>
            <sz val="9"/>
            <color indexed="81"/>
            <rFont val="Tahoma"/>
            <family val="2"/>
          </rPr>
          <t xml:space="preserve">
</t>
        </r>
      </text>
    </comment>
    <comment ref="H194" authorId="0" shapeId="0">
      <text>
        <r>
          <rPr>
            <b/>
            <sz val="9"/>
            <color indexed="81"/>
            <rFont val="Tahoma"/>
            <family val="2"/>
          </rPr>
          <t>repacking 14 juni 2017. pameran dunia
1000</t>
        </r>
      </text>
    </comment>
    <comment ref="F195" authorId="0" shapeId="0">
      <text>
        <r>
          <rPr>
            <b/>
            <sz val="9"/>
            <color indexed="81"/>
            <rFont val="Tahoma"/>
            <family val="2"/>
          </rPr>
          <t>juni retouran 100</t>
        </r>
        <r>
          <rPr>
            <sz val="9"/>
            <color indexed="81"/>
            <rFont val="Tahoma"/>
            <family val="2"/>
          </rPr>
          <t xml:space="preserve">
</t>
        </r>
      </text>
    </comment>
    <comment ref="H195" authorId="0" shapeId="0">
      <text>
        <r>
          <rPr>
            <b/>
            <sz val="9"/>
            <color indexed="81"/>
            <rFont val="Tahoma"/>
            <family val="2"/>
          </rPr>
          <t>repacking 14 juni 2017. pameran dunia
1000</t>
        </r>
      </text>
    </comment>
    <comment ref="H204" authorId="0" shapeId="0">
      <text>
        <r>
          <rPr>
            <b/>
            <sz val="9"/>
            <color indexed="81"/>
            <rFont val="Tahoma"/>
            <family val="2"/>
          </rPr>
          <t>persiapan pameran 2017</t>
        </r>
        <r>
          <rPr>
            <sz val="9"/>
            <color indexed="81"/>
            <rFont val="Tahoma"/>
            <family val="2"/>
          </rPr>
          <t xml:space="preserve">
</t>
        </r>
      </text>
    </comment>
    <comment ref="H205" authorId="0" shapeId="0">
      <text>
        <r>
          <rPr>
            <b/>
            <sz val="9"/>
            <color indexed="81"/>
            <rFont val="Tahoma"/>
            <family val="2"/>
          </rPr>
          <t>persiapan pameran 2017</t>
        </r>
        <r>
          <rPr>
            <sz val="9"/>
            <color indexed="81"/>
            <rFont val="Tahoma"/>
            <family val="2"/>
          </rPr>
          <t xml:space="preserve">
</t>
        </r>
      </text>
    </comment>
    <comment ref="H206" authorId="0" shapeId="0">
      <text>
        <r>
          <rPr>
            <b/>
            <sz val="9"/>
            <color indexed="81"/>
            <rFont val="Tahoma"/>
            <family val="2"/>
          </rPr>
          <t xml:space="preserve">maret repacking pameran 2017 p adnan
</t>
        </r>
      </text>
    </comment>
    <comment ref="H209" authorId="0" shapeId="0">
      <text>
        <r>
          <rPr>
            <b/>
            <sz val="9"/>
            <color indexed="81"/>
            <rFont val="Tahoma"/>
            <family val="2"/>
          </rPr>
          <t>persiapan pameran 2017</t>
        </r>
      </text>
    </comment>
    <comment ref="H210" authorId="0" shapeId="0">
      <text>
        <r>
          <rPr>
            <b/>
            <sz val="9"/>
            <color indexed="81"/>
            <rFont val="Tahoma"/>
            <family val="2"/>
          </rPr>
          <t xml:space="preserve">persiapan pameran 2017
</t>
        </r>
      </text>
    </comment>
    <comment ref="H217" authorId="0" shapeId="0">
      <text>
        <r>
          <rPr>
            <b/>
            <sz val="9"/>
            <color indexed="81"/>
            <rFont val="Tahoma"/>
            <family val="2"/>
          </rPr>
          <t>31 mei 2017 persiapan pameran 2017</t>
        </r>
        <r>
          <rPr>
            <sz val="9"/>
            <color indexed="81"/>
            <rFont val="Tahoma"/>
            <family val="2"/>
          </rPr>
          <t xml:space="preserve">
</t>
        </r>
      </text>
    </comment>
    <comment ref="H218" authorId="0" shapeId="0">
      <text>
        <r>
          <rPr>
            <b/>
            <sz val="9"/>
            <color indexed="81"/>
            <rFont val="Tahoma"/>
            <family val="2"/>
          </rPr>
          <t>repacking 14 juni 2017. pameran dunia
5000</t>
        </r>
        <r>
          <rPr>
            <sz val="9"/>
            <color indexed="81"/>
            <rFont val="Tahoma"/>
            <family val="2"/>
          </rPr>
          <t xml:space="preserve">
</t>
        </r>
      </text>
    </comment>
    <comment ref="H219" authorId="0" shapeId="0">
      <text>
        <r>
          <rPr>
            <b/>
            <sz val="9"/>
            <color indexed="81"/>
            <rFont val="Tahoma"/>
            <family val="2"/>
          </rPr>
          <t>26-4-2017 = 5,000 rpacking pameran 2017 ginanjar</t>
        </r>
      </text>
    </comment>
    <comment ref="H220" authorId="0" shapeId="0">
      <text>
        <r>
          <rPr>
            <b/>
            <sz val="9"/>
            <color indexed="81"/>
            <rFont val="Tahoma"/>
            <family val="2"/>
          </rPr>
          <t>persiapan pameran 2017</t>
        </r>
      </text>
    </comment>
    <comment ref="H222" authorId="0" shapeId="0">
      <text>
        <r>
          <rPr>
            <b/>
            <sz val="9"/>
            <color indexed="81"/>
            <rFont val="Tahoma"/>
            <family val="2"/>
          </rPr>
          <t>31 mei 2017 persiapan pameran 2017</t>
        </r>
        <r>
          <rPr>
            <sz val="9"/>
            <color indexed="81"/>
            <rFont val="Tahoma"/>
            <family val="2"/>
          </rPr>
          <t xml:space="preserve">
</t>
        </r>
      </text>
    </comment>
    <comment ref="H223" authorId="0" shapeId="0">
      <text>
        <r>
          <rPr>
            <b/>
            <sz val="9"/>
            <color indexed="81"/>
            <rFont val="Tahoma"/>
            <family val="2"/>
          </rPr>
          <t>31 mei 2017 persiapan pameran 2017</t>
        </r>
      </text>
    </comment>
    <comment ref="H224" authorId="0" shapeId="0">
      <text>
        <r>
          <rPr>
            <b/>
            <sz val="9"/>
            <color indexed="81"/>
            <rFont val="Tahoma"/>
            <family val="2"/>
          </rPr>
          <t>31 mei 2017 persiapan pameran 2017</t>
        </r>
      </text>
    </comment>
    <comment ref="H225" authorId="0" shapeId="0">
      <text>
        <r>
          <rPr>
            <b/>
            <sz val="9"/>
            <color indexed="81"/>
            <rFont val="Tahoma"/>
            <family val="2"/>
          </rPr>
          <t xml:space="preserve">persiapan pameran 2017 = 3,000
</t>
        </r>
        <r>
          <rPr>
            <sz val="9"/>
            <color indexed="81"/>
            <rFont val="Tahoma"/>
            <family val="2"/>
          </rPr>
          <t xml:space="preserve">
</t>
        </r>
      </text>
    </comment>
    <comment ref="H232" authorId="0" shapeId="0">
      <text>
        <r>
          <rPr>
            <b/>
            <sz val="9"/>
            <color indexed="81"/>
            <rFont val="Tahoma"/>
            <family val="2"/>
          </rPr>
          <t>nov pengalihan def 4.000</t>
        </r>
        <r>
          <rPr>
            <sz val="9"/>
            <color indexed="81"/>
            <rFont val="Tahoma"/>
            <family val="2"/>
          </rPr>
          <t xml:space="preserve">
</t>
        </r>
        <r>
          <rPr>
            <b/>
            <sz val="9"/>
            <color indexed="81"/>
            <rFont val="Tahoma"/>
            <family val="2"/>
          </rPr>
          <t>31 mei 2017 persiapan pameran 2017 =2,000</t>
        </r>
      </text>
    </comment>
    <comment ref="H235" authorId="0" shapeId="0">
      <text>
        <r>
          <rPr>
            <b/>
            <sz val="9"/>
            <color indexed="81"/>
            <rFont val="Tahoma"/>
            <family val="2"/>
          </rPr>
          <t xml:space="preserve">maret repacking pameran 2017 p adnan
</t>
        </r>
        <r>
          <rPr>
            <sz val="9"/>
            <color indexed="81"/>
            <rFont val="Tahoma"/>
            <family val="2"/>
          </rPr>
          <t xml:space="preserve">
</t>
        </r>
      </text>
    </comment>
    <comment ref="H236" authorId="0" shapeId="0">
      <text>
        <r>
          <rPr>
            <b/>
            <sz val="9"/>
            <color indexed="81"/>
            <rFont val="Tahoma"/>
            <family val="2"/>
          </rPr>
          <t xml:space="preserve">maret repacking pameran 2017 p adnan
</t>
        </r>
        <r>
          <rPr>
            <sz val="9"/>
            <color indexed="81"/>
            <rFont val="Tahoma"/>
            <family val="2"/>
          </rPr>
          <t xml:space="preserve">
</t>
        </r>
      </text>
    </comment>
    <comment ref="H237" authorId="0" shapeId="0">
      <text>
        <r>
          <rPr>
            <b/>
            <sz val="9"/>
            <color indexed="81"/>
            <rFont val="Tahoma"/>
            <family val="2"/>
          </rPr>
          <t>repacking 14 juni 2017. pameran dunia
2.500</t>
        </r>
        <r>
          <rPr>
            <sz val="9"/>
            <color indexed="81"/>
            <rFont val="Tahoma"/>
            <family val="2"/>
          </rPr>
          <t xml:space="preserve">
</t>
        </r>
      </text>
    </comment>
    <comment ref="F238" authorId="0" shapeId="0">
      <text>
        <r>
          <rPr>
            <b/>
            <sz val="9"/>
            <color indexed="81"/>
            <rFont val="Tahoma"/>
            <family val="2"/>
          </rPr>
          <t>JUNI 500</t>
        </r>
        <r>
          <rPr>
            <sz val="9"/>
            <color indexed="81"/>
            <rFont val="Tahoma"/>
            <family val="2"/>
          </rPr>
          <t xml:space="preserve">
</t>
        </r>
      </text>
    </comment>
    <comment ref="H242" authorId="0" shapeId="0">
      <text>
        <r>
          <rPr>
            <b/>
            <sz val="9"/>
            <color indexed="81"/>
            <rFont val="Tahoma"/>
            <family val="2"/>
          </rPr>
          <t xml:space="preserve">persiapan pameran 2017 =4,000
</t>
        </r>
        <r>
          <rPr>
            <sz val="9"/>
            <color indexed="81"/>
            <rFont val="Tahoma"/>
            <family val="2"/>
          </rPr>
          <t xml:space="preserve">
</t>
        </r>
      </text>
    </comment>
    <comment ref="F243" authorId="0" shapeId="0">
      <text>
        <r>
          <rPr>
            <b/>
            <sz val="9"/>
            <color indexed="81"/>
            <rFont val="Tahoma"/>
            <family val="2"/>
          </rPr>
          <t xml:space="preserve">OKT 2,000+13,000
</t>
        </r>
        <r>
          <rPr>
            <sz val="9"/>
            <color indexed="81"/>
            <rFont val="Tahoma"/>
            <family val="2"/>
          </rPr>
          <t xml:space="preserve">
</t>
        </r>
      </text>
    </comment>
    <comment ref="H243" authorId="0" shapeId="0">
      <text>
        <r>
          <rPr>
            <b/>
            <sz val="9"/>
            <color indexed="81"/>
            <rFont val="Tahoma"/>
            <family val="2"/>
          </rPr>
          <t>produksi des 2000
transaksi okt
31 mei 2017
persiapan pameran 2017 = 1,000</t>
        </r>
      </text>
    </comment>
    <comment ref="F244" authorId="0" shapeId="0">
      <text>
        <r>
          <rPr>
            <b/>
            <sz val="9"/>
            <color indexed="81"/>
            <rFont val="Tahoma"/>
            <family val="2"/>
          </rPr>
          <t xml:space="preserve">nov 100,000
</t>
        </r>
        <r>
          <rPr>
            <sz val="9"/>
            <color indexed="81"/>
            <rFont val="Tahoma"/>
            <family val="2"/>
          </rPr>
          <t xml:space="preserve">
</t>
        </r>
      </text>
    </comment>
    <comment ref="F245" authorId="0" shapeId="0">
      <text>
        <r>
          <rPr>
            <b/>
            <sz val="9"/>
            <color indexed="81"/>
            <rFont val="Tahoma"/>
            <family val="2"/>
          </rPr>
          <t xml:space="preserve">nov 30,000
</t>
        </r>
      </text>
    </comment>
    <comment ref="H245" authorId="0" shapeId="0">
      <text>
        <r>
          <rPr>
            <sz val="9"/>
            <color indexed="81"/>
            <rFont val="Tahoma"/>
            <family val="2"/>
          </rPr>
          <t>31 mei 2017 persiapan pameran 2017 = 500</t>
        </r>
        <r>
          <rPr>
            <sz val="9"/>
            <color indexed="81"/>
            <rFont val="Tahoma"/>
            <family val="2"/>
          </rPr>
          <t xml:space="preserve">
</t>
        </r>
      </text>
    </comment>
    <comment ref="F247" authorId="0" shapeId="0">
      <text>
        <r>
          <rPr>
            <sz val="9"/>
            <color indexed="81"/>
            <rFont val="Tahoma"/>
            <family val="2"/>
          </rPr>
          <t xml:space="preserve">dr produksi 888
</t>
        </r>
      </text>
    </comment>
    <comment ref="F255" authorId="0" shapeId="0">
      <text>
        <r>
          <rPr>
            <b/>
            <sz val="9"/>
            <color indexed="81"/>
            <rFont val="Tahoma"/>
            <family val="2"/>
          </rPr>
          <t>jan 40.000</t>
        </r>
      </text>
    </comment>
    <comment ref="F256" authorId="0" shapeId="0">
      <text>
        <r>
          <rPr>
            <b/>
            <sz val="9"/>
            <color indexed="81"/>
            <rFont val="Tahoma"/>
            <family val="2"/>
          </rPr>
          <t>jan 24.000</t>
        </r>
      </text>
    </comment>
    <comment ref="H256" authorId="0" shapeId="0">
      <text>
        <r>
          <rPr>
            <b/>
            <sz val="9"/>
            <color indexed="81"/>
            <rFont val="Tahoma"/>
            <family val="2"/>
          </rPr>
          <t xml:space="preserve">maret repacking pameran 2017 p adnan
</t>
        </r>
        <r>
          <rPr>
            <sz val="9"/>
            <color indexed="81"/>
            <rFont val="Tahoma"/>
            <family val="2"/>
          </rPr>
          <t xml:space="preserve">
</t>
        </r>
      </text>
    </comment>
    <comment ref="H258" authorId="0" shapeId="0">
      <text>
        <r>
          <rPr>
            <b/>
            <sz val="9"/>
            <color indexed="81"/>
            <rFont val="Tahoma"/>
            <family val="2"/>
          </rPr>
          <t>31 mei 2017 persiapan pameran 2017</t>
        </r>
        <r>
          <rPr>
            <sz val="9"/>
            <color indexed="81"/>
            <rFont val="Tahoma"/>
            <family val="2"/>
          </rPr>
          <t xml:space="preserve">
</t>
        </r>
      </text>
    </comment>
    <comment ref="F259" authorId="0" shapeId="0">
      <text>
        <r>
          <rPr>
            <b/>
            <sz val="9"/>
            <color indexed="81"/>
            <rFont val="Tahoma"/>
            <family val="2"/>
          </rPr>
          <t>mei 2017 = CT 1.000</t>
        </r>
        <r>
          <rPr>
            <sz val="9"/>
            <color indexed="81"/>
            <rFont val="Tahoma"/>
            <family val="2"/>
          </rPr>
          <t xml:space="preserve">
</t>
        </r>
      </text>
    </comment>
    <comment ref="F260" authorId="0" shapeId="0">
      <text>
        <r>
          <rPr>
            <sz val="9"/>
            <color indexed="81"/>
            <rFont val="Tahoma"/>
            <family val="2"/>
          </rPr>
          <t xml:space="preserve">mei 10000
</t>
        </r>
      </text>
    </comment>
    <comment ref="F262" authorId="0" shapeId="0">
      <text>
        <r>
          <rPr>
            <b/>
            <sz val="9"/>
            <color indexed="81"/>
            <rFont val="Tahoma"/>
            <family val="2"/>
          </rPr>
          <t xml:space="preserve">indent, sengaja diisi tgl 31 mei krn utk pengisian SAP 31 mei 2017 = 3.000
meskipun barang blm diterima
</t>
        </r>
      </text>
    </comment>
    <comment ref="F263" authorId="0" shapeId="0">
      <text>
        <r>
          <rPr>
            <b/>
            <sz val="9"/>
            <color indexed="81"/>
            <rFont val="Tahoma"/>
            <family val="2"/>
          </rPr>
          <t>jun 2017 = 2.000
dr produksi</t>
        </r>
      </text>
    </comment>
    <comment ref="F264" authorId="0" shapeId="0">
      <text>
        <r>
          <rPr>
            <b/>
            <sz val="9"/>
            <color indexed="81"/>
            <rFont val="Tahoma"/>
            <family val="2"/>
          </rPr>
          <t>juni 17
14.500 dan
500 imperf</t>
        </r>
        <r>
          <rPr>
            <sz val="9"/>
            <color indexed="81"/>
            <rFont val="Tahoma"/>
            <family val="2"/>
          </rPr>
          <t xml:space="preserve">
</t>
        </r>
      </text>
    </comment>
  </commentList>
</comments>
</file>

<file path=xl/comments3.xml><?xml version="1.0" encoding="utf-8"?>
<comments xmlns="http://schemas.openxmlformats.org/spreadsheetml/2006/main">
  <authors>
    <author>Author</author>
  </authors>
  <commentList>
    <comment ref="F34" authorId="0" shapeId="0">
      <text>
        <r>
          <rPr>
            <b/>
            <sz val="9"/>
            <color indexed="81"/>
            <rFont val="Tahoma"/>
            <family val="2"/>
          </rPr>
          <t>ditambah 10 di akhir desember 2015</t>
        </r>
        <r>
          <rPr>
            <sz val="9"/>
            <color indexed="81"/>
            <rFont val="Tahoma"/>
            <family val="2"/>
          </rPr>
          <t xml:space="preserve">
</t>
        </r>
      </text>
    </comment>
    <comment ref="H35" authorId="0" shapeId="0">
      <text>
        <r>
          <rPr>
            <b/>
            <sz val="9"/>
            <color indexed="81"/>
            <rFont val="Tahoma"/>
            <family val="2"/>
          </rPr>
          <t xml:space="preserve">juni 
prod </t>
        </r>
        <r>
          <rPr>
            <sz val="9"/>
            <color indexed="81"/>
            <rFont val="Tahoma"/>
            <family val="2"/>
          </rPr>
          <t xml:space="preserve">
</t>
        </r>
      </text>
    </comment>
    <comment ref="H73" authorId="0" shapeId="0">
      <text>
        <r>
          <rPr>
            <b/>
            <sz val="9"/>
            <color indexed="81"/>
            <rFont val="Tahoma"/>
            <family val="2"/>
          </rPr>
          <t xml:space="preserve">14 feb 17 ke prod p adnan
</t>
        </r>
        <r>
          <rPr>
            <sz val="9"/>
            <color indexed="81"/>
            <rFont val="Tahoma"/>
            <family val="2"/>
          </rPr>
          <t xml:space="preserve">
</t>
        </r>
      </text>
    </comment>
    <comment ref="H74" authorId="0" shapeId="0">
      <text>
        <r>
          <rPr>
            <b/>
            <sz val="9"/>
            <color indexed="81"/>
            <rFont val="Tahoma"/>
            <family val="2"/>
          </rPr>
          <t xml:space="preserve">14 feb 17 ke prod p adnan
</t>
        </r>
        <r>
          <rPr>
            <sz val="9"/>
            <color indexed="81"/>
            <rFont val="Tahoma"/>
            <family val="2"/>
          </rPr>
          <t xml:space="preserve">
</t>
        </r>
      </text>
    </comment>
    <comment ref="H80" authorId="0" shapeId="0">
      <text>
        <r>
          <rPr>
            <b/>
            <sz val="9"/>
            <color indexed="81"/>
            <rFont val="Tahoma"/>
            <family val="2"/>
          </rPr>
          <t xml:space="preserve">14 feb 17 ke prod p adnan
</t>
        </r>
        <r>
          <rPr>
            <sz val="9"/>
            <color indexed="81"/>
            <rFont val="Tahoma"/>
            <family val="2"/>
          </rPr>
          <t xml:space="preserve">
</t>
        </r>
      </text>
    </comment>
    <comment ref="H82" authorId="0" shapeId="0">
      <text>
        <r>
          <rPr>
            <b/>
            <sz val="9"/>
            <color indexed="81"/>
            <rFont val="Tahoma"/>
            <family val="2"/>
          </rPr>
          <t xml:space="preserve">14 feb 17 ke prod p adnan
</t>
        </r>
        <r>
          <rPr>
            <sz val="9"/>
            <color indexed="81"/>
            <rFont val="Tahoma"/>
            <family val="2"/>
          </rPr>
          <t xml:space="preserve">
</t>
        </r>
      </text>
    </comment>
    <comment ref="H84" authorId="0" shapeId="0">
      <text>
        <r>
          <rPr>
            <b/>
            <sz val="9"/>
            <color indexed="81"/>
            <rFont val="Tahoma"/>
            <family val="2"/>
          </rPr>
          <t xml:space="preserve">14 feb 17 ke prod p adnan
</t>
        </r>
        <r>
          <rPr>
            <sz val="9"/>
            <color indexed="81"/>
            <rFont val="Tahoma"/>
            <family val="2"/>
          </rPr>
          <t xml:space="preserve">
</t>
        </r>
      </text>
    </comment>
    <comment ref="H86" authorId="0" shapeId="0">
      <text>
        <r>
          <rPr>
            <b/>
            <sz val="9"/>
            <color indexed="81"/>
            <rFont val="Tahoma"/>
            <family val="2"/>
          </rPr>
          <t xml:space="preserve">14 feb 17 ke prod p adnan
</t>
        </r>
        <r>
          <rPr>
            <sz val="9"/>
            <color indexed="81"/>
            <rFont val="Tahoma"/>
            <family val="2"/>
          </rPr>
          <t xml:space="preserve">
</t>
        </r>
      </text>
    </comment>
    <comment ref="H100" authorId="0" shapeId="0">
      <text>
        <r>
          <rPr>
            <b/>
            <sz val="9"/>
            <color indexed="81"/>
            <rFont val="Tahoma"/>
            <family val="2"/>
          </rPr>
          <t xml:space="preserve">14 feb 17 ke prod p adnan
</t>
        </r>
        <r>
          <rPr>
            <sz val="9"/>
            <color indexed="81"/>
            <rFont val="Tahoma"/>
            <family val="2"/>
          </rPr>
          <t xml:space="preserve">
</t>
        </r>
      </text>
    </comment>
    <comment ref="H101" authorId="0" shapeId="0">
      <text>
        <r>
          <rPr>
            <b/>
            <sz val="9"/>
            <color indexed="81"/>
            <rFont val="Tahoma"/>
            <family val="2"/>
          </rPr>
          <t xml:space="preserve">14 feb 17 ke prod p adnan
</t>
        </r>
        <r>
          <rPr>
            <sz val="9"/>
            <color indexed="81"/>
            <rFont val="Tahoma"/>
            <family val="2"/>
          </rPr>
          <t xml:space="preserve">
</t>
        </r>
      </text>
    </comment>
    <comment ref="H109" authorId="0" shapeId="0">
      <text>
        <r>
          <rPr>
            <b/>
            <sz val="9"/>
            <color indexed="81"/>
            <rFont val="Tahoma"/>
            <family val="2"/>
          </rPr>
          <t xml:space="preserve">14 feb 17 ke prod p adnan
</t>
        </r>
        <r>
          <rPr>
            <sz val="9"/>
            <color indexed="81"/>
            <rFont val="Tahoma"/>
            <family val="2"/>
          </rPr>
          <t xml:space="preserve">
</t>
        </r>
      </text>
    </comment>
    <comment ref="H111" authorId="0" shapeId="0">
      <text>
        <r>
          <rPr>
            <b/>
            <sz val="9"/>
            <color indexed="81"/>
            <rFont val="Tahoma"/>
            <family val="2"/>
          </rPr>
          <t xml:space="preserve">14 feb 17 ke prod p adnan
</t>
        </r>
        <r>
          <rPr>
            <sz val="9"/>
            <color indexed="81"/>
            <rFont val="Tahoma"/>
            <family val="2"/>
          </rPr>
          <t xml:space="preserve">
</t>
        </r>
      </text>
    </comment>
    <comment ref="H112" authorId="0" shapeId="0">
      <text>
        <r>
          <rPr>
            <b/>
            <sz val="9"/>
            <color indexed="81"/>
            <rFont val="Tahoma"/>
            <family val="2"/>
          </rPr>
          <t xml:space="preserve">14 feb 17 ke prod p adnan
</t>
        </r>
        <r>
          <rPr>
            <sz val="9"/>
            <color indexed="81"/>
            <rFont val="Tahoma"/>
            <family val="2"/>
          </rPr>
          <t xml:space="preserve">
</t>
        </r>
      </text>
    </comment>
    <comment ref="H127" authorId="0" shapeId="0">
      <text>
        <r>
          <rPr>
            <b/>
            <sz val="9"/>
            <color indexed="81"/>
            <rFont val="Tahoma"/>
            <family val="2"/>
          </rPr>
          <t xml:space="preserve">14 feb 17 ke prod p adnan
</t>
        </r>
        <r>
          <rPr>
            <sz val="9"/>
            <color indexed="81"/>
            <rFont val="Tahoma"/>
            <family val="2"/>
          </rPr>
          <t xml:space="preserve">
</t>
        </r>
      </text>
    </comment>
    <comment ref="H128" authorId="0" shapeId="0">
      <text>
        <r>
          <rPr>
            <b/>
            <sz val="9"/>
            <color indexed="81"/>
            <rFont val="Tahoma"/>
            <family val="2"/>
          </rPr>
          <t xml:space="preserve">14 feb 17 ke prod p adnan
</t>
        </r>
        <r>
          <rPr>
            <sz val="9"/>
            <color indexed="81"/>
            <rFont val="Tahoma"/>
            <family val="2"/>
          </rPr>
          <t xml:space="preserve">
</t>
        </r>
      </text>
    </comment>
    <comment ref="H131" authorId="0" shapeId="0">
      <text>
        <r>
          <rPr>
            <b/>
            <sz val="9"/>
            <color indexed="81"/>
            <rFont val="Tahoma"/>
            <family val="2"/>
          </rPr>
          <t xml:space="preserve">14 feb 17 ke prod p adnan
</t>
        </r>
        <r>
          <rPr>
            <sz val="9"/>
            <color indexed="81"/>
            <rFont val="Tahoma"/>
            <family val="2"/>
          </rPr>
          <t xml:space="preserve">
</t>
        </r>
      </text>
    </comment>
    <comment ref="H133" authorId="0" shapeId="0">
      <text>
        <r>
          <rPr>
            <b/>
            <sz val="9"/>
            <color indexed="81"/>
            <rFont val="Tahoma"/>
            <family val="2"/>
          </rPr>
          <t xml:space="preserve">14 feb 17 ke prod p adnan
</t>
        </r>
        <r>
          <rPr>
            <sz val="9"/>
            <color indexed="81"/>
            <rFont val="Tahoma"/>
            <family val="2"/>
          </rPr>
          <t xml:space="preserve">
</t>
        </r>
      </text>
    </comment>
    <comment ref="H134" authorId="0" shapeId="0">
      <text>
        <r>
          <rPr>
            <b/>
            <sz val="9"/>
            <color indexed="81"/>
            <rFont val="Tahoma"/>
            <family val="2"/>
          </rPr>
          <t>produksi 1 bln des transaksi bln agust</t>
        </r>
        <r>
          <rPr>
            <sz val="9"/>
            <color indexed="81"/>
            <rFont val="Tahoma"/>
            <family val="2"/>
          </rPr>
          <t xml:space="preserve">
</t>
        </r>
      </text>
    </comment>
    <comment ref="F139" authorId="0" shapeId="0">
      <text>
        <r>
          <rPr>
            <b/>
            <sz val="9"/>
            <color indexed="81"/>
            <rFont val="Tahoma"/>
            <family val="2"/>
          </rPr>
          <t>dari retouran 22</t>
        </r>
        <r>
          <rPr>
            <sz val="9"/>
            <color indexed="81"/>
            <rFont val="Tahoma"/>
            <family val="2"/>
          </rPr>
          <t xml:space="preserve">
</t>
        </r>
      </text>
    </comment>
    <comment ref="H140" authorId="0" shapeId="0">
      <text>
        <r>
          <rPr>
            <b/>
            <sz val="9"/>
            <color indexed="81"/>
            <rFont val="Tahoma"/>
            <family val="2"/>
          </rPr>
          <t xml:space="preserve">14 feb 17 ke prod p adnan
</t>
        </r>
        <r>
          <rPr>
            <sz val="9"/>
            <color indexed="81"/>
            <rFont val="Tahoma"/>
            <family val="2"/>
          </rPr>
          <t xml:space="preserve">
</t>
        </r>
      </text>
    </comment>
    <comment ref="F143" authorId="0" shapeId="0">
      <text>
        <r>
          <rPr>
            <b/>
            <sz val="9"/>
            <color indexed="81"/>
            <rFont val="Tahoma"/>
            <family val="2"/>
          </rPr>
          <t>dari retouran 22</t>
        </r>
        <r>
          <rPr>
            <sz val="9"/>
            <color indexed="81"/>
            <rFont val="Tahoma"/>
            <family val="2"/>
          </rPr>
          <t xml:space="preserve">
</t>
        </r>
      </text>
    </comment>
    <comment ref="H148" authorId="0" shapeId="0">
      <text>
        <r>
          <rPr>
            <b/>
            <sz val="9"/>
            <color indexed="81"/>
            <rFont val="Tahoma"/>
            <family val="2"/>
          </rPr>
          <t xml:space="preserve">14 feb 17 ke prod p adnan
</t>
        </r>
        <r>
          <rPr>
            <sz val="9"/>
            <color indexed="81"/>
            <rFont val="Tahoma"/>
            <family val="2"/>
          </rPr>
          <t xml:space="preserve">
</t>
        </r>
      </text>
    </comment>
    <comment ref="H160" authorId="0" shapeId="0">
      <text>
        <r>
          <rPr>
            <b/>
            <sz val="9"/>
            <color indexed="81"/>
            <rFont val="Tahoma"/>
            <family val="2"/>
          </rPr>
          <t xml:space="preserve">14 feb 17 ke prod p adnan
</t>
        </r>
        <r>
          <rPr>
            <sz val="9"/>
            <color indexed="81"/>
            <rFont val="Tahoma"/>
            <family val="2"/>
          </rPr>
          <t xml:space="preserve">
</t>
        </r>
      </text>
    </comment>
    <comment ref="H181" authorId="0" shapeId="0">
      <text>
        <r>
          <rPr>
            <b/>
            <sz val="9"/>
            <color indexed="81"/>
            <rFont val="Tahoma"/>
            <family val="2"/>
          </rPr>
          <t xml:space="preserve">14 feb 17 ke prod p adnan
</t>
        </r>
        <r>
          <rPr>
            <sz val="9"/>
            <color indexed="81"/>
            <rFont val="Tahoma"/>
            <family val="2"/>
          </rPr>
          <t xml:space="preserve">
</t>
        </r>
      </text>
    </comment>
    <comment ref="H194" authorId="0" shapeId="0">
      <text>
        <r>
          <rPr>
            <b/>
            <sz val="9"/>
            <color indexed="81"/>
            <rFont val="Tahoma"/>
            <family val="2"/>
          </rPr>
          <t xml:space="preserve">14 feb 17 ke prod p adnan
</t>
        </r>
        <r>
          <rPr>
            <sz val="9"/>
            <color indexed="81"/>
            <rFont val="Tahoma"/>
            <family val="2"/>
          </rPr>
          <t xml:space="preserve">
</t>
        </r>
      </text>
    </comment>
    <comment ref="H202" authorId="0" shapeId="0">
      <text>
        <r>
          <rPr>
            <b/>
            <sz val="9"/>
            <color indexed="81"/>
            <rFont val="Tahoma"/>
            <family val="2"/>
          </rPr>
          <t xml:space="preserve">14 feb 17 ke prod p adnan
</t>
        </r>
        <r>
          <rPr>
            <sz val="9"/>
            <color indexed="81"/>
            <rFont val="Tahoma"/>
            <family val="2"/>
          </rPr>
          <t xml:space="preserve">
</t>
        </r>
      </text>
    </comment>
    <comment ref="H240" authorId="0" shapeId="0">
      <text>
        <r>
          <rPr>
            <b/>
            <sz val="9"/>
            <color indexed="81"/>
            <rFont val="Tahoma"/>
            <family val="2"/>
          </rPr>
          <t xml:space="preserve">14 feb 17 ke prod p adnan
</t>
        </r>
        <r>
          <rPr>
            <sz val="9"/>
            <color indexed="81"/>
            <rFont val="Tahoma"/>
            <family val="2"/>
          </rPr>
          <t xml:space="preserve">
</t>
        </r>
      </text>
    </comment>
    <comment ref="H242" authorId="0" shapeId="0">
      <text>
        <r>
          <rPr>
            <b/>
            <sz val="9"/>
            <color indexed="81"/>
            <rFont val="Tahoma"/>
            <family val="2"/>
          </rPr>
          <t xml:space="preserve">14 feb 17 ke prod p adnan
</t>
        </r>
        <r>
          <rPr>
            <sz val="9"/>
            <color indexed="81"/>
            <rFont val="Tahoma"/>
            <family val="2"/>
          </rPr>
          <t xml:space="preserve">
</t>
        </r>
      </text>
    </comment>
    <comment ref="H243" authorId="0" shapeId="0">
      <text>
        <r>
          <rPr>
            <b/>
            <sz val="9"/>
            <color indexed="81"/>
            <rFont val="Tahoma"/>
            <family val="2"/>
          </rPr>
          <t xml:space="preserve">14 feb 17 ke prod p adnan
</t>
        </r>
        <r>
          <rPr>
            <sz val="9"/>
            <color indexed="81"/>
            <rFont val="Tahoma"/>
            <family val="2"/>
          </rPr>
          <t xml:space="preserve">
</t>
        </r>
      </text>
    </comment>
    <comment ref="H280" authorId="0" shapeId="0">
      <text>
        <r>
          <rPr>
            <b/>
            <sz val="9"/>
            <color indexed="81"/>
            <rFont val="Tahoma"/>
            <family val="2"/>
          </rPr>
          <t xml:space="preserve">14 feb 17 ke prod p adnan
</t>
        </r>
        <r>
          <rPr>
            <sz val="9"/>
            <color indexed="81"/>
            <rFont val="Tahoma"/>
            <family val="2"/>
          </rPr>
          <t xml:space="preserve">
</t>
        </r>
      </text>
    </comment>
    <comment ref="N394" authorId="0" shapeId="0">
      <text>
        <r>
          <rPr>
            <b/>
            <sz val="9"/>
            <color indexed="81"/>
            <rFont val="Tahoma"/>
            <charset val="1"/>
          </rPr>
          <t>Author:</t>
        </r>
        <r>
          <rPr>
            <sz val="9"/>
            <color indexed="81"/>
            <rFont val="Tahoma"/>
            <charset val="1"/>
          </rPr>
          <t xml:space="preserve">
satuan set</t>
        </r>
      </text>
    </comment>
    <comment ref="O394" authorId="0" shapeId="0">
      <text>
        <r>
          <rPr>
            <b/>
            <sz val="9"/>
            <color indexed="81"/>
            <rFont val="Tahoma"/>
            <charset val="1"/>
          </rPr>
          <t>Author:
satuan set</t>
        </r>
      </text>
    </comment>
    <comment ref="P394" authorId="0" shapeId="0">
      <text>
        <r>
          <rPr>
            <b/>
            <sz val="9"/>
            <color indexed="81"/>
            <rFont val="Tahoma"/>
            <charset val="1"/>
          </rPr>
          <t>Author:</t>
        </r>
        <r>
          <rPr>
            <sz val="9"/>
            <color indexed="81"/>
            <rFont val="Tahoma"/>
            <charset val="1"/>
          </rPr>
          <t xml:space="preserve">
satuan set</t>
        </r>
      </text>
    </comment>
    <comment ref="N401" authorId="0" shapeId="0">
      <text>
        <r>
          <rPr>
            <b/>
            <sz val="9"/>
            <color indexed="81"/>
            <rFont val="Tahoma"/>
            <charset val="1"/>
          </rPr>
          <t>Author:</t>
        </r>
        <r>
          <rPr>
            <sz val="9"/>
            <color indexed="81"/>
            <rFont val="Tahoma"/>
            <charset val="1"/>
          </rPr>
          <t xml:space="preserve">
5 bundel</t>
        </r>
      </text>
    </comment>
    <comment ref="R447" authorId="0" shapeId="0">
      <text>
        <r>
          <rPr>
            <b/>
            <sz val="9"/>
            <color indexed="81"/>
            <rFont val="Tahoma"/>
            <charset val="1"/>
          </rPr>
          <t>Author:</t>
        </r>
        <r>
          <rPr>
            <sz val="9"/>
            <color indexed="81"/>
            <rFont val="Tahoma"/>
            <charset val="1"/>
          </rPr>
          <t xml:space="preserve">
2 bundel 50 + 50</t>
        </r>
      </text>
    </comment>
    <comment ref="T447" authorId="0" shapeId="0">
      <text>
        <r>
          <rPr>
            <b/>
            <sz val="9"/>
            <color indexed="81"/>
            <rFont val="Tahoma"/>
            <charset val="1"/>
          </rPr>
          <t>Author:</t>
        </r>
        <r>
          <rPr>
            <sz val="9"/>
            <color indexed="81"/>
            <rFont val="Tahoma"/>
            <charset val="1"/>
          </rPr>
          <t xml:space="preserve">
3 bundel 100 + 100 + 10</t>
        </r>
      </text>
    </comment>
    <comment ref="O449" authorId="0" shapeId="0">
      <text>
        <r>
          <rPr>
            <b/>
            <sz val="9"/>
            <color indexed="81"/>
            <rFont val="Tahoma"/>
            <charset val="1"/>
          </rPr>
          <t>Author:</t>
        </r>
        <r>
          <rPr>
            <sz val="9"/>
            <color indexed="81"/>
            <rFont val="Tahoma"/>
            <charset val="1"/>
          </rPr>
          <t xml:space="preserve">
3 bundel 100+75+25</t>
        </r>
      </text>
    </comment>
    <comment ref="P449" authorId="0" shapeId="0">
      <text>
        <r>
          <rPr>
            <b/>
            <sz val="9"/>
            <color indexed="81"/>
            <rFont val="Tahoma"/>
            <charset val="1"/>
          </rPr>
          <t>Author:</t>
        </r>
        <r>
          <rPr>
            <sz val="9"/>
            <color indexed="81"/>
            <rFont val="Tahoma"/>
            <charset val="1"/>
          </rPr>
          <t xml:space="preserve">
10 bundel (50 x 9) + 20</t>
        </r>
      </text>
    </comment>
    <comment ref="N451" authorId="0" shapeId="0">
      <text>
        <r>
          <rPr>
            <b/>
            <sz val="9"/>
            <color indexed="81"/>
            <rFont val="Tahoma"/>
            <charset val="1"/>
          </rPr>
          <t>Author:</t>
        </r>
        <r>
          <rPr>
            <sz val="9"/>
            <color indexed="81"/>
            <rFont val="Tahoma"/>
            <charset val="1"/>
          </rPr>
          <t xml:space="preserve">
2 bundel 50 + 24</t>
        </r>
      </text>
    </comment>
    <comment ref="Q451" authorId="0" shapeId="0">
      <text>
        <r>
          <rPr>
            <b/>
            <sz val="9"/>
            <color indexed="81"/>
            <rFont val="Tahoma"/>
            <charset val="1"/>
          </rPr>
          <t>Author:</t>
        </r>
        <r>
          <rPr>
            <sz val="9"/>
            <color indexed="81"/>
            <rFont val="Tahoma"/>
            <charset val="1"/>
          </rPr>
          <t xml:space="preserve">
2 bundel 100 + 12</t>
        </r>
      </text>
    </comment>
    <comment ref="N458" authorId="0" shapeId="0">
      <text>
        <r>
          <rPr>
            <b/>
            <sz val="9"/>
            <color indexed="81"/>
            <rFont val="Tahoma"/>
            <charset val="1"/>
          </rPr>
          <t>Author:</t>
        </r>
        <r>
          <rPr>
            <sz val="9"/>
            <color indexed="81"/>
            <rFont val="Tahoma"/>
            <charset val="1"/>
          </rPr>
          <t xml:space="preserve">
3 bundel 100 + 80 + 55
</t>
        </r>
      </text>
    </comment>
    <comment ref="Q460" authorId="0" shapeId="0">
      <text>
        <r>
          <rPr>
            <b/>
            <sz val="9"/>
            <color indexed="81"/>
            <rFont val="Tahoma"/>
            <charset val="1"/>
          </rPr>
          <t>Author:</t>
        </r>
        <r>
          <rPr>
            <sz val="9"/>
            <color indexed="81"/>
            <rFont val="Tahoma"/>
            <charset val="1"/>
          </rPr>
          <t xml:space="preserve">
ada 2 bundel 50 + 30</t>
        </r>
      </text>
    </comment>
    <comment ref="Q464" authorId="0" shapeId="0">
      <text>
        <r>
          <rPr>
            <b/>
            <sz val="9"/>
            <color indexed="81"/>
            <rFont val="Tahoma"/>
            <charset val="1"/>
          </rPr>
          <t>Author:</t>
        </r>
        <r>
          <rPr>
            <sz val="9"/>
            <color indexed="81"/>
            <rFont val="Tahoma"/>
            <charset val="1"/>
          </rPr>
          <t xml:space="preserve">
5 bundel (50 x 4) + 44</t>
        </r>
      </text>
    </comment>
    <comment ref="H466" authorId="0" shapeId="0">
      <text>
        <r>
          <rPr>
            <b/>
            <sz val="9"/>
            <color indexed="81"/>
            <rFont val="Tahoma"/>
            <family val="2"/>
          </rPr>
          <t xml:space="preserve">okt = catatan p tito 12 des 15 = 100 ke subang
</t>
        </r>
      </text>
    </comment>
    <comment ref="N481" authorId="0" shapeId="0">
      <text>
        <r>
          <rPr>
            <b/>
            <sz val="9"/>
            <color indexed="81"/>
            <rFont val="Tahoma"/>
            <charset val="1"/>
          </rPr>
          <t>Author:</t>
        </r>
        <r>
          <rPr>
            <sz val="9"/>
            <color indexed="81"/>
            <rFont val="Tahoma"/>
            <charset val="1"/>
          </rPr>
          <t xml:space="preserve">
2 bundel 100+100</t>
        </r>
      </text>
    </comment>
    <comment ref="N483" authorId="0" shapeId="0">
      <text>
        <r>
          <rPr>
            <b/>
            <sz val="9"/>
            <color indexed="81"/>
            <rFont val="Tahoma"/>
            <charset val="1"/>
          </rPr>
          <t>Author:</t>
        </r>
        <r>
          <rPr>
            <sz val="9"/>
            <color indexed="81"/>
            <rFont val="Tahoma"/>
            <charset val="1"/>
          </rPr>
          <t xml:space="preserve">
4 bundel 100+50+50+50</t>
        </r>
      </text>
    </comment>
    <comment ref="O483" authorId="0" shapeId="0">
      <text>
        <r>
          <rPr>
            <b/>
            <sz val="9"/>
            <color indexed="81"/>
            <rFont val="Tahoma"/>
            <charset val="1"/>
          </rPr>
          <t>Author:</t>
        </r>
        <r>
          <rPr>
            <sz val="9"/>
            <color indexed="81"/>
            <rFont val="Tahoma"/>
            <charset val="1"/>
          </rPr>
          <t xml:space="preserve">
7 bundel 100+100+100+100+50+50+50</t>
        </r>
      </text>
    </comment>
    <comment ref="N485" authorId="0" shapeId="0">
      <text>
        <r>
          <rPr>
            <b/>
            <sz val="9"/>
            <color indexed="81"/>
            <rFont val="Tahoma"/>
            <charset val="1"/>
          </rPr>
          <t>Author:</t>
        </r>
        <r>
          <rPr>
            <sz val="9"/>
            <color indexed="81"/>
            <rFont val="Tahoma"/>
            <charset val="1"/>
          </rPr>
          <t xml:space="preserve">
4 bundel 100+100+100+95</t>
        </r>
      </text>
    </comment>
    <comment ref="N487" authorId="0" shapeId="0">
      <text>
        <r>
          <rPr>
            <b/>
            <sz val="9"/>
            <color indexed="81"/>
            <rFont val="Tahoma"/>
            <charset val="1"/>
          </rPr>
          <t>Author:</t>
        </r>
        <r>
          <rPr>
            <sz val="9"/>
            <color indexed="81"/>
            <rFont val="Tahoma"/>
            <charset val="1"/>
          </rPr>
          <t xml:space="preserve">
2 bundel 100 + 30</t>
        </r>
      </text>
    </comment>
    <comment ref="O487" authorId="0" shapeId="0">
      <text>
        <r>
          <rPr>
            <b/>
            <sz val="9"/>
            <color indexed="81"/>
            <rFont val="Tahoma"/>
            <charset val="1"/>
          </rPr>
          <t>Diar Gumilan
2 bundel 100 + 100</t>
        </r>
      </text>
    </comment>
    <comment ref="N489" authorId="0" shapeId="0">
      <text>
        <r>
          <rPr>
            <b/>
            <sz val="9"/>
            <color indexed="81"/>
            <rFont val="Tahoma"/>
            <charset val="1"/>
          </rPr>
          <t>Author:</t>
        </r>
        <r>
          <rPr>
            <sz val="9"/>
            <color indexed="81"/>
            <rFont val="Tahoma"/>
            <charset val="1"/>
          </rPr>
          <t xml:space="preserve">
2 bundel 100 + 100</t>
        </r>
      </text>
    </comment>
    <comment ref="F546" authorId="0" shapeId="0">
      <text>
        <r>
          <rPr>
            <b/>
            <sz val="9"/>
            <color indexed="81"/>
            <rFont val="Tahoma"/>
            <family val="2"/>
          </rPr>
          <t>dikembalikan lagi 5 dr pa adnan ga jadi</t>
        </r>
      </text>
    </comment>
    <comment ref="F561" authorId="0" shapeId="0">
      <text>
        <r>
          <rPr>
            <b/>
            <sz val="9"/>
            <color indexed="81"/>
            <rFont val="Tahoma"/>
            <family val="2"/>
          </rPr>
          <t xml:space="preserve">juni 1000
</t>
        </r>
        <r>
          <rPr>
            <sz val="9"/>
            <color indexed="81"/>
            <rFont val="Tahoma"/>
            <family val="2"/>
          </rPr>
          <t xml:space="preserve">
</t>
        </r>
      </text>
    </comment>
    <comment ref="F562" authorId="0" shapeId="0">
      <text>
        <r>
          <rPr>
            <b/>
            <sz val="9"/>
            <color indexed="81"/>
            <rFont val="Tahoma"/>
            <family val="2"/>
          </rPr>
          <t>juni 800</t>
        </r>
        <r>
          <rPr>
            <sz val="9"/>
            <color indexed="81"/>
            <rFont val="Tahoma"/>
            <family val="2"/>
          </rPr>
          <t xml:space="preserve">
</t>
        </r>
      </text>
    </comment>
    <comment ref="F563" authorId="0" shapeId="0">
      <text>
        <r>
          <rPr>
            <b/>
            <sz val="9"/>
            <color indexed="81"/>
            <rFont val="Tahoma"/>
            <family val="2"/>
          </rPr>
          <t xml:space="preserve">agst 300
</t>
        </r>
        <r>
          <rPr>
            <sz val="9"/>
            <color indexed="81"/>
            <rFont val="Tahoma"/>
            <family val="2"/>
          </rPr>
          <t xml:space="preserve">
</t>
        </r>
      </text>
    </comment>
    <comment ref="F564" authorId="0" shapeId="0">
      <text>
        <r>
          <rPr>
            <b/>
            <sz val="9"/>
            <color indexed="81"/>
            <rFont val="Tahoma"/>
            <family val="2"/>
          </rPr>
          <t>agust 3000</t>
        </r>
        <r>
          <rPr>
            <sz val="9"/>
            <color indexed="81"/>
            <rFont val="Tahoma"/>
            <family val="2"/>
          </rPr>
          <t xml:space="preserve">
</t>
        </r>
      </text>
    </comment>
    <comment ref="F565" authorId="0" shapeId="0">
      <text>
        <r>
          <rPr>
            <b/>
            <sz val="9"/>
            <color indexed="81"/>
            <rFont val="Tahoma"/>
            <family val="2"/>
          </rPr>
          <t>agust 3000</t>
        </r>
        <r>
          <rPr>
            <sz val="9"/>
            <color indexed="81"/>
            <rFont val="Tahoma"/>
            <family val="2"/>
          </rPr>
          <t xml:space="preserve">
</t>
        </r>
      </text>
    </comment>
    <comment ref="F573" authorId="0" shapeId="0">
      <text>
        <r>
          <rPr>
            <b/>
            <sz val="9"/>
            <color indexed="81"/>
            <rFont val="Tahoma"/>
            <family val="2"/>
          </rPr>
          <t>NOV 3000</t>
        </r>
        <r>
          <rPr>
            <sz val="9"/>
            <color indexed="81"/>
            <rFont val="Tahoma"/>
            <family val="2"/>
          </rPr>
          <t xml:space="preserve">
</t>
        </r>
      </text>
    </comment>
    <comment ref="F574" authorId="0" shapeId="0">
      <text>
        <r>
          <rPr>
            <b/>
            <sz val="9"/>
            <color indexed="81"/>
            <rFont val="Tahoma"/>
            <family val="2"/>
          </rPr>
          <t>NOV 1000</t>
        </r>
        <r>
          <rPr>
            <sz val="9"/>
            <color indexed="81"/>
            <rFont val="Tahoma"/>
            <family val="2"/>
          </rPr>
          <t xml:space="preserve">
</t>
        </r>
      </text>
    </comment>
    <comment ref="F575" authorId="0" shapeId="0">
      <text>
        <r>
          <rPr>
            <b/>
            <sz val="9"/>
            <color indexed="81"/>
            <rFont val="Tahoma"/>
            <family val="2"/>
          </rPr>
          <t>nov 1000 dptgnk des</t>
        </r>
        <r>
          <rPr>
            <sz val="9"/>
            <color indexed="81"/>
            <rFont val="Tahoma"/>
            <family val="2"/>
          </rPr>
          <t xml:space="preserve">
</t>
        </r>
      </text>
    </comment>
    <comment ref="F587" authorId="0" shapeId="0">
      <text>
        <r>
          <rPr>
            <b/>
            <sz val="9"/>
            <color indexed="81"/>
            <rFont val="Tahoma"/>
            <family val="2"/>
          </rPr>
          <t xml:space="preserve">500 terakhir blm ada g14 nya cek fisik brg
</t>
        </r>
        <r>
          <rPr>
            <sz val="9"/>
            <color indexed="81"/>
            <rFont val="Tahoma"/>
            <family val="2"/>
          </rPr>
          <t xml:space="preserve">
</t>
        </r>
      </text>
    </comment>
    <comment ref="F588" authorId="0" shapeId="0">
      <text>
        <r>
          <rPr>
            <b/>
            <sz val="9"/>
            <color indexed="81"/>
            <rFont val="Tahoma"/>
            <family val="2"/>
          </rPr>
          <t xml:space="preserve">jun 3.000
</t>
        </r>
        <r>
          <rPr>
            <sz val="9"/>
            <color indexed="81"/>
            <rFont val="Tahoma"/>
            <family val="2"/>
          </rPr>
          <t xml:space="preserve">
</t>
        </r>
      </text>
    </comment>
    <comment ref="F589" authorId="0" shapeId="0">
      <text>
        <r>
          <rPr>
            <b/>
            <sz val="9"/>
            <color indexed="81"/>
            <rFont val="Tahoma"/>
            <family val="2"/>
          </rPr>
          <t xml:space="preserve">jun 3.000
</t>
        </r>
        <r>
          <rPr>
            <sz val="9"/>
            <color indexed="81"/>
            <rFont val="Tahoma"/>
            <family val="2"/>
          </rPr>
          <t xml:space="preserve">
</t>
        </r>
      </text>
    </comment>
    <comment ref="F590" authorId="0" shapeId="0">
      <text>
        <r>
          <rPr>
            <b/>
            <sz val="9"/>
            <color indexed="81"/>
            <rFont val="Tahoma"/>
            <family val="2"/>
          </rPr>
          <t xml:space="preserve">jun 3.000
</t>
        </r>
        <r>
          <rPr>
            <sz val="9"/>
            <color indexed="81"/>
            <rFont val="Tahoma"/>
            <family val="2"/>
          </rPr>
          <t xml:space="preserve">
</t>
        </r>
      </text>
    </comment>
  </commentList>
</comments>
</file>

<file path=xl/comments4.xml><?xml version="1.0" encoding="utf-8"?>
<comments xmlns="http://schemas.openxmlformats.org/spreadsheetml/2006/main">
  <authors>
    <author>Author</author>
  </authors>
  <commentList>
    <comment ref="F8" authorId="0" shapeId="0">
      <text>
        <r>
          <rPr>
            <b/>
            <sz val="9"/>
            <color indexed="81"/>
            <rFont val="Tahoma"/>
            <family val="2"/>
          </rPr>
          <t xml:space="preserve">nov dr produksi 100
</t>
        </r>
        <r>
          <rPr>
            <sz val="9"/>
            <color indexed="81"/>
            <rFont val="Tahoma"/>
            <family val="2"/>
          </rPr>
          <t xml:space="preserve">
</t>
        </r>
      </text>
    </comment>
    <comment ref="H8" authorId="0" shapeId="0">
      <text>
        <r>
          <rPr>
            <b/>
            <sz val="9"/>
            <color indexed="81"/>
            <rFont val="Tahoma"/>
            <family val="2"/>
          </rPr>
          <t>juni oleh produksi
adnan,sis,heri
hampir semua kemasan di bulan juni.
Comment hanya di ketik satu mewakili keseluruhan</t>
        </r>
      </text>
    </comment>
    <comment ref="F34" authorId="0" shapeId="0">
      <text>
        <r>
          <rPr>
            <b/>
            <sz val="9"/>
            <color indexed="81"/>
            <rFont val="Tahoma"/>
            <family val="2"/>
          </rPr>
          <t xml:space="preserve">mei retouran 98
juni 99
nov dr prod 30
</t>
        </r>
      </text>
    </comment>
    <comment ref="F61" authorId="0" shapeId="0">
      <text>
        <r>
          <rPr>
            <b/>
            <sz val="9"/>
            <color indexed="81"/>
            <rFont val="Tahoma"/>
            <family val="2"/>
          </rPr>
          <t>mei retouran 97</t>
        </r>
      </text>
    </comment>
    <comment ref="H116" authorId="0" shapeId="0">
      <text>
        <r>
          <rPr>
            <sz val="9"/>
            <color indexed="81"/>
            <rFont val="Tahoma"/>
            <family val="2"/>
          </rPr>
          <t xml:space="preserve">produksi
</t>
        </r>
      </text>
    </comment>
    <comment ref="F132" authorId="0" shapeId="0">
      <text>
        <r>
          <rPr>
            <b/>
            <sz val="9"/>
            <color indexed="81"/>
            <rFont val="Tahoma"/>
            <family val="2"/>
          </rPr>
          <t>juni 3.000</t>
        </r>
      </text>
    </comment>
    <comment ref="F133" authorId="0" shapeId="0">
      <text>
        <r>
          <rPr>
            <b/>
            <sz val="9"/>
            <color indexed="81"/>
            <rFont val="Tahoma"/>
            <family val="2"/>
          </rPr>
          <t>juni 450</t>
        </r>
        <r>
          <rPr>
            <sz val="9"/>
            <color indexed="81"/>
            <rFont val="Tahoma"/>
            <family val="2"/>
          </rPr>
          <t xml:space="preserve">
</t>
        </r>
      </text>
    </comment>
    <comment ref="F134" authorId="0" shapeId="0">
      <text>
        <r>
          <rPr>
            <b/>
            <sz val="9"/>
            <color indexed="81"/>
            <rFont val="Tahoma"/>
            <family val="2"/>
          </rPr>
          <t>juli 100</t>
        </r>
        <r>
          <rPr>
            <sz val="9"/>
            <color indexed="81"/>
            <rFont val="Tahoma"/>
            <family val="2"/>
          </rPr>
          <t xml:space="preserve">
</t>
        </r>
      </text>
    </comment>
    <comment ref="F136" authorId="0" shapeId="0">
      <text>
        <r>
          <rPr>
            <b/>
            <sz val="9"/>
            <color indexed="81"/>
            <rFont val="Tahoma"/>
            <family val="2"/>
          </rPr>
          <t>NOV 1500</t>
        </r>
        <r>
          <rPr>
            <sz val="9"/>
            <color indexed="81"/>
            <rFont val="Tahoma"/>
            <family val="2"/>
          </rPr>
          <t xml:space="preserve">
</t>
        </r>
      </text>
    </comment>
    <comment ref="F144" authorId="0" shapeId="0">
      <text>
        <r>
          <rPr>
            <b/>
            <sz val="9"/>
            <color indexed="81"/>
            <rFont val="Tahoma"/>
            <family val="2"/>
          </rPr>
          <t xml:space="preserve">april 4.000
</t>
        </r>
        <r>
          <rPr>
            <sz val="9"/>
            <color indexed="81"/>
            <rFont val="Tahoma"/>
            <family val="2"/>
          </rPr>
          <t xml:space="preserve">
</t>
        </r>
      </text>
    </comment>
  </commentList>
</comments>
</file>

<file path=xl/comments5.xml><?xml version="1.0" encoding="utf-8"?>
<comments xmlns="http://schemas.openxmlformats.org/spreadsheetml/2006/main">
  <authors>
    <author>Author</author>
  </authors>
  <commentList>
    <comment ref="F21" authorId="0" shapeId="0">
      <text>
        <r>
          <rPr>
            <b/>
            <sz val="9"/>
            <color indexed="81"/>
            <rFont val="Tahoma"/>
            <family val="2"/>
          </rPr>
          <t>nov 50</t>
        </r>
      </text>
    </comment>
    <comment ref="F22" authorId="0" shapeId="0">
      <text>
        <r>
          <rPr>
            <b/>
            <sz val="9"/>
            <color indexed="81"/>
            <rFont val="Tahoma"/>
            <family val="2"/>
          </rPr>
          <t>des 680, mulai penggabungan</t>
        </r>
        <r>
          <rPr>
            <sz val="9"/>
            <color indexed="81"/>
            <rFont val="Tahoma"/>
            <family val="2"/>
          </rPr>
          <t xml:space="preserve">
</t>
        </r>
      </text>
    </comment>
    <comment ref="H22" authorId="0" shapeId="0">
      <text>
        <r>
          <rPr>
            <b/>
            <sz val="9"/>
            <color indexed="81"/>
            <rFont val="Tahoma"/>
            <family val="2"/>
          </rPr>
          <t>produksi, pa dian minta utk souvenir pajak</t>
        </r>
        <r>
          <rPr>
            <sz val="9"/>
            <color indexed="81"/>
            <rFont val="Tahoma"/>
            <family val="2"/>
          </rPr>
          <t xml:space="preserve">
</t>
        </r>
      </text>
    </comment>
    <comment ref="F23" authorId="0" shapeId="0">
      <text>
        <r>
          <rPr>
            <b/>
            <sz val="9"/>
            <color indexed="81"/>
            <rFont val="Tahoma"/>
            <family val="2"/>
          </rPr>
          <t>jan 17 = 2.000</t>
        </r>
        <r>
          <rPr>
            <sz val="9"/>
            <color indexed="81"/>
            <rFont val="Tahoma"/>
            <family val="2"/>
          </rPr>
          <t xml:space="preserve">
</t>
        </r>
      </text>
    </comment>
    <comment ref="F25" authorId="0" shapeId="0">
      <text>
        <r>
          <rPr>
            <b/>
            <sz val="9"/>
            <color indexed="81"/>
            <rFont val="Tahoma"/>
            <family val="2"/>
          </rPr>
          <t>intruksi man fil g14 ke bd, dan udh di bayar</t>
        </r>
        <r>
          <rPr>
            <sz val="9"/>
            <color indexed="81"/>
            <rFont val="Tahoma"/>
            <family val="2"/>
          </rPr>
          <t xml:space="preserve">
</t>
        </r>
      </text>
    </comment>
  </commentList>
</comments>
</file>

<file path=xl/comments6.xml><?xml version="1.0" encoding="utf-8"?>
<comments xmlns="http://schemas.openxmlformats.org/spreadsheetml/2006/main">
  <authors>
    <author>Author</author>
  </authors>
  <commentList>
    <comment ref="F21" authorId="0" shapeId="0">
      <text>
        <r>
          <rPr>
            <b/>
            <sz val="9"/>
            <color indexed="81"/>
            <rFont val="Tahoma"/>
            <family val="2"/>
          </rPr>
          <t xml:space="preserve">juli dari produksi
100 utk gin (buatkan g14)
</t>
        </r>
        <r>
          <rPr>
            <sz val="9"/>
            <color indexed="81"/>
            <rFont val="Tahoma"/>
            <family val="2"/>
          </rPr>
          <t xml:space="preserve">
nov dr prod 100 utk bd</t>
        </r>
      </text>
    </comment>
    <comment ref="F22" authorId="0" shapeId="0">
      <text>
        <r>
          <rPr>
            <b/>
            <sz val="9"/>
            <color indexed="81"/>
            <rFont val="Tahoma"/>
            <family val="2"/>
          </rPr>
          <t xml:space="preserve">juli dari produksi
100 utk gin (buatkan g14)
</t>
        </r>
        <r>
          <rPr>
            <sz val="9"/>
            <color indexed="81"/>
            <rFont val="Tahoma"/>
            <family val="2"/>
          </rPr>
          <t xml:space="preserve">
nov dr prod 100 utk bd</t>
        </r>
      </text>
    </comment>
    <comment ref="F23" authorId="0" shapeId="0">
      <text>
        <r>
          <rPr>
            <b/>
            <sz val="9"/>
            <color indexed="81"/>
            <rFont val="Tahoma"/>
            <family val="2"/>
          </rPr>
          <t xml:space="preserve">juli dari produksi
100 utk gin (buatkan g14)
</t>
        </r>
        <r>
          <rPr>
            <sz val="9"/>
            <color indexed="81"/>
            <rFont val="Tahoma"/>
            <family val="2"/>
          </rPr>
          <t xml:space="preserve">
nov dr prod 100 utk bd</t>
        </r>
      </text>
    </comment>
    <comment ref="F24" authorId="0" shapeId="0">
      <text>
        <r>
          <rPr>
            <b/>
            <sz val="9"/>
            <color indexed="81"/>
            <rFont val="Tahoma"/>
            <family val="2"/>
          </rPr>
          <t xml:space="preserve">juli dari produksi
100 utk gin (buatkan g14)
</t>
        </r>
        <r>
          <rPr>
            <sz val="9"/>
            <color indexed="81"/>
            <rFont val="Tahoma"/>
            <family val="2"/>
          </rPr>
          <t xml:space="preserve">
nov dr prod 100 utk bd</t>
        </r>
      </text>
    </comment>
    <comment ref="H41" authorId="0" shapeId="0">
      <text>
        <r>
          <rPr>
            <b/>
            <sz val="9"/>
            <color indexed="81"/>
            <rFont val="Tahoma"/>
            <family val="2"/>
          </rPr>
          <t>okt = -erhitungan des 15 oleh KAP bendelan 900 tapi di itung 1.000.
disesuaikan bdsk fisik brg 14.819</t>
        </r>
      </text>
    </comment>
    <comment ref="H45" authorId="0" shapeId="0">
      <text>
        <r>
          <rPr>
            <b/>
            <sz val="9"/>
            <color indexed="81"/>
            <rFont val="Tahoma"/>
            <family val="2"/>
          </rPr>
          <t>mar 2017 prod 10</t>
        </r>
      </text>
    </comment>
    <comment ref="F60" authorId="0" shapeId="0">
      <text>
        <r>
          <rPr>
            <b/>
            <sz val="9"/>
            <color indexed="81"/>
            <rFont val="Tahoma"/>
            <family val="2"/>
          </rPr>
          <t>juni 2000
JULI 8000
okt 15.000+25,000
17</t>
        </r>
        <r>
          <rPr>
            <sz val="9"/>
            <color indexed="81"/>
            <rFont val="Tahoma"/>
            <family val="2"/>
          </rPr>
          <t xml:space="preserve">juni2017 2.000
21juni 10.000
</t>
        </r>
      </text>
    </comment>
    <comment ref="H60" authorId="0" shapeId="0">
      <text>
        <r>
          <rPr>
            <b/>
            <sz val="9"/>
            <color indexed="81"/>
            <rFont val="Tahoma"/>
            <family val="2"/>
          </rPr>
          <t>des 100 permint bln nov prod 100</t>
        </r>
        <r>
          <rPr>
            <sz val="9"/>
            <color indexed="81"/>
            <rFont val="Tahoma"/>
            <family val="2"/>
          </rPr>
          <t xml:space="preserve">
</t>
        </r>
      </text>
    </comment>
    <comment ref="F61" authorId="0" shapeId="0">
      <text>
        <r>
          <rPr>
            <b/>
            <sz val="9"/>
            <color indexed="81"/>
            <rFont val="Tahoma"/>
            <family val="2"/>
          </rPr>
          <t xml:space="preserve">juni 3.000
juli 7.000
okt 15.000+7,000
nov 8000
</t>
        </r>
      </text>
    </comment>
    <comment ref="F62" authorId="0" shapeId="0">
      <text>
        <r>
          <rPr>
            <b/>
            <sz val="9"/>
            <color indexed="81"/>
            <rFont val="Tahoma"/>
            <family val="2"/>
          </rPr>
          <t>2000 backgroud</t>
        </r>
        <r>
          <rPr>
            <sz val="9"/>
            <color indexed="81"/>
            <rFont val="Tahoma"/>
            <family val="2"/>
          </rPr>
          <t xml:space="preserve">
jan 17 polos 20.000</t>
        </r>
      </text>
    </comment>
  </commentList>
</comments>
</file>

<file path=xl/comments7.xml><?xml version="1.0" encoding="utf-8"?>
<comments xmlns="http://schemas.openxmlformats.org/spreadsheetml/2006/main">
  <authors>
    <author>Author</author>
  </authors>
  <commentList>
    <comment ref="H33" authorId="0" shapeId="0">
      <text>
        <r>
          <rPr>
            <b/>
            <sz val="9"/>
            <color indexed="81"/>
            <rFont val="Tahoma"/>
            <family val="2"/>
          </rPr>
          <t>okt = setelah dibuka ulang di bendelan kemasan isi 50 ternyata fisik nya hanya 48 (50-2=48)
kirim kembali ke produksi</t>
        </r>
      </text>
    </comment>
    <comment ref="F52" authorId="0" shapeId="0">
      <text>
        <r>
          <rPr>
            <b/>
            <sz val="9"/>
            <color indexed="81"/>
            <rFont val="Tahoma"/>
            <family val="2"/>
          </rPr>
          <t>500 dari kiffa tgl 28 maret, dptgn april</t>
        </r>
        <r>
          <rPr>
            <sz val="9"/>
            <color indexed="81"/>
            <rFont val="Tahoma"/>
            <family val="2"/>
          </rPr>
          <t xml:space="preserve">
</t>
        </r>
      </text>
    </comment>
  </commentList>
</comments>
</file>

<file path=xl/sharedStrings.xml><?xml version="1.0" encoding="utf-8"?>
<sst xmlns="http://schemas.openxmlformats.org/spreadsheetml/2006/main" count="3909" uniqueCount="1170">
  <si>
    <t>Uraian</t>
  </si>
  <si>
    <t>Nominal</t>
  </si>
  <si>
    <t xml:space="preserve">Cerita Rakyat 03        </t>
  </si>
  <si>
    <t xml:space="preserve">Sea Games 03          </t>
  </si>
  <si>
    <t xml:space="preserve">Gunung 03                </t>
  </si>
  <si>
    <t xml:space="preserve">50 th Bank Indonesia 03 </t>
  </si>
  <si>
    <t xml:space="preserve">Tata Suya 03                 </t>
  </si>
  <si>
    <t xml:space="preserve">Sumpah Pemuda 03      </t>
  </si>
  <si>
    <t xml:space="preserve">Flora Fauna 03              </t>
  </si>
  <si>
    <t xml:space="preserve">Tokoh Nasional 03         </t>
  </si>
  <si>
    <t xml:space="preserve">Lomba Tradisional 03     </t>
  </si>
  <si>
    <t xml:space="preserve">Pramuka 03                 </t>
  </si>
  <si>
    <t xml:space="preserve">Pariwisata 03             </t>
  </si>
  <si>
    <t>Buah-buahan (durian)</t>
  </si>
  <si>
    <t>Buah-buahan (belimbing)</t>
  </si>
  <si>
    <t>Buah-buahan  ( mengkudu)</t>
  </si>
  <si>
    <t>Buah-buahan (mangga)</t>
  </si>
  <si>
    <t>Porto bayar warna biru</t>
  </si>
  <si>
    <t>Porto bayar warna merah</t>
  </si>
  <si>
    <t xml:space="preserve">STOK AKHIR </t>
  </si>
  <si>
    <t>JUMLAH</t>
  </si>
  <si>
    <t>BSU</t>
  </si>
  <si>
    <t>Gudang Pusat</t>
  </si>
  <si>
    <t xml:space="preserve">NKRI 04                   </t>
  </si>
  <si>
    <t xml:space="preserve">Cerita Rakyat 04          </t>
  </si>
  <si>
    <t xml:space="preserve">Museum 04              </t>
  </si>
  <si>
    <t xml:space="preserve">Pemilu 04                </t>
  </si>
  <si>
    <t xml:space="preserve">Olympiade Athena       </t>
  </si>
  <si>
    <t xml:space="preserve">Tokoh Wanita 04         </t>
  </si>
  <si>
    <t xml:space="preserve">Peduli Lingkungan 04    </t>
  </si>
  <si>
    <t xml:space="preserve">Makanan Tradisional 04 </t>
  </si>
  <si>
    <t xml:space="preserve">Kendaraan Presiden 04  </t>
  </si>
  <si>
    <t xml:space="preserve">PON XVI 04                  </t>
  </si>
  <si>
    <t xml:space="preserve">Flora Fauna 04              </t>
  </si>
  <si>
    <t xml:space="preserve">Hari Guru Nasional 04    </t>
  </si>
  <si>
    <t xml:space="preserve">Cerita Rakyat 05      </t>
  </si>
  <si>
    <t xml:space="preserve">50 Th KAA 05          </t>
  </si>
  <si>
    <t xml:space="preserve">Bencana Alam 05    </t>
  </si>
  <si>
    <t xml:space="preserve">Peduli Lingkungan 05  </t>
  </si>
  <si>
    <t>600 Th Pel.Laks Zheng He</t>
  </si>
  <si>
    <t xml:space="preserve">Makanan Tradisional 05 </t>
  </si>
  <si>
    <t xml:space="preserve">Presiden/Wapres 05     </t>
  </si>
  <si>
    <t xml:space="preserve">Hemat Energi 05          </t>
  </si>
  <si>
    <t xml:space="preserve">Kapal Borobudur 05      </t>
  </si>
  <si>
    <t xml:space="preserve">Flora Fauna 05             </t>
  </si>
  <si>
    <t xml:space="preserve">Cerita Rakyat 06            </t>
  </si>
  <si>
    <t xml:space="preserve">Hari Filateli 06            </t>
  </si>
  <si>
    <t xml:space="preserve">Piala Dunia </t>
  </si>
  <si>
    <t>Piala Dunia set</t>
  </si>
  <si>
    <t>Piala Dunia fulsheet</t>
  </si>
  <si>
    <t>Peduli Lingkungan</t>
  </si>
  <si>
    <t>Makanan Tradisional</t>
  </si>
  <si>
    <t>Jambore Nasional</t>
  </si>
  <si>
    <t>Tokoh Nasional</t>
  </si>
  <si>
    <t>Tokoh Nasional CT</t>
  </si>
  <si>
    <t>Indonesia Slowakia</t>
  </si>
  <si>
    <t>Hari Raya Islam</t>
  </si>
  <si>
    <t>Slowakia-Ind</t>
  </si>
  <si>
    <t>Flora-Fauna</t>
  </si>
  <si>
    <t>Kerajinan Indonesia</t>
  </si>
  <si>
    <t>12 Lambang Shio</t>
  </si>
  <si>
    <t>Indonesia China</t>
  </si>
  <si>
    <t>China-Indonesia</t>
  </si>
  <si>
    <t>Gemar Membaca</t>
  </si>
  <si>
    <t>Hari Anti mNarkoba</t>
  </si>
  <si>
    <t>Seabad Kepanduan</t>
  </si>
  <si>
    <t>Prko Booklet Kepanduan</t>
  </si>
  <si>
    <t>Omnibus Asean</t>
  </si>
  <si>
    <t>Mercusuar</t>
  </si>
  <si>
    <t>50 TH UNPAD</t>
  </si>
  <si>
    <t>Flora Fauna (Kupu2)</t>
  </si>
  <si>
    <t>Sea Games XXIV</t>
  </si>
  <si>
    <t>50 Th Dek Djuanda</t>
  </si>
  <si>
    <t>Seri Shio Tikus</t>
  </si>
  <si>
    <t>Olympiade Beijing 08</t>
  </si>
  <si>
    <t>Ucapan Selamat</t>
  </si>
  <si>
    <t>Indonesia-Jepang 08</t>
  </si>
  <si>
    <t>- Gunung</t>
  </si>
  <si>
    <t>- Candi</t>
  </si>
  <si>
    <t>- Bunga</t>
  </si>
  <si>
    <t>- Angklung</t>
  </si>
  <si>
    <t>- Arwana</t>
  </si>
  <si>
    <t>Pendidikan Luar Biasa</t>
  </si>
  <si>
    <t>Prko Ina-Kuba</t>
  </si>
  <si>
    <t>100 Th. HARKITNAS</t>
  </si>
  <si>
    <t>Peduli Lingkungan 08</t>
  </si>
  <si>
    <t>PON XVII 08</t>
  </si>
  <si>
    <t>Makanan Tradisional 08</t>
  </si>
  <si>
    <t>Prangko Kuba (2 kep)</t>
  </si>
  <si>
    <t>Lambang Provinsi Bali</t>
  </si>
  <si>
    <t>Lambang Prov. Gorontalo</t>
  </si>
  <si>
    <t>Lambang Provinsi Jabar</t>
  </si>
  <si>
    <t>Lambang Provinsi Jateng</t>
  </si>
  <si>
    <t>Lambang Provinsi Kalbar</t>
  </si>
  <si>
    <t>Lambang Provinsi Maluku</t>
  </si>
  <si>
    <t>Lambang Provinsi NAD</t>
  </si>
  <si>
    <t>Lambang Provinsi Papua</t>
  </si>
  <si>
    <t>Lambang Provinsi Riau</t>
  </si>
  <si>
    <t>Lambang Provinsi Sulbar</t>
  </si>
  <si>
    <t>Lambang Provinsi Sumbar</t>
  </si>
  <si>
    <t>Jalan Raya Pos</t>
  </si>
  <si>
    <t>Cut Nyak Dien 2008</t>
  </si>
  <si>
    <t>Pulau Kecil Teluar 08</t>
  </si>
  <si>
    <t>JIS Singapore - Ina</t>
  </si>
  <si>
    <t>Jis Iran - Ina</t>
  </si>
  <si>
    <t xml:space="preserve">Shio Macan </t>
  </si>
  <si>
    <t>Piala Dunia  Afsel  2010</t>
  </si>
  <si>
    <t>100 Th. Muhammadiyah</t>
  </si>
  <si>
    <t>Youth Olympic Games</t>
  </si>
  <si>
    <t>Presiden dan Wapres RI</t>
  </si>
  <si>
    <t>200 th. Kota Bandung</t>
  </si>
  <si>
    <t>200 th Kota Bandung</t>
  </si>
  <si>
    <t>Kehidupan Bawah Laut</t>
  </si>
  <si>
    <t>Shio Kelinci  2011</t>
  </si>
  <si>
    <t>Upacara Adat</t>
  </si>
  <si>
    <t>Tahun Kimia Internasional</t>
  </si>
  <si>
    <t>Tahun Antariksa</t>
  </si>
  <si>
    <t>Internet Sehat dan aman</t>
  </si>
  <si>
    <t>Gerakan Pramuka</t>
  </si>
  <si>
    <t>Jis Ina - Malaysia    (8)</t>
  </si>
  <si>
    <t>Art. Landmark    (5)</t>
  </si>
  <si>
    <t>Trikora   I</t>
  </si>
  <si>
    <t>Trikora  II  (3)</t>
  </si>
  <si>
    <t>JIS  Ina- Afsel    (5)</t>
  </si>
  <si>
    <t>Sea Games   (6)</t>
  </si>
  <si>
    <t>Flora - Fauna  (2)</t>
  </si>
  <si>
    <t>Shio Naga 2012</t>
  </si>
  <si>
    <t>PON XVIII Riau (6 )</t>
  </si>
  <si>
    <t>JIS AFSEL-INA 2011   (10)</t>
  </si>
  <si>
    <t>Prko 50 Tahun APPU</t>
  </si>
  <si>
    <t>PEDULI LINGKUNGAN</t>
  </si>
  <si>
    <t>BURUNG TERANCAM PUNAH</t>
  </si>
  <si>
    <t>MAKANAN TRAD</t>
  </si>
  <si>
    <t>PRKO KEPANDUAN</t>
  </si>
  <si>
    <t>PRKO SIARAN TV</t>
  </si>
  <si>
    <t>PRKO JATI DIRI BANGSA</t>
  </si>
  <si>
    <t xml:space="preserve">KUSKUS TUTUL HITAM </t>
  </si>
  <si>
    <t>KANDELIA CANDEL</t>
  </si>
  <si>
    <t xml:space="preserve">SOS CHILDREN. BERSAMA </t>
  </si>
  <si>
    <t xml:space="preserve">SOS CHILDREN. PNGASUH </t>
  </si>
  <si>
    <t>Prko Pemilu</t>
  </si>
  <si>
    <t>Prko Tahun Kuda</t>
  </si>
  <si>
    <t>PRKO ALAT MUSIK TRAD</t>
  </si>
  <si>
    <t>Prko 150 thn Ind</t>
  </si>
  <si>
    <t>Prko PAUD</t>
  </si>
  <si>
    <t>Prko Peduli Lingkungan</t>
  </si>
  <si>
    <t>SS Pariwisata 03</t>
  </si>
  <si>
    <t>SS Pameran Bangkok</t>
  </si>
  <si>
    <t>SS Tata Surya</t>
  </si>
  <si>
    <t>SS Flora Fauna</t>
  </si>
  <si>
    <t>SS Panfila Surabaya</t>
  </si>
  <si>
    <t xml:space="preserve">MS.Gunung 03           </t>
  </si>
  <si>
    <t xml:space="preserve">MS.Lomba Trad 03        </t>
  </si>
  <si>
    <t xml:space="preserve">MS.Tata Surya 03         </t>
  </si>
  <si>
    <t xml:space="preserve">Booklet Flora Fauna 03  </t>
  </si>
  <si>
    <t>SS Kendaraan Presiden</t>
  </si>
  <si>
    <t>SS Cerita Rakyat</t>
  </si>
  <si>
    <t>SS Panfila Banten</t>
  </si>
  <si>
    <t>Flora Fauna</t>
  </si>
  <si>
    <t>Panfila Bd</t>
  </si>
  <si>
    <t>Cerita Rakyat</t>
  </si>
  <si>
    <t>Indonesia-China</t>
  </si>
  <si>
    <t>Bangkok</t>
  </si>
  <si>
    <t>SS CT(ECOPHILA)</t>
  </si>
  <si>
    <t>Tahun Tikus 2008</t>
  </si>
  <si>
    <t>Taipei 2008</t>
  </si>
  <si>
    <t>SS Jalan Raya Pos 08</t>
  </si>
  <si>
    <t>SS UNCUT Jakarta 2008</t>
  </si>
  <si>
    <t>SS Jakarta 2008</t>
  </si>
  <si>
    <t>Shio Macan</t>
  </si>
  <si>
    <t>SS  W. Budaya (Hanoman)</t>
  </si>
  <si>
    <t>SS  W. Budaya (Keris)</t>
  </si>
  <si>
    <t>SS Peduli Lingkungan</t>
  </si>
  <si>
    <t>SS Presiden dan Wapres RI</t>
  </si>
  <si>
    <t>SS 200 Th. Kota Bandung</t>
  </si>
  <si>
    <t>SS Panfila Jakarta 2010</t>
  </si>
  <si>
    <t xml:space="preserve">SS Peduli Lingkungan </t>
  </si>
  <si>
    <t>SS Philanippon</t>
  </si>
  <si>
    <t>SS Gerakan Pramuka</t>
  </si>
  <si>
    <t xml:space="preserve">SS China 2011 </t>
  </si>
  <si>
    <t xml:space="preserve">SS Flora-Fauna </t>
  </si>
  <si>
    <t>MS UNCUT FLORA FAUNA</t>
  </si>
  <si>
    <t>MS Ina-Slovakia</t>
  </si>
  <si>
    <t>MS 12 Lambang Shio</t>
  </si>
  <si>
    <t>MS Bangkok</t>
  </si>
  <si>
    <t>MS JIS Jepang-Ina</t>
  </si>
  <si>
    <t>MS Turki-Ina</t>
  </si>
  <si>
    <t>MS Shio Kerbau 09</t>
  </si>
  <si>
    <t>MS Singapore 09</t>
  </si>
  <si>
    <t>MS Burung CT Jipex 09</t>
  </si>
  <si>
    <t>MS JIS Ina-Iran 09</t>
  </si>
  <si>
    <t>Booklet Piala Dunia 2010</t>
  </si>
  <si>
    <t>MS 100 Th. Muhammadiyah</t>
  </si>
  <si>
    <t>MS Flora-Fauna 2010</t>
  </si>
  <si>
    <t>MS Lambang Provinsi  2010</t>
  </si>
  <si>
    <t>MS  Shio Kelinci  2011</t>
  </si>
  <si>
    <t>MS Gemar Ikan</t>
  </si>
  <si>
    <t>MS Kain Tradisional  (Pan. SB)</t>
  </si>
  <si>
    <t>MS Ina - Malaysia</t>
  </si>
  <si>
    <t>MS Shio Naga 2012</t>
  </si>
  <si>
    <t>SS INDONESIA # 1</t>
  </si>
  <si>
    <t>SS INDONESIA # 2</t>
  </si>
  <si>
    <t>SS INDONESIA # 3</t>
  </si>
  <si>
    <t>SS INDONESIA # 4</t>
  </si>
  <si>
    <t>SS INDONESIA # 5</t>
  </si>
  <si>
    <t>SS INDONESIA # 6</t>
  </si>
  <si>
    <t>SS INDONESIA # 7</t>
  </si>
  <si>
    <t>MS BURUNG TERANCAM PUNAH</t>
  </si>
  <si>
    <t>SS KEPANDUAN</t>
  </si>
  <si>
    <t>SS FLORA FAUNA</t>
  </si>
  <si>
    <t>SS PEDULI LINGKUNGAN</t>
  </si>
  <si>
    <t xml:space="preserve">MS Tahun Kuda </t>
  </si>
  <si>
    <t>SS Tahun Kuda</t>
  </si>
  <si>
    <t>SS Four Nation Bdg</t>
  </si>
  <si>
    <t>SS Uncut Four Nation</t>
  </si>
  <si>
    <t xml:space="preserve">SHP Logo Prisma 03.    </t>
  </si>
  <si>
    <t xml:space="preserve">SHP C R 03.            </t>
  </si>
  <si>
    <t xml:space="preserve">SHPSS CR 03               </t>
  </si>
  <si>
    <t xml:space="preserve">SP Borobudur 03           </t>
  </si>
  <si>
    <t xml:space="preserve">SHP Sea Games 03      </t>
  </si>
  <si>
    <t xml:space="preserve">SHP Gunung 03            </t>
  </si>
  <si>
    <t xml:space="preserve">SP MTQ 03                   </t>
  </si>
  <si>
    <t xml:space="preserve">SP Raimuna 03             </t>
  </si>
  <si>
    <t xml:space="preserve">SP Jabar Benar  03     </t>
  </si>
  <si>
    <t xml:space="preserve">SP AASROC 03         </t>
  </si>
  <si>
    <t xml:space="preserve">SHP Lomba Trad 03    </t>
  </si>
  <si>
    <t xml:space="preserve">SHP Pramuka 03        </t>
  </si>
  <si>
    <t xml:space="preserve">SP Pelanggan Nas 03 </t>
  </si>
  <si>
    <t xml:space="preserve">SHP/SS Bangkok 03   </t>
  </si>
  <si>
    <t xml:space="preserve">SHP Tata Surya 03     </t>
  </si>
  <si>
    <t xml:space="preserve">SHP/SS Tata Surya 03 </t>
  </si>
  <si>
    <t>SHP Sumpah Pemuda 03</t>
  </si>
  <si>
    <t xml:space="preserve">SHP HCPSN 03           </t>
  </si>
  <si>
    <t xml:space="preserve">SHP Tokoh Nasional 03  </t>
  </si>
  <si>
    <t xml:space="preserve">SHP C R 04          </t>
  </si>
  <si>
    <t xml:space="preserve">SP Barli 04          </t>
  </si>
  <si>
    <t>SHP Olymp Athena 04</t>
  </si>
  <si>
    <t xml:space="preserve">SP Thomas Uber 04   </t>
  </si>
  <si>
    <t xml:space="preserve">SP Harkitnas 04        </t>
  </si>
  <si>
    <t>SHP Lingkungan Hidup 04</t>
  </si>
  <si>
    <t xml:space="preserve">SP Ass Luka Bakar 04  </t>
  </si>
  <si>
    <t xml:space="preserve">SHP Pon XVI 04           </t>
  </si>
  <si>
    <t xml:space="preserve">SHP Pemilu 04             </t>
  </si>
  <si>
    <t>SHP Museum 04</t>
  </si>
  <si>
    <t>SP Thomas Cup</t>
  </si>
  <si>
    <t>SP Hari Jadi Jepara</t>
  </si>
  <si>
    <t xml:space="preserve">SHP C R 05          </t>
  </si>
  <si>
    <t xml:space="preserve">SHP 50 th KAA 05   </t>
  </si>
  <si>
    <t xml:space="preserve">SHP Ped.Lingkungan 05  </t>
  </si>
  <si>
    <t xml:space="preserve">SHP Zheng He 05          </t>
  </si>
  <si>
    <t xml:space="preserve">SHP Mak.Tradisional 05  </t>
  </si>
  <si>
    <t xml:space="preserve">SP Kereta Api 05          </t>
  </si>
  <si>
    <t xml:space="preserve">SP Zheng He 05           </t>
  </si>
  <si>
    <t>SP  TMII  05</t>
  </si>
  <si>
    <t xml:space="preserve">SHP Pres/Wapres 05   </t>
  </si>
  <si>
    <t xml:space="preserve">SHP Hemat Energi 05   </t>
  </si>
  <si>
    <t xml:space="preserve">SP Comdeka 05          </t>
  </si>
  <si>
    <t>SHP Kapal Borobudur 05</t>
  </si>
  <si>
    <t xml:space="preserve">SP Lok.Filateli 05           </t>
  </si>
  <si>
    <t xml:space="preserve">SHP Flora Fauna 05     </t>
  </si>
  <si>
    <t>SP Hari Habitat Sedunia</t>
  </si>
  <si>
    <t>SP Philip Kotler</t>
  </si>
  <si>
    <t xml:space="preserve">SHP Cerita Rakyat 06           </t>
  </si>
  <si>
    <t>SHP Piala Dunia 06</t>
  </si>
  <si>
    <t>SP Narkoba 06</t>
  </si>
  <si>
    <t>SHP Peduli Lingkungan 06</t>
  </si>
  <si>
    <t>SHP Makanan Tradisional 06</t>
  </si>
  <si>
    <t>SHP Jambore Nasional 06</t>
  </si>
  <si>
    <t>MC Jambore Nasional 06</t>
  </si>
  <si>
    <t>SHP Tokoh Nasional 06</t>
  </si>
  <si>
    <t>SP Kios Pos 06</t>
  </si>
  <si>
    <t>SP UNHAS 06</t>
  </si>
  <si>
    <t>SHP INA-SLOWAKIA 06</t>
  </si>
  <si>
    <t>SP Panfila Bd</t>
  </si>
  <si>
    <t>SP 250 Th Yogya</t>
  </si>
  <si>
    <t>SHP Kerajinan Indonesia</t>
  </si>
  <si>
    <t>SHP 12 Lambang Shio</t>
  </si>
  <si>
    <t>SHP/SS 12 Lambang Shio</t>
  </si>
  <si>
    <t>SHP terpadu Ina-China</t>
  </si>
  <si>
    <t>SHP prko Ina-China</t>
  </si>
  <si>
    <t>SHP SS Ina-China</t>
  </si>
  <si>
    <t>SHP Gemar Membaca</t>
  </si>
  <si>
    <t>SHP Peduli Lingkungan 07</t>
  </si>
  <si>
    <t>SHP SS  Peduli Lingkungan 07</t>
  </si>
  <si>
    <t>SP Unclimate Change Co nf.</t>
  </si>
  <si>
    <t>Blk Spl  Harry Potter</t>
  </si>
  <si>
    <t>SP Sepak Takrau 07</t>
  </si>
  <si>
    <t>SHP Anti Narkoba 07</t>
  </si>
  <si>
    <t>SHP Makanan Tradisional 07</t>
  </si>
  <si>
    <t>SP Bangkok 07</t>
  </si>
  <si>
    <t>SHP Omnibus 07</t>
  </si>
  <si>
    <t>SP Gedung Mahkon RI 07</t>
  </si>
  <si>
    <t>SHP Mercusuar 07</t>
  </si>
  <si>
    <t>SP Lokakarya Filateli 07</t>
  </si>
  <si>
    <t xml:space="preserve">SHP 50 th UNPAD.07   </t>
  </si>
  <si>
    <t xml:space="preserve">SHP Flora Fauna 07     </t>
  </si>
  <si>
    <t xml:space="preserve">SHP/SS Flora Fauna 07     </t>
  </si>
  <si>
    <t>SP Bandung filex(FF CT)</t>
  </si>
  <si>
    <t>SP Pres untk ibu Negara</t>
  </si>
  <si>
    <t>SHP Sea Games XXIV</t>
  </si>
  <si>
    <t>SHP 50 Th Dek Djuanda</t>
  </si>
  <si>
    <t>SP ANTARA KEM</t>
  </si>
  <si>
    <t xml:space="preserve">SP VISIT MUSI </t>
  </si>
  <si>
    <t>SP Ayo Ke Katr Pos</t>
  </si>
  <si>
    <t>SHP Shio Tikus</t>
  </si>
  <si>
    <t>SHPSS SHio Tikus</t>
  </si>
  <si>
    <t>SP 40 hari Wafat Pak Soeharto</t>
  </si>
  <si>
    <t>SP Pameran TAIPEI '08</t>
  </si>
  <si>
    <t>SP Visit Lampung 2008</t>
  </si>
  <si>
    <t>SHP Olympiade Beijing 08</t>
  </si>
  <si>
    <t>SP 50 Tahun BPHN</t>
  </si>
  <si>
    <t>SP Stamp Passion</t>
  </si>
  <si>
    <t>SP Obor Olympiade Beijing</t>
  </si>
  <si>
    <t>SHP Indonesia-Jepang</t>
  </si>
  <si>
    <t>SHP 100 Th. Harkitnas</t>
  </si>
  <si>
    <t>SP Bengkalis</t>
  </si>
  <si>
    <t>SP Indonesia-Kuba</t>
  </si>
  <si>
    <t>SP Mahasiswa Ked. UNHAS</t>
  </si>
  <si>
    <t>SHP Peduli Lingkungan</t>
  </si>
  <si>
    <t>SHP/SS Peduli Lingkungan</t>
  </si>
  <si>
    <t>SP Lingkungan Hidup di Bali</t>
  </si>
  <si>
    <t>SHP PON XVII 08</t>
  </si>
  <si>
    <t>SHP Makanan Tradisional 08</t>
  </si>
  <si>
    <t>SP Visit Musi Palembang</t>
  </si>
  <si>
    <t>SHP Lambang Prov. Bali</t>
  </si>
  <si>
    <t>SHP Lambang Prov. Gorontalo</t>
  </si>
  <si>
    <t>SHP Lambang Prov. Jabar</t>
  </si>
  <si>
    <t>SHP Lambang Prov. Jateng</t>
  </si>
  <si>
    <t>SHP Lambang Prov. Kalbar</t>
  </si>
  <si>
    <t>SHP Lambang Prov. Maluku</t>
  </si>
  <si>
    <t>SHP Lambang Prov. NAD</t>
  </si>
  <si>
    <t>SHP Lambang Prov. Papua</t>
  </si>
  <si>
    <t>SHP Lambang Prov. Riau</t>
  </si>
  <si>
    <t>SHP Lambang Prov. Sulbar</t>
  </si>
  <si>
    <t>SHP Lambang Prov. Sumbar</t>
  </si>
  <si>
    <t>SP Ayo ke Kantor Pos</t>
  </si>
  <si>
    <t>MC Lambang Prov. Bali</t>
  </si>
  <si>
    <t>MC Lambang Prov. Gorontalo</t>
  </si>
  <si>
    <t>MC Lambang Prov. Jabar</t>
  </si>
  <si>
    <t>MC Lambang Prov. Jateng</t>
  </si>
  <si>
    <t>MC Lambang Prov. Kalbar</t>
  </si>
  <si>
    <t>MC Lambang Prov. Maluku</t>
  </si>
  <si>
    <t>MC Lambang Prov. NAD</t>
  </si>
  <si>
    <t>MC Lambang Prov. Papua</t>
  </si>
  <si>
    <t>MC Lambang Prov. Riau</t>
  </si>
  <si>
    <t>MC Lambang Prov. Sulbar</t>
  </si>
  <si>
    <t>MC Lambang Prov. Sumbar</t>
  </si>
  <si>
    <t>SP 1 Abad Harkit Perempuan</t>
  </si>
  <si>
    <t>SHP Jalan Raya Pos</t>
  </si>
  <si>
    <t>SHP/SS Jalan Raya Pos</t>
  </si>
  <si>
    <t>Blko Spl Pameran Jakarta'08</t>
  </si>
  <si>
    <t>SHP JIS Ina- Turki 08</t>
  </si>
  <si>
    <t>SP Jambore ASEAN 08</t>
  </si>
  <si>
    <t>SHP Flora-Fauna 08</t>
  </si>
  <si>
    <t>SHP Cut Nyak Dien 08</t>
  </si>
  <si>
    <t>SHP Pulau 2 Kecil Telar 08</t>
  </si>
  <si>
    <t>SP Jakarta 08 (6 desain)</t>
  </si>
  <si>
    <t>SHP Shio Kerbau 09</t>
  </si>
  <si>
    <t>SHP/SS Shio Kerbau 09</t>
  </si>
  <si>
    <t>SHP 50 th ITB</t>
  </si>
  <si>
    <t>SHP PEMILU 2009</t>
  </si>
  <si>
    <t>SP Beruang Kutub</t>
  </si>
  <si>
    <t>SP China</t>
  </si>
  <si>
    <t>SP UGM</t>
  </si>
  <si>
    <t>Kem SP ADB  Bali</t>
  </si>
  <si>
    <t>SHP/SS Astronomi</t>
  </si>
  <si>
    <t>SHP/SS WOC</t>
  </si>
  <si>
    <t>SHP Jembatan Suramadu</t>
  </si>
  <si>
    <t>SHP/SS Jembatan Suramadu</t>
  </si>
  <si>
    <t>SP Pramuka Santri Nusantara</t>
  </si>
  <si>
    <t>SP Temu Pakar Pedalangan</t>
  </si>
  <si>
    <t>Karnet NapakTilas Jl. Raya Pos</t>
  </si>
  <si>
    <t>SHP Makanan TradisIonal 09</t>
  </si>
  <si>
    <t>SP Festival Borobudur 09</t>
  </si>
  <si>
    <t>SP Ayo Ke Kantor Pos</t>
  </si>
  <si>
    <t>SHP Burung 2009</t>
  </si>
  <si>
    <t>SHP Hari Anak Nasional</t>
  </si>
  <si>
    <t>SP Philakorea 09</t>
  </si>
  <si>
    <t>SP Bunaken (IFR)</t>
  </si>
  <si>
    <t>Max, Card Lambang Provinsi  09</t>
  </si>
  <si>
    <t>SHP Lambang Provinsi  09</t>
  </si>
  <si>
    <t>SP  999</t>
  </si>
  <si>
    <t>SHP Jis INA - SINGAPORE</t>
  </si>
  <si>
    <t>SHP Terpadu Ina-Singapore</t>
  </si>
  <si>
    <t>SHP Flora Fauna 09</t>
  </si>
  <si>
    <t>SP ATP Bali</t>
  </si>
  <si>
    <t>SHP JIS Ina- Iran</t>
  </si>
  <si>
    <t>SHP Terpadu JIS Ina-Iran</t>
  </si>
  <si>
    <t>SHP/SS Shio Macan</t>
  </si>
  <si>
    <t>SHP  Kegiatan Alam Terbuka</t>
  </si>
  <si>
    <t>SHP Warisan Budaya Tak Benda</t>
  </si>
  <si>
    <t>SHP/SS W. Budaya  Tak Benda</t>
  </si>
  <si>
    <t xml:space="preserve">SHP Piala Dunia </t>
  </si>
  <si>
    <t>SHP/SS  Peduli Lingkungan</t>
  </si>
  <si>
    <t>SHP  Muhammadiyah</t>
  </si>
  <si>
    <t>SHP Makanan Tradisional</t>
  </si>
  <si>
    <t>SP Sail Banda</t>
  </si>
  <si>
    <t>SHP Presiden dan Wapres RI</t>
  </si>
  <si>
    <t>SHP/SS Pres. Dan Wapres RI</t>
  </si>
  <si>
    <t>SP Indoesia-Belanda</t>
  </si>
  <si>
    <t>SHP   200 Th. Kota Bandung</t>
  </si>
  <si>
    <t>SHP/SS 200 Th. Kota Bandung</t>
  </si>
  <si>
    <t>SHP Kehidupan Bawah Laut</t>
  </si>
  <si>
    <t>SHP Flora dan Fauna (2)</t>
  </si>
  <si>
    <t>SHP Youth Olympic Games</t>
  </si>
  <si>
    <t>SP INA - CHINA '10</t>
  </si>
  <si>
    <t>SP INA - RUSIA '10</t>
  </si>
  <si>
    <t>SP Wirakarya '10</t>
  </si>
  <si>
    <t>SHP Lambang Prov- 3</t>
  </si>
  <si>
    <t>SHP Shio kelinci  2011</t>
  </si>
  <si>
    <t>SHP/SS Shio Kelinci 2011</t>
  </si>
  <si>
    <t>SHP Upacara Adat 2011</t>
  </si>
  <si>
    <t>Max, Card Upacara Adat</t>
  </si>
  <si>
    <t>SHP Tahun Kimia Internasional</t>
  </si>
  <si>
    <t>SP Panfila Yogyakarta</t>
  </si>
  <si>
    <t>SHP Internet Sehat dan Aman</t>
  </si>
  <si>
    <t>SP Taman  Mini</t>
  </si>
  <si>
    <t>SP Jamnas Palembang</t>
  </si>
  <si>
    <t>SP Philanipposn</t>
  </si>
  <si>
    <t>SHP Gerakan Pramuka</t>
  </si>
  <si>
    <t>SHP/SS Gerakan Pramuka</t>
  </si>
  <si>
    <t>SHP Gemar Ikan</t>
  </si>
  <si>
    <t>SHP Ina - Malaysia</t>
  </si>
  <si>
    <t>SP 265 Th. Pos Indonesia</t>
  </si>
  <si>
    <t>SHP Tokoh Nasional</t>
  </si>
  <si>
    <t>SP Pesta Rakyat Jabar</t>
  </si>
  <si>
    <t>SP 100 TH. KP Medan</t>
  </si>
  <si>
    <t>SHP TRIKORA</t>
  </si>
  <si>
    <t>SP PANFILA BANDUNG</t>
  </si>
  <si>
    <t>SHP SEA GAMES</t>
  </si>
  <si>
    <t>SHP JIS INA-AFSEL</t>
  </si>
  <si>
    <t>SP CHINA  2011</t>
  </si>
  <si>
    <t>SHP FLORA-FAUNA</t>
  </si>
  <si>
    <t>SHP/SS FLORA FAUNA</t>
  </si>
  <si>
    <t>KARTUPOS  11.111  a</t>
  </si>
  <si>
    <t>KARTUPOS  11.111  b</t>
  </si>
  <si>
    <t>KARTUPOS  11.111  c</t>
  </si>
  <si>
    <t>SP Desa Informasi  Pacitan</t>
  </si>
  <si>
    <t>SP Desa Informasi  Waris</t>
  </si>
  <si>
    <t>SP Desa Informasi  Labuha</t>
  </si>
  <si>
    <t>SHP Shio Naga 2012</t>
  </si>
  <si>
    <t>SHP PON XVIII Riau 2012</t>
  </si>
  <si>
    <t>SHP 50 th. APPU  2012</t>
  </si>
  <si>
    <t>SHP BURUNG TERANCAM PUNAH</t>
  </si>
  <si>
    <t>SHP MAKANAN TRAD</t>
  </si>
  <si>
    <t>SHP SIARAN TV</t>
  </si>
  <si>
    <t>SHP KEPANDUAN</t>
  </si>
  <si>
    <t>SHP BANGUNAN BERSEJARAH</t>
  </si>
  <si>
    <t>SHP FLORA FAUNA</t>
  </si>
  <si>
    <t>SP PADANG</t>
  </si>
  <si>
    <t>SP KPK</t>
  </si>
  <si>
    <t>SHP Pemilu</t>
  </si>
  <si>
    <t>SHP Tahun Kuda</t>
  </si>
  <si>
    <t>SHP SS Tahun Kuda</t>
  </si>
  <si>
    <t>SHP Alat Musik Tradisional 2014</t>
  </si>
  <si>
    <t>SHP 150th Prko Ind</t>
  </si>
  <si>
    <t>SHP PAUD</t>
  </si>
  <si>
    <t xml:space="preserve">Kemasan 50 th BI 03                </t>
  </si>
  <si>
    <t>Kemasan Tata Surya 2003</t>
  </si>
  <si>
    <t>Album th 2001</t>
  </si>
  <si>
    <t>Album Kemasan 1998</t>
  </si>
  <si>
    <t>Stamppack CR II 1999</t>
  </si>
  <si>
    <t>Stamppack UGM 1999</t>
  </si>
  <si>
    <t>Stamppack UI 2000</t>
  </si>
  <si>
    <t>Kemasan BK + Prangko</t>
  </si>
  <si>
    <t>Kemasan BK + Istana</t>
  </si>
  <si>
    <t>Kemasan Khusus BK 2001</t>
  </si>
  <si>
    <t>Album 100 Th BH 2002 + Coin</t>
  </si>
  <si>
    <t>Stamppack BH 2002</t>
  </si>
  <si>
    <t>Kem.12 Lambang Shio</t>
  </si>
  <si>
    <t>Kem Ina-China</t>
  </si>
  <si>
    <t>Blanko SP Harry Potter</t>
  </si>
  <si>
    <t>Map Kemasan Harry Potter</t>
  </si>
  <si>
    <t>Kemasan UNPAD</t>
  </si>
  <si>
    <t xml:space="preserve">Album Omnibus Asean </t>
  </si>
  <si>
    <t>Kem SP CT Ecophila</t>
  </si>
  <si>
    <t>Kem SS CT Ecophila</t>
  </si>
  <si>
    <t>Kem Prisma Looney Tunes</t>
  </si>
  <si>
    <t>Kem blankoPrisma Looney Tunes</t>
  </si>
  <si>
    <t>Album Asean 2003</t>
  </si>
  <si>
    <t>Kemasan Jelang Jakarta</t>
  </si>
  <si>
    <t>Kemasan Shio Tikus</t>
  </si>
  <si>
    <t>Kem. Sp Obor Olympiade Beijing</t>
  </si>
  <si>
    <t>Kemasan Ina-Kuba</t>
  </si>
  <si>
    <t>Kemasan Shio Kerbau 09</t>
  </si>
  <si>
    <t>Kemasan 50 Tahun ITB</t>
  </si>
  <si>
    <t>Kemasan  WOC</t>
  </si>
  <si>
    <t>Kemasan Burung</t>
  </si>
  <si>
    <t>Kemasan JIS Ina-Singapore</t>
  </si>
  <si>
    <t>Kemasan Shio Naga 2012</t>
  </si>
  <si>
    <t>Kemasan Ina - Korea</t>
  </si>
  <si>
    <t xml:space="preserve">Kemasan Pasukan Garuda </t>
  </si>
  <si>
    <t xml:space="preserve">Kemasan Shio Kuda </t>
  </si>
  <si>
    <t>Deluxe Sheet Panfila</t>
  </si>
  <si>
    <t>Gantungan Kunci JKT'08</t>
  </si>
  <si>
    <t>Celengan Bis Surat</t>
  </si>
  <si>
    <t>Katalog Prangko 2009</t>
  </si>
  <si>
    <t>Pinset</t>
  </si>
  <si>
    <t>Pigura Prisma Kecil</t>
  </si>
  <si>
    <t>Album Prangko Sisip</t>
  </si>
  <si>
    <t>Prisma Ulang Tahun 2003</t>
  </si>
  <si>
    <t>Prisma Ucapan Selamat biasa 2003</t>
  </si>
  <si>
    <t>Prisma Ikan KOI 2003</t>
  </si>
  <si>
    <t>Prisma Bunga Matahari 2003</t>
  </si>
  <si>
    <t>Hari Raya Islam 2006</t>
  </si>
  <si>
    <t>P. Jabatangan Nasional 072001-01</t>
  </si>
  <si>
    <t>P, Jabatangan Tradisional 072001-02</t>
  </si>
  <si>
    <t>P, Jabatangan Bendera 07,2001-03</t>
  </si>
  <si>
    <t>P, Jabatangan Bunga 07,2001-04</t>
  </si>
  <si>
    <t>Prisma Harfot Kel DA</t>
  </si>
  <si>
    <t>Prisma Harfot Kel OP</t>
  </si>
  <si>
    <t>Prisma Harfot Kel FF</t>
  </si>
  <si>
    <t>Prisma Harfot Kel DARK</t>
  </si>
  <si>
    <t>Seni Pertunjukan lbr 1</t>
  </si>
  <si>
    <t>Seni Pertunjukan lbr 2</t>
  </si>
  <si>
    <t>Seni Pertunjukan lbr 3</t>
  </si>
  <si>
    <t>Seni Pertunjukan lbr 4</t>
  </si>
  <si>
    <t>Prisma Looney Tunes lbr 1</t>
  </si>
  <si>
    <t>Prisma Looney Tunes lbr 2</t>
  </si>
  <si>
    <t>Prisma Looney Tunes lbr 3</t>
  </si>
  <si>
    <t>Prisma Looney Tunes lbr 4</t>
  </si>
  <si>
    <t>Prisma Tom and Jerry</t>
  </si>
  <si>
    <t>Prisma JT  Bendera 3 + Foto Gub Jabar</t>
  </si>
  <si>
    <t>- Seri Wisuda  2009</t>
  </si>
  <si>
    <t>- Seri Kelahiran 2009</t>
  </si>
  <si>
    <t>- Seri Pernikahan 2009</t>
  </si>
  <si>
    <t>- Seri Islami  2009</t>
  </si>
  <si>
    <t>Prisma 2009</t>
  </si>
  <si>
    <t>Prisma 2010</t>
  </si>
  <si>
    <t>- Paralayang</t>
  </si>
  <si>
    <t>- Panjat tebing</t>
  </si>
  <si>
    <t>- Flying Fox dan Meniti Tali</t>
  </si>
  <si>
    <t>Prisma JamNas Palembang :</t>
  </si>
  <si>
    <t>- Arung Jeram</t>
  </si>
  <si>
    <t>- Panjat Tebing</t>
  </si>
  <si>
    <t>Dokumen Filateli Shio Kuda</t>
  </si>
  <si>
    <t>Dokumen Filateli Alat Musik Tradisional Reguler</t>
  </si>
  <si>
    <t>Dokumen PAUD</t>
  </si>
  <si>
    <t>Dokumen  150 thn Prangko Ind'</t>
  </si>
  <si>
    <t>Dokumen Peduli Lingkungan Hidup</t>
  </si>
  <si>
    <t>SS 150thn Prangko</t>
  </si>
  <si>
    <t>JENIS BENDA FILATELI</t>
  </si>
  <si>
    <t>A.  Prangko</t>
  </si>
  <si>
    <t>F. Prangko Prisma</t>
  </si>
  <si>
    <t xml:space="preserve">JUMLAH </t>
  </si>
  <si>
    <t>B. MS dan SS</t>
  </si>
  <si>
    <t>C. SHP dan SHP/SS</t>
  </si>
  <si>
    <t>D. Kemasan</t>
  </si>
  <si>
    <t>E. Merchandise</t>
  </si>
  <si>
    <t>G. Dokumen Filateli</t>
  </si>
  <si>
    <t>Dibuat oleh</t>
  </si>
  <si>
    <t>Mengetahui</t>
  </si>
  <si>
    <t>Manajer Distribusi dan Persediaan</t>
  </si>
  <si>
    <t>Burung Air / Pantai IND</t>
  </si>
  <si>
    <t xml:space="preserve">Ibu Negara </t>
  </si>
  <si>
    <t>Penanggalan Aksara</t>
  </si>
  <si>
    <t xml:space="preserve">MS Burung Air </t>
  </si>
  <si>
    <t>SHP Flora Fauna</t>
  </si>
  <si>
    <t>SHP SS Flora Fauna</t>
  </si>
  <si>
    <t>SHP Burung Air</t>
  </si>
  <si>
    <t>Kemasan Ibu Negara</t>
  </si>
  <si>
    <t>PRISMA BINGKAI BENDERA</t>
  </si>
  <si>
    <t>PRISMA BINGKAI TRADISIONAL</t>
  </si>
  <si>
    <t xml:space="preserve">Dokumen Burung Air </t>
  </si>
  <si>
    <t>Dokumen Ibu Negara</t>
  </si>
  <si>
    <t>Dokumen 125 tahun paleontropologi</t>
  </si>
  <si>
    <t>Dokumen Aksara IND</t>
  </si>
  <si>
    <t>Dokumen Layanan Pos</t>
  </si>
  <si>
    <t>Prko 125 thn Paleontropolg</t>
  </si>
  <si>
    <t>Prko HUT TNI ke 69</t>
  </si>
  <si>
    <t>Prko Flora Fauna'</t>
  </si>
  <si>
    <t>Prko Kesehatan</t>
  </si>
  <si>
    <t>Prko Jembatan</t>
  </si>
  <si>
    <t>SS Malaysia</t>
  </si>
  <si>
    <t>SHP Ibu Negara</t>
  </si>
  <si>
    <t>SHP 125 th Paleontroplg</t>
  </si>
  <si>
    <t>SHP Hari Aksara Trad</t>
  </si>
  <si>
    <t>SHP Layananpos</t>
  </si>
  <si>
    <t>SHP HUT TNI ke 69</t>
  </si>
  <si>
    <t>SHP Hari Kesehatan</t>
  </si>
  <si>
    <t>SP Malaysia</t>
  </si>
  <si>
    <t xml:space="preserve">SHP Jembatan </t>
  </si>
  <si>
    <t>Dokumen Flora Fauna</t>
  </si>
  <si>
    <t>Dokmen Hari Kesehatan</t>
  </si>
  <si>
    <t>Dokumen Filateli Malaysia</t>
  </si>
  <si>
    <t>Dokumen HUT TNI ke 69</t>
  </si>
  <si>
    <t>Dokumen Jembatan</t>
  </si>
  <si>
    <t>Dokumen Pemilu</t>
  </si>
  <si>
    <t>REKAP STOK AKHIR BENDA FILATELI GUDANG PUSAT</t>
  </si>
  <si>
    <t>Pengeluaran</t>
  </si>
  <si>
    <t>Prangko Shio Kambing</t>
  </si>
  <si>
    <t>Prangko Jis Ina/Korut</t>
  </si>
  <si>
    <t>Prangko Kalimantan Utara</t>
  </si>
  <si>
    <t>Prangko Peduli Lingkungan</t>
  </si>
  <si>
    <t xml:space="preserve">MS Kambing </t>
  </si>
  <si>
    <t>SS Kambing</t>
  </si>
  <si>
    <t>SHP Shio KAMBING</t>
  </si>
  <si>
    <t>SHP/SS Shio KAMBING</t>
  </si>
  <si>
    <t>Kemasan Kambing</t>
  </si>
  <si>
    <t>DOKUMEN SHIO KAMBING</t>
  </si>
  <si>
    <t>Penerimaan</t>
  </si>
  <si>
    <t>Jumlah</t>
  </si>
  <si>
    <t>Nilai Instrinsik</t>
  </si>
  <si>
    <t>Bsu</t>
  </si>
  <si>
    <t>SHP AlatMusik Trad</t>
  </si>
  <si>
    <t>SHP Jis Ina / Korut</t>
  </si>
  <si>
    <t>SHP Kalimantan Utara</t>
  </si>
  <si>
    <t>DOKUMEN ALAT MUSIK TRAD</t>
  </si>
  <si>
    <t>DOKUMEN P BENCANA</t>
  </si>
  <si>
    <t>DOKUMEN JIS INA/KORUT</t>
  </si>
  <si>
    <t>DOKUMEN KALIMANTAN UTARA</t>
  </si>
  <si>
    <t>DOKUMEN PEDULI LINGKUNGAN</t>
  </si>
  <si>
    <t>Prangko Jambore Pramuka</t>
  </si>
  <si>
    <t>Prangko JIS Asean</t>
  </si>
  <si>
    <t>SHP Jambore Dunia</t>
  </si>
  <si>
    <t>DOKUMEN JAMBORE PRAMUKA DUNIA</t>
  </si>
  <si>
    <t>Jumlah dokumen 2015</t>
  </si>
  <si>
    <t>Jumlah dokumen SD 2015</t>
  </si>
  <si>
    <t>Prangko Pres dan Wapres</t>
  </si>
  <si>
    <t>Prangko DPR ke 70 thn</t>
  </si>
  <si>
    <t>SS Singapore</t>
  </si>
  <si>
    <t>SP Singapore</t>
  </si>
  <si>
    <t>SHP Pres dan Wapres</t>
  </si>
  <si>
    <t>SHP DPR 70 thn</t>
  </si>
  <si>
    <t>Kemasan JIS Asean</t>
  </si>
  <si>
    <t>DOKUMEN JIS ASEAN</t>
  </si>
  <si>
    <t>DOKUMEN SINGAPURA</t>
  </si>
  <si>
    <t>DOKUMEN PRES DAN WAPRES</t>
  </si>
  <si>
    <t>DOKUMEN DPR 70 TAHUN</t>
  </si>
  <si>
    <t>Prangko 70 thn PMI</t>
  </si>
  <si>
    <t>Dokumen 70 thn PMI</t>
  </si>
  <si>
    <t>SHP JIS Asean</t>
  </si>
  <si>
    <t>SHP PMI</t>
  </si>
  <si>
    <t>SHP Peduli Lingkungan 2012</t>
  </si>
  <si>
    <t>SP Laskar Pelangi</t>
  </si>
  <si>
    <t>Kemasan Koi</t>
  </si>
  <si>
    <t>Prangko Hapsak</t>
  </si>
  <si>
    <t>Prangko Industri Pertahanan</t>
  </si>
  <si>
    <t>SHP 50thn Hapsak</t>
  </si>
  <si>
    <t>SHP Kebangkitan Ind Pth</t>
  </si>
  <si>
    <t>Dokumen Hapsak</t>
  </si>
  <si>
    <t>Dokumen Kebangkitan Industri Pthnan</t>
  </si>
  <si>
    <t>Prangko Flora Fauna</t>
  </si>
  <si>
    <t>SP Panfila Sby</t>
  </si>
  <si>
    <t>TEDDY EKO PRIHAKSONO</t>
  </si>
  <si>
    <t>Nippos 964216401</t>
  </si>
  <si>
    <t>SRIYADI BASUKI</t>
  </si>
  <si>
    <t>Nippos 973351664</t>
  </si>
  <si>
    <t>MINISHEET</t>
  </si>
  <si>
    <t>Biaya Cetak</t>
  </si>
  <si>
    <t>9 = (2x8)</t>
  </si>
  <si>
    <t>8 = (6-7)</t>
  </si>
  <si>
    <t>6 = (4+5)</t>
  </si>
  <si>
    <t>10 = (3x8)</t>
  </si>
  <si>
    <t>Hemat Energi</t>
  </si>
  <si>
    <t>A. PRANGKO</t>
  </si>
  <si>
    <t>PRANGKO TAHUN 2003</t>
  </si>
  <si>
    <t>No</t>
  </si>
  <si>
    <t>Jumlah Tahun 2003</t>
  </si>
  <si>
    <t>PRANGKO TAHUN 2004</t>
  </si>
  <si>
    <t>Jumlah Tahun 2004</t>
  </si>
  <si>
    <t>PRANGKO TAHUN 2005</t>
  </si>
  <si>
    <t>Jumlah Tahun 2005</t>
  </si>
  <si>
    <t>PRANGKO TAHUN 2006</t>
  </si>
  <si>
    <t>Jumlah Tahun 2006</t>
  </si>
  <si>
    <t>PRANGKO TAHUN 2007</t>
  </si>
  <si>
    <t>Jumlah Tahun 2007</t>
  </si>
  <si>
    <t>PRANGKO TAHUN 2008</t>
  </si>
  <si>
    <t>PRANGKO TAHUN 2009</t>
  </si>
  <si>
    <t>Jumlah Tahun 2008</t>
  </si>
  <si>
    <t>Jumlah Tahun 2009</t>
  </si>
  <si>
    <t>PRANGKO TAHUN 2010</t>
  </si>
  <si>
    <t>PRANGKO TAHUN 2011</t>
  </si>
  <si>
    <t>Jumlah Tahun 2010</t>
  </si>
  <si>
    <t>Jumlah Tahun 2011</t>
  </si>
  <si>
    <t>PRANGKO TAHUN 2012</t>
  </si>
  <si>
    <t>Jumlah Tahun 2012</t>
  </si>
  <si>
    <t>PRANGKO TAHUN 2013</t>
  </si>
  <si>
    <t>PRKO TAHUN ULAR 2564</t>
  </si>
  <si>
    <t>PRKO JIS IND-MEXICO</t>
  </si>
  <si>
    <t>PRKO KIHAJAR DEWANTORO</t>
  </si>
  <si>
    <t>PRKO PEDULI LINGK</t>
  </si>
  <si>
    <t>PRKO. LEM. PURBAKALA</t>
  </si>
  <si>
    <t>PRKO PMI</t>
  </si>
  <si>
    <t>Jumlah Tahun 2013</t>
  </si>
  <si>
    <t>PRANGKO TAHUN 2014</t>
  </si>
  <si>
    <t xml:space="preserve">Jumlah Tahun 2014 </t>
  </si>
  <si>
    <t>PRANGKO TAHUN 2015</t>
  </si>
  <si>
    <t>Jumlah Tahun 2015</t>
  </si>
  <si>
    <t>TAHUN 2003 (SS)</t>
  </si>
  <si>
    <t>Jumlah SS Tahun 2003</t>
  </si>
  <si>
    <t>TAHUN 2003 (MS)</t>
  </si>
  <si>
    <t>Jumlah MS Tahun 2003</t>
  </si>
  <si>
    <t>SS Lingkungan Hidup</t>
  </si>
  <si>
    <t>TAHUN 2004</t>
  </si>
  <si>
    <t>Jumlah SS Tahun 2004</t>
  </si>
  <si>
    <t>TAHUN 2005</t>
  </si>
  <si>
    <t>Jumlah SS Tahun 2005</t>
  </si>
  <si>
    <t>TAHUN 2006</t>
  </si>
  <si>
    <t>Jumlah SS Tahun 2006</t>
  </si>
  <si>
    <t>TAHUN 2007</t>
  </si>
  <si>
    <t>Jumlah SS Tahun 2007</t>
  </si>
  <si>
    <t>Jumlah SS Tahun 2008</t>
  </si>
  <si>
    <t>TAHUN 2008</t>
  </si>
  <si>
    <t>TAHUN 2010</t>
  </si>
  <si>
    <t>Jumlah SS Tahun 2010</t>
  </si>
  <si>
    <t>TAHUN 2011</t>
  </si>
  <si>
    <t>Jumlah SS Tahun 2011</t>
  </si>
  <si>
    <t>Uralian</t>
  </si>
  <si>
    <t>TAHUN 2009</t>
  </si>
  <si>
    <t>TAHUN 2012</t>
  </si>
  <si>
    <t>TAHUN 2013</t>
  </si>
  <si>
    <t>TAHUN 2014</t>
  </si>
  <si>
    <t>TAHUN 2015</t>
  </si>
  <si>
    <t xml:space="preserve">TAHUN 2003 </t>
  </si>
  <si>
    <t xml:space="preserve">TAHUN 2015 </t>
  </si>
  <si>
    <t xml:space="preserve">B.  MINI SHEET (MS) DAN SOUVENIR SHEET (SS)  </t>
  </si>
  <si>
    <t>D. KEMASAN</t>
  </si>
  <si>
    <t>Jumlah  s.d Tahun 2005</t>
  </si>
  <si>
    <t>Jumlah Tahun 2014</t>
  </si>
  <si>
    <t>E. MERCHANDISE</t>
  </si>
  <si>
    <t xml:space="preserve">Jumlah s.d Tahun 2009 </t>
  </si>
  <si>
    <t>F. PRISMA</t>
  </si>
  <si>
    <t>Jumlah s.d Tahun 2005</t>
  </si>
  <si>
    <t>Jumlah  Tahun 2006 s/d 2009 :</t>
  </si>
  <si>
    <t xml:space="preserve">Jumlah  Tahun 2009 </t>
  </si>
  <si>
    <t>Jumlah Tahun 2010 dan 2013</t>
  </si>
  <si>
    <t xml:space="preserve">TOTAL PRISMA </t>
  </si>
  <si>
    <t>G. DOKUMEN FILATELI</t>
  </si>
  <si>
    <t>PRANGKO TAHUN 2016</t>
  </si>
  <si>
    <t>Jumlah Tahun 2016</t>
  </si>
  <si>
    <t>SS Cerita Rakyat 04</t>
  </si>
  <si>
    <t>Cerita Rakyat 06</t>
  </si>
  <si>
    <t>SS Penangulangan Bencana</t>
  </si>
  <si>
    <t>SS Panfila sb</t>
  </si>
  <si>
    <t>MS Kambing Special Edisi</t>
  </si>
  <si>
    <t>TAHUN 2016</t>
  </si>
  <si>
    <t>Stamppack Tata Surya 01</t>
  </si>
  <si>
    <t>Album Detik2 Proklamasi BH 02</t>
  </si>
  <si>
    <t>Kmsn Tematik Reformasi 01</t>
  </si>
  <si>
    <t>Kmsn Khusus Shio Naga 12</t>
  </si>
  <si>
    <t>kmsn Edisi Khusus Kain 12</t>
  </si>
  <si>
    <t>Buku Kmsn Perangko 2011</t>
  </si>
  <si>
    <t>SHP Prko Astronomi</t>
  </si>
  <si>
    <t>SHP Prko WOC</t>
  </si>
  <si>
    <t>SHP SHIO ULAR</t>
  </si>
  <si>
    <t>SHP SS SHIO ULAR</t>
  </si>
  <si>
    <t>SHP RATU BOKO</t>
  </si>
  <si>
    <t>SP INDONESIA FASHION WEEK</t>
  </si>
  <si>
    <t>SP DAHLAN ISKAN</t>
  </si>
  <si>
    <t>SHP ALAT MUSIK TRAD</t>
  </si>
  <si>
    <t>SHP JIS INA-MEXICO</t>
  </si>
  <si>
    <t>SHP PEDULI LINGK</t>
  </si>
  <si>
    <t>SHP PURBAKALA</t>
  </si>
  <si>
    <t>SHP IND-AUSTRALIA</t>
  </si>
  <si>
    <t>SHP KIHAJAR DEWANTORO</t>
  </si>
  <si>
    <t>SHP IRIAN BARAT</t>
  </si>
  <si>
    <t>SHP PMI (HANRY DUNANT)</t>
  </si>
  <si>
    <t>SHP INA-KOREA</t>
  </si>
  <si>
    <t>SHP Penanggulangan Bencana</t>
  </si>
  <si>
    <t>SS TAHUN ULAR 2564</t>
  </si>
  <si>
    <t>MS TAHUN ULAR 2564</t>
  </si>
  <si>
    <t>SS AUSTRALIA</t>
  </si>
  <si>
    <t>SS PEDULI LINGK</t>
  </si>
  <si>
    <t>SS LEM. PURBAKALA</t>
  </si>
  <si>
    <t>SS THAILAND</t>
  </si>
  <si>
    <t>Kmsn Prko Kehidupan Bawah Laut</t>
  </si>
  <si>
    <t xml:space="preserve">Kmsn Khusus Shio Kelinci </t>
  </si>
  <si>
    <t>Jumlah dokumen 2016</t>
  </si>
  <si>
    <r>
      <t xml:space="preserve">- Seri Selebrasi  2009 </t>
    </r>
    <r>
      <rPr>
        <i/>
        <sz val="11"/>
        <rFont val="Calibri"/>
        <family val="2"/>
        <scheme val="minor"/>
      </rPr>
      <t>ulang tahun</t>
    </r>
  </si>
  <si>
    <r>
      <t>Kmsn th 2001</t>
    </r>
    <r>
      <rPr>
        <i/>
        <sz val="11"/>
        <rFont val="Calibri"/>
        <family val="2"/>
        <scheme val="minor"/>
      </rPr>
      <t xml:space="preserve"> ind stamp</t>
    </r>
  </si>
  <si>
    <r>
      <t>Kmsn Khusus Batik #3</t>
    </r>
    <r>
      <rPr>
        <i/>
        <sz val="10"/>
        <rFont val="Calibri"/>
        <family val="2"/>
        <scheme val="minor"/>
      </rPr>
      <t xml:space="preserve"> sb</t>
    </r>
  </si>
  <si>
    <r>
      <t>SP KOPERASI 07</t>
    </r>
    <r>
      <rPr>
        <i/>
        <sz val="11"/>
        <color theme="1"/>
        <rFont val="Calibri"/>
        <family val="2"/>
        <scheme val="minor"/>
      </rPr>
      <t xml:space="preserve"> nusantara</t>
    </r>
  </si>
  <si>
    <t>Indonesia-Slowakia 06</t>
  </si>
  <si>
    <r>
      <t xml:space="preserve">12 Lambang Shio </t>
    </r>
    <r>
      <rPr>
        <i/>
        <sz val="11"/>
        <rFont val="Calibri"/>
        <family val="2"/>
        <scheme val="minor"/>
      </rPr>
      <t>ss</t>
    </r>
  </si>
  <si>
    <t>Shio Macan MS</t>
  </si>
  <si>
    <t>SS KAIN TRAD bali</t>
  </si>
  <si>
    <t>SS Flora Fauna (2)</t>
  </si>
  <si>
    <t>Kain Trad Indonesia bali keping</t>
  </si>
  <si>
    <t>PRKO RATU BOKO (keping)</t>
  </si>
  <si>
    <t>PRKO 50 th IRIAN BARAT (keping</t>
  </si>
  <si>
    <t>Fp Disper Prangko &amp; Filateli</t>
  </si>
  <si>
    <t>Daerah Tujuan Wisata (4)</t>
  </si>
  <si>
    <t>Tahun Monyet (3)</t>
  </si>
  <si>
    <t xml:space="preserve">SS Daerah Tujuan Wisata </t>
  </si>
  <si>
    <t xml:space="preserve">Shp Daerah Tujuan Wisata </t>
  </si>
  <si>
    <t>Daerah Tujuan Wisata</t>
  </si>
  <si>
    <t>UTK SALDO AWAL Copy value</t>
  </si>
  <si>
    <t>SS Tahun Monyet</t>
  </si>
  <si>
    <t>MS Tahun Monyet</t>
  </si>
  <si>
    <t>KTP Thn Monyet</t>
  </si>
  <si>
    <t>KTP Doraemon</t>
  </si>
  <si>
    <t>Shp Prko Thn Monyet</t>
  </si>
  <si>
    <t>Shp SS Thn Monyet</t>
  </si>
  <si>
    <t>Gerhana Matahari Total (3)</t>
  </si>
  <si>
    <t>SS Gerhana Matahari Total</t>
  </si>
  <si>
    <r>
      <t xml:space="preserve">SHP </t>
    </r>
    <r>
      <rPr>
        <sz val="8"/>
        <color theme="1"/>
        <rFont val="Calibri"/>
        <family val="2"/>
        <scheme val="minor"/>
      </rPr>
      <t>Gerhana Matahari Total</t>
    </r>
  </si>
  <si>
    <t>Kmsn edsus Thn Monyet</t>
  </si>
  <si>
    <t>Kemasan DTW</t>
  </si>
  <si>
    <t>Kmsn Gerhana M T</t>
  </si>
  <si>
    <t xml:space="preserve">SP Bkkbn </t>
  </si>
  <si>
    <t>Kmsn Komodo Exercise</t>
  </si>
  <si>
    <t>KTP GMT + Prangko</t>
  </si>
  <si>
    <t>KTP GMT tanpa prko</t>
  </si>
  <si>
    <t>KTP GMT KOIN</t>
  </si>
  <si>
    <t>Kmsn Thn Monyet</t>
  </si>
  <si>
    <t>Tahun Monyet</t>
  </si>
  <si>
    <t>Gerhana Matahari Total</t>
  </si>
  <si>
    <t>SS GMT Total + KACAMATA</t>
  </si>
  <si>
    <t>SP Palembang</t>
  </si>
  <si>
    <t>SP Bangka Tengah</t>
  </si>
  <si>
    <t>MS JIS Ina-Thailand</t>
  </si>
  <si>
    <t>SS JIS Ina-Thailand</t>
  </si>
  <si>
    <t>ms imperf thn monyet</t>
  </si>
  <si>
    <t>folder 70 thn pendidikan tekhnik ugm 2016</t>
  </si>
  <si>
    <t>sp 70 thn pendidikan tekhnik ugm 2016</t>
  </si>
  <si>
    <t>SHP GMT Tanpa Prko</t>
  </si>
  <si>
    <t>SHP Jis Ina-Thailan</t>
  </si>
  <si>
    <t xml:space="preserve">Kmsn KTP Doraemon </t>
  </si>
  <si>
    <t>Kmsn prisma kucing</t>
  </si>
  <si>
    <t>Kmsn KTP Kucing</t>
  </si>
  <si>
    <t>PRISMA BINGKAI BENDERA POLOS</t>
  </si>
  <si>
    <t>SHP Jis Ina-Thailan tanpa prko</t>
  </si>
  <si>
    <t>kmsn prisma Doraemon</t>
  </si>
  <si>
    <t>JIS Ina - Thailand</t>
  </si>
  <si>
    <t>Kmsn Jis Ina Thailand</t>
  </si>
  <si>
    <t>KTP Doraemon Tanpa Prko</t>
  </si>
  <si>
    <t>kartu lebaran 2016</t>
  </si>
  <si>
    <t>Prko Flora Fauna (hiu)</t>
  </si>
  <si>
    <t>SP peduli linkungan 2016</t>
  </si>
  <si>
    <t>kmsn PMR Jumbara</t>
  </si>
  <si>
    <t>value</t>
  </si>
  <si>
    <t>MS Pon XIX</t>
  </si>
  <si>
    <t>SS Pon XIX</t>
  </si>
  <si>
    <t>SHP Pon XIX</t>
  </si>
  <si>
    <t>KTP Pon XIX</t>
  </si>
  <si>
    <t xml:space="preserve">Rempah rempah </t>
  </si>
  <si>
    <t>SHP Rempah rempah</t>
  </si>
  <si>
    <t>KTP Rempah rempah</t>
  </si>
  <si>
    <t>SS Satelit Indonesia</t>
  </si>
  <si>
    <t>SHP Satelit Indonesia</t>
  </si>
  <si>
    <t>Prisma Ulang Tahun 2003 f10</t>
  </si>
  <si>
    <t>kmsn edsus #5 jelang bd 2017</t>
  </si>
  <si>
    <t>SP Peduli Linkungan 2016</t>
  </si>
  <si>
    <t>SP Jamnas 2016</t>
  </si>
  <si>
    <t>SP 270th POS Indonesia</t>
  </si>
  <si>
    <t>SP 2016th Kota Bandung</t>
  </si>
  <si>
    <t>SS Philataipei</t>
  </si>
  <si>
    <t>SP Philathaipei</t>
  </si>
  <si>
    <t>FULLSHEET KAIN TRAD (jkt)</t>
  </si>
  <si>
    <t>Kmsn Prko 2013 (dokfil)</t>
  </si>
  <si>
    <t>SS Kain Trad. Reguler #7 jkt</t>
  </si>
  <si>
    <t>SS Kain Batik Tradisional (ms sb)</t>
  </si>
  <si>
    <t>MS Kain Tradisional bali</t>
  </si>
  <si>
    <t>MS KAN TRAD #7 jkt</t>
  </si>
  <si>
    <t>SHP Kain Tradisional 8x200</t>
  </si>
  <si>
    <t>Ss flora fauna 2016</t>
  </si>
  <si>
    <t>SHP Flora Fauna 2016</t>
  </si>
  <si>
    <t>KTP Flora fauna 2016</t>
  </si>
  <si>
    <t>Prangko Penanggulangan Bencana</t>
  </si>
  <si>
    <t>SS Panfila Yogyakarta</t>
  </si>
  <si>
    <t>KTP bergambar 2013</t>
  </si>
  <si>
    <t>ms imperf Bandung Thailand  night</t>
  </si>
  <si>
    <t>SS JIS Ina-Thailand (CT) 2016</t>
  </si>
  <si>
    <t>kmsn 70 th DPR RI</t>
  </si>
  <si>
    <t>Kmsn Putri gading cempaka 2003</t>
  </si>
  <si>
    <t>Kmsn proklamator kemerdekaan 02</t>
  </si>
  <si>
    <t>Kemasan BK + Rakyat</t>
  </si>
  <si>
    <t>Kemasan BK + arsitektur</t>
  </si>
  <si>
    <t>Album 1 Abad B K + Coin</t>
  </si>
  <si>
    <t>Hiasan Magnet-Gunungan</t>
  </si>
  <si>
    <t>GANTUNGAN KUNCI</t>
  </si>
  <si>
    <t>GANTUNGAN KUNCI METAL</t>
  </si>
  <si>
    <t>Replika Bis Surat</t>
  </si>
  <si>
    <t>DOMPET MODEL SURAT</t>
  </si>
  <si>
    <t>Buku 150Th Prko Ind</t>
  </si>
  <si>
    <t>Satelit Indonesia (rp4000x6)</t>
  </si>
  <si>
    <t>SP Panfila YK tanpa prko</t>
  </si>
  <si>
    <t>Kaos Satelit Indonesia</t>
  </si>
  <si>
    <t>Petugas Pemeriksa</t>
  </si>
  <si>
    <t>Nippos</t>
  </si>
  <si>
    <t>PRANGKO TAHUN 2017</t>
  </si>
  <si>
    <t>Jumlah Tahun 2017</t>
  </si>
  <si>
    <t>TAHUN 2017</t>
  </si>
  <si>
    <t>Jumlah s.d Tahun 2017</t>
  </si>
  <si>
    <t>Jumlah SHP 2003 sd 2017</t>
  </si>
  <si>
    <t>Jumlah Total Ms dan SS s.d 2017</t>
  </si>
  <si>
    <t>JUMLAH  Th. 2003 S.D. 2017</t>
  </si>
  <si>
    <t>SS FLORA FAUNA (kuskus)</t>
  </si>
  <si>
    <t>Shio Ayam (rp3.000x3kpg)</t>
  </si>
  <si>
    <t>MS Shio Ayam</t>
  </si>
  <si>
    <t>SS Shio Ayam</t>
  </si>
  <si>
    <t>SHP Prko Shio Ayam</t>
  </si>
  <si>
    <t>SHP SS Shio Ayam</t>
  </si>
  <si>
    <t>KTP Shio Ayam</t>
  </si>
  <si>
    <t>KTP DTW</t>
  </si>
  <si>
    <t>MSDaerah Tujuan Wisata</t>
  </si>
  <si>
    <t>SS Daerah Tujuan Wisata</t>
  </si>
  <si>
    <t>SHP Daerah Tujuan Wisata</t>
  </si>
  <si>
    <t>Ms flora fauna 2016 (kupu kupu)</t>
  </si>
  <si>
    <t>KTP Floating Market</t>
  </si>
  <si>
    <t>kmsn #5 shio ayam 2017</t>
  </si>
  <si>
    <t>MS Shio Ayam CT</t>
  </si>
  <si>
    <t>ms kebebasan pers 2017</t>
  </si>
  <si>
    <t>shp kebebasan pers 2017</t>
  </si>
  <si>
    <t>Kebebasan pers 2017 (2 kpg)</t>
  </si>
  <si>
    <t>200 thn Pattimura</t>
  </si>
  <si>
    <t>shp 200 thn pattimura</t>
  </si>
  <si>
    <t>SS dua abad kebon raya bogor</t>
  </si>
  <si>
    <t>MS dua abad kebon raya bogor</t>
  </si>
  <si>
    <t>SHP dua abad KRB</t>
  </si>
  <si>
    <t>PRISMA POLOS (4 KEPING)</t>
  </si>
  <si>
    <t>PRISMA POLOS (6 KEPING)</t>
  </si>
  <si>
    <t>mei 2017</t>
  </si>
  <si>
    <t>Bandung, 31 Juni 2017</t>
  </si>
  <si>
    <t>100th lion club (2 kpg)</t>
  </si>
  <si>
    <t>SHP 100th Lion Club</t>
  </si>
  <si>
    <t>KTP Kebun Raya Bogor</t>
  </si>
  <si>
    <r>
      <t xml:space="preserve">MS Daerah Tujuan Wisata </t>
    </r>
    <r>
      <rPr>
        <b/>
        <sz val="11"/>
        <color theme="1"/>
        <rFont val="Calibri"/>
        <family val="2"/>
        <scheme val="minor"/>
      </rPr>
      <t>CT</t>
    </r>
  </si>
  <si>
    <t>Peduli Lingkungan (2 kpg)</t>
  </si>
  <si>
    <t>SHP SS peduli lingkungan</t>
  </si>
  <si>
    <t>SHP Prko peduli lingkungan</t>
  </si>
  <si>
    <t>SS Presiden dan Wapres (set x 2)</t>
  </si>
  <si>
    <r>
      <t xml:space="preserve">Juni </t>
    </r>
    <r>
      <rPr>
        <b/>
        <sz val="11"/>
        <rFont val="Arial"/>
        <family val="2"/>
      </rPr>
      <t>2017</t>
    </r>
  </si>
  <si>
    <t>Nama Kantor</t>
  </si>
  <si>
    <t>Bandung</t>
  </si>
  <si>
    <t>Pontianak</t>
  </si>
  <si>
    <t>Kutacane 87</t>
  </si>
  <si>
    <t>probolinggo 75</t>
  </si>
  <si>
    <t>solok 88</t>
  </si>
  <si>
    <t>timika 118</t>
  </si>
  <si>
    <t>sorong 243</t>
  </si>
  <si>
    <t>bima 124</t>
  </si>
  <si>
    <t>tanjung pinang 53</t>
  </si>
  <si>
    <t>pontianak 235</t>
  </si>
  <si>
    <t>cianjur 89</t>
  </si>
  <si>
    <t>cilegon 60</t>
  </si>
  <si>
    <t>palembang 95</t>
  </si>
  <si>
    <t>pg 95</t>
  </si>
  <si>
    <t>bd 180</t>
  </si>
  <si>
    <t>merauke 139</t>
  </si>
  <si>
    <t>kutacane 87</t>
  </si>
  <si>
    <t>binjai 118</t>
  </si>
  <si>
    <t>kisaran 302</t>
  </si>
  <si>
    <t>cilegon 59</t>
  </si>
  <si>
    <t>wonogiri 209</t>
  </si>
  <si>
    <t>watampone 87</t>
  </si>
  <si>
    <t>padang 118</t>
  </si>
  <si>
    <t>batam 126</t>
  </si>
  <si>
    <t>sawahlunto 302</t>
  </si>
  <si>
    <t>payakumboh 113</t>
  </si>
  <si>
    <t>banda aceh 127</t>
  </si>
  <si>
    <t>gorontalo 60</t>
  </si>
  <si>
    <t>tasikmalaya 124</t>
  </si>
  <si>
    <t>blitar 183</t>
  </si>
  <si>
    <t>ambon 254</t>
  </si>
  <si>
    <t>wonosobo 139</t>
  </si>
  <si>
    <t>Kain 24 provisi</t>
  </si>
  <si>
    <t>bandung 181</t>
  </si>
  <si>
    <t>makasar 63</t>
  </si>
  <si>
    <t>padang 120</t>
  </si>
  <si>
    <t>bogor 58</t>
  </si>
  <si>
    <t>pangkalpinang 51</t>
  </si>
  <si>
    <t>sawahlunto 342</t>
  </si>
  <si>
    <t>pgp 51</t>
  </si>
  <si>
    <t>blitar 102</t>
  </si>
  <si>
    <t>watampone 88</t>
  </si>
  <si>
    <t>biak 220</t>
  </si>
  <si>
    <t>lhokseumawe 94</t>
  </si>
  <si>
    <t>baubau -</t>
  </si>
  <si>
    <t>purbalingga 113</t>
  </si>
  <si>
    <t>payakumbuh 113</t>
  </si>
  <si>
    <t>sawah lunto 320</t>
  </si>
  <si>
    <t>sawah lunto 302</t>
  </si>
  <si>
    <t>bangunan ibadah</t>
  </si>
  <si>
    <t>tapaktuan 102</t>
  </si>
  <si>
    <t>bogor 51</t>
  </si>
  <si>
    <t>-</t>
  </si>
  <si>
    <t>tapak tuan 102</t>
  </si>
  <si>
    <t>timika 119</t>
  </si>
  <si>
    <t>ambon 25</t>
  </si>
  <si>
    <t>biak 20</t>
  </si>
  <si>
    <t>bogo 57</t>
  </si>
  <si>
    <t>bekasi 75</t>
  </si>
  <si>
    <t>makasar 68</t>
  </si>
  <si>
    <t>banda aceh 126</t>
  </si>
  <si>
    <t>bandung 180</t>
  </si>
  <si>
    <t>lhokseumawe 95</t>
  </si>
  <si>
    <t>bogor 57</t>
  </si>
  <si>
    <t>lhoseumawe 96</t>
  </si>
  <si>
    <t>sukabumi 43</t>
  </si>
  <si>
    <t>lhoseumawe 94</t>
  </si>
  <si>
    <t>PASUKAN GARUDA</t>
  </si>
  <si>
    <t>soreang 51</t>
  </si>
  <si>
    <t>padang 119</t>
  </si>
  <si>
    <t>medan 113</t>
  </si>
  <si>
    <t>bandung 179</t>
  </si>
  <si>
    <t>pekanbaru 238</t>
  </si>
  <si>
    <t>surabaya 213</t>
  </si>
  <si>
    <t>makasar 64</t>
  </si>
  <si>
    <t>probolinggo 94</t>
  </si>
  <si>
    <t>bandaaceh 127</t>
  </si>
  <si>
    <t>denpasar</t>
  </si>
  <si>
    <t>Prov. Maluku utara</t>
  </si>
  <si>
    <t>ternate 15</t>
  </si>
  <si>
    <t>Makanan tradisional</t>
  </si>
  <si>
    <t>muara bungo 14</t>
  </si>
  <si>
    <t xml:space="preserve"> </t>
  </si>
  <si>
    <t>atambua 209</t>
  </si>
  <si>
    <t>tual 27</t>
  </si>
  <si>
    <t>ambon 35</t>
  </si>
  <si>
    <t>merauke 13</t>
  </si>
  <si>
    <t>mbo 14</t>
  </si>
  <si>
    <t>palopo 7</t>
  </si>
  <si>
    <t>Flora &amp; Fauna Identitas Provinsi</t>
  </si>
  <si>
    <t>tanjung pinang 26</t>
  </si>
  <si>
    <t>palopo</t>
  </si>
  <si>
    <t>kudus 43</t>
  </si>
  <si>
    <t>muarabungo 14</t>
  </si>
  <si>
    <t>tembilahan 13</t>
  </si>
  <si>
    <t>tual 26</t>
  </si>
  <si>
    <t>Warisan Budaya Tak Benda</t>
  </si>
  <si>
    <t>pangkal piang 57</t>
  </si>
  <si>
    <t>pangkal pinang 57</t>
  </si>
  <si>
    <t>muara bungo 233</t>
  </si>
  <si>
    <t>Lambang Prov. Sumatera Utara</t>
  </si>
  <si>
    <t>Lambang Prov. NTB</t>
  </si>
  <si>
    <t>Lambang Prov. Sulawesi Utara</t>
  </si>
  <si>
    <t>Lambang Prov. Maluku Utara</t>
  </si>
  <si>
    <t>Lambang Prov. Sulawesi Selatan</t>
  </si>
  <si>
    <t>Lambang Prov. Kalimantan selatan</t>
  </si>
  <si>
    <t>Lambang Prov. Yogyakarta</t>
  </si>
  <si>
    <t>Lambang Prov. DKI Jakarta</t>
  </si>
  <si>
    <t>Lambang Prov. Bangka Belitung</t>
  </si>
  <si>
    <t>Lambang Prov. Bengkulu</t>
  </si>
  <si>
    <t>Lambang Prov. Jambi</t>
  </si>
  <si>
    <t>cirebon 131</t>
  </si>
  <si>
    <t>banjarmasin 249</t>
  </si>
  <si>
    <t>binjai 37</t>
  </si>
  <si>
    <t>bandung 129</t>
  </si>
  <si>
    <t>semarang 40</t>
  </si>
  <si>
    <t>sidoarjo 35</t>
  </si>
  <si>
    <t>bandung 185</t>
  </si>
  <si>
    <t>bandung 192</t>
  </si>
  <si>
    <t>medan 115</t>
  </si>
  <si>
    <t>bogor 59</t>
  </si>
  <si>
    <t>semarang 41</t>
  </si>
  <si>
    <t>SHP Pasukan Garuda</t>
  </si>
  <si>
    <t>SHP SS Panfila Thailand</t>
  </si>
  <si>
    <t>bandung 184</t>
  </si>
  <si>
    <t>palembang 148</t>
  </si>
  <si>
    <t>Jambore International Scout Peace Camp</t>
  </si>
  <si>
    <t>Bogor 59</t>
  </si>
  <si>
    <t>SHP SOS Children Villages</t>
  </si>
  <si>
    <t>bandung 186</t>
  </si>
  <si>
    <t>SHP Sail Komodo</t>
  </si>
  <si>
    <t>kupang 34</t>
  </si>
  <si>
    <t>gorontalo 68</t>
  </si>
  <si>
    <t>SHP Layanan Pos</t>
  </si>
  <si>
    <t>bandung 187</t>
  </si>
  <si>
    <t>bandung 172</t>
  </si>
  <si>
    <t>SHP Maskot Filateli</t>
  </si>
  <si>
    <t>bandung 198</t>
  </si>
  <si>
    <t>semarang 42</t>
  </si>
  <si>
    <t>makasar 102</t>
  </si>
  <si>
    <t>bandung 194</t>
  </si>
  <si>
    <t>balikpapan 165</t>
  </si>
  <si>
    <t>bandung 189</t>
  </si>
  <si>
    <t>SHP Cap Gomeh</t>
  </si>
  <si>
    <t>SHPSS Shio Naga 2012</t>
  </si>
  <si>
    <t>Bandung 198</t>
  </si>
  <si>
    <t>bandung 200</t>
  </si>
  <si>
    <t>makasar102</t>
  </si>
  <si>
    <t>SP Mobil Listrik</t>
  </si>
  <si>
    <t>SHP Kain Trandisional DKI Jakarta</t>
  </si>
  <si>
    <t>bandung 188</t>
  </si>
  <si>
    <t>makasar 104</t>
  </si>
  <si>
    <t>SHP Kain Trandisional Bali</t>
  </si>
  <si>
    <t>SHP Kain Trandisional Sulawesi Tengah</t>
  </si>
  <si>
    <t>SHP Kain Trandisional Banten</t>
  </si>
  <si>
    <t>SHP Kain Trandisional Gorontalo</t>
  </si>
  <si>
    <t>SHP Kain Trandisional Kepulauan Riau</t>
  </si>
  <si>
    <t>SHP Kain Trandisional Kalimantan Tengah</t>
  </si>
  <si>
    <t>SHP Kain Trandisional Jambi</t>
  </si>
  <si>
    <t>bandung 202</t>
  </si>
  <si>
    <t>SHP Kain Trandisional Maluku Utara</t>
  </si>
  <si>
    <t>bandung 182</t>
  </si>
  <si>
    <t>bandung 183</t>
  </si>
  <si>
    <t>jakarta utara 50</t>
  </si>
  <si>
    <t>purwokerto32</t>
  </si>
  <si>
    <t>cilacap 31</t>
  </si>
  <si>
    <t>gianjar 36</t>
  </si>
  <si>
    <t>singaraja 56</t>
  </si>
  <si>
    <t>makasar 109</t>
  </si>
  <si>
    <t>surabaya 108</t>
  </si>
  <si>
    <t>gianyar 36</t>
  </si>
  <si>
    <t>purwokerto 32</t>
  </si>
  <si>
    <t>gianyar 26</t>
  </si>
  <si>
    <t>surabaya 106</t>
  </si>
  <si>
    <t>SHP Landmark</t>
  </si>
  <si>
    <t>bandung 196</t>
  </si>
  <si>
    <t>purwakarta 52</t>
  </si>
  <si>
    <t>SHPSS Panfila Surabaya</t>
  </si>
  <si>
    <t>Surabaya 106</t>
  </si>
  <si>
    <t>SHP SEA GAMES (SET)</t>
  </si>
  <si>
    <t>bogor 20</t>
  </si>
  <si>
    <t>bandung 108</t>
  </si>
  <si>
    <t>jambi 56</t>
  </si>
  <si>
    <t>purwakarta 32</t>
  </si>
  <si>
    <t>SHP Antariksa</t>
  </si>
  <si>
    <t>Surabaya 108</t>
  </si>
  <si>
    <t>SHP IMPI</t>
  </si>
  <si>
    <t>SHP UNODC</t>
  </si>
  <si>
    <t>SHP TUNZA</t>
  </si>
  <si>
    <t>SHP 50 Th. Monas</t>
  </si>
  <si>
    <t>SHP Prawira</t>
  </si>
  <si>
    <t>SHP Kain Tradisional Aceh</t>
  </si>
  <si>
    <t>makasar 110</t>
  </si>
  <si>
    <t>SHP Kain Tradisional NTT</t>
  </si>
  <si>
    <t>SHP Kain Tradisional Bangka Belitung</t>
  </si>
  <si>
    <t>SHP Kain Tradisional Sulawesi Selatan</t>
  </si>
  <si>
    <t>SHP Kain Tradisional Sulawesi Utara</t>
  </si>
  <si>
    <t>semarang 79</t>
  </si>
  <si>
    <t>SHP Kain Tradisional Riau</t>
  </si>
  <si>
    <t>SHP Kain Tradisional Sulawesi Barat</t>
  </si>
  <si>
    <t>bengkulu 215</t>
  </si>
  <si>
    <t>SHP Kain Tradisional Jawa Timur</t>
  </si>
  <si>
    <t>SHP Kain Tradisional Kalimantan Barat</t>
  </si>
  <si>
    <t>SHP Kain Tradisional Nusa Tenggara Barat</t>
  </si>
  <si>
    <t>SHP Kain Tradisional Lampung</t>
  </si>
  <si>
    <t>SHP Kain Tradisional Kalimantan Selatan</t>
  </si>
  <si>
    <t>SHP Kain Tradisional Sumatera Barat</t>
  </si>
  <si>
    <t>SHP Kain Tradisional Sumatera Utara</t>
  </si>
  <si>
    <t>SHP Kain Tradisional Sumatera Selatan</t>
  </si>
  <si>
    <t>SHP Kain Tradisional Jawa Tengah</t>
  </si>
  <si>
    <t>SHP Kain Tradisional Sulawesi Tenggara</t>
  </si>
  <si>
    <t>makasar 112</t>
  </si>
  <si>
    <t>SHP Kain Tradisional Bengkulu</t>
  </si>
  <si>
    <t>SHP Kain Tradisional Kalimantan Timur</t>
  </si>
  <si>
    <t>SHP Kain Tradisional Yogyakarta</t>
  </si>
  <si>
    <t>SHP Kain Tradisional Papua Barat</t>
  </si>
  <si>
    <t>SHP Kain Tradisional Papua</t>
  </si>
  <si>
    <t>SHP Kain Tradisional Maluku</t>
  </si>
  <si>
    <t>SHP Kain Tradisional Jawa Barat</t>
  </si>
  <si>
    <t>SHP Kain Tradisional (SET)</t>
  </si>
  <si>
    <t>makasar 7</t>
  </si>
  <si>
    <t>baubau 1</t>
  </si>
  <si>
    <t>makasar 1</t>
  </si>
  <si>
    <t>makasar</t>
  </si>
  <si>
    <t>sangau 233</t>
  </si>
  <si>
    <t>Pemilu</t>
  </si>
  <si>
    <t>Tahun Astronomi International</t>
  </si>
  <si>
    <t>Shio Kerbau</t>
  </si>
  <si>
    <t>Peresmian Jembatan Suramadu</t>
  </si>
  <si>
    <t>World Ocean Konfrence</t>
  </si>
  <si>
    <t>50 Th. ITB</t>
  </si>
  <si>
    <t>Burung Indonesia</t>
  </si>
  <si>
    <t>Hari Anak Nasional</t>
  </si>
  <si>
    <t>palopo 1</t>
  </si>
  <si>
    <t>Provinsi Jawa Timur</t>
  </si>
  <si>
    <t>Provinsi Sulawesi Tenggara</t>
  </si>
  <si>
    <t>Provinsi Sumatera Selatan</t>
  </si>
  <si>
    <t>Provinsi Banten</t>
  </si>
  <si>
    <t>Provinsi Kalimantan Tengah</t>
  </si>
  <si>
    <t>Provinsi Kalimantan Timur</t>
  </si>
  <si>
    <t>Provinsi Papua Barat</t>
  </si>
  <si>
    <t>provinsi Lampung</t>
  </si>
  <si>
    <t>Provinsi Kepulauan Riau</t>
  </si>
  <si>
    <t>Provinsi Sulawesi Tengah</t>
  </si>
  <si>
    <t>Provinsi NTT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</si>
</sst>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_);_(* \(#,##0\);_(* &quot;-&quot;_);_(@_)"/>
    <numFmt numFmtId="165" formatCode="_(* #,##0.00_);_(* \(#,##0.00\);_(* &quot;-&quot;??_);_(@_)"/>
    <numFmt numFmtId="166" formatCode="_(* #,##0_);_(* \(#,##0\);_(* &quot;-&quot;??_);_(@_)"/>
    <numFmt numFmtId="167" formatCode="_(* #,##0.00_);_(* \(#,##0.00\);_(* &quot;-&quot;_);_(@_)"/>
    <numFmt numFmtId="168" formatCode="_(* #,##0.0_);_(* \(#,##0.0\);_(* &quot;-&quot;??_);_(@_)"/>
    <numFmt numFmtId="169" formatCode="0.0"/>
    <numFmt numFmtId="170" formatCode="* #,##0.00\ ;* \(#,##0.00\);* \-#\ ;@\ "/>
    <numFmt numFmtId="171" formatCode="_(* #,##0.00_);_(* \(#,##0.00\);_(* \-_);_(@_)"/>
    <numFmt numFmtId="172" formatCode="* #,##0.00\ ;* \(#,##0.00\);* &quot;- &quot;;@\ "/>
  </numFmts>
  <fonts count="32" x14ac:knownFonts="1">
    <font>
      <sz val="11"/>
      <color theme="1"/>
      <name val="Calibri"/>
      <family val="2"/>
      <scheme val="minor"/>
    </font>
    <font>
      <sz val="11"/>
      <color theme="1"/>
      <name val="Calibri"/>
      <family val="2"/>
      <scheme val="minor"/>
    </font>
    <font>
      <sz val="9"/>
      <name val="Arial"/>
      <family val="2"/>
    </font>
    <font>
      <sz val="10"/>
      <name val="Arial"/>
      <family val="2"/>
    </font>
    <font>
      <b/>
      <sz val="10"/>
      <name val="Arial"/>
      <family val="2"/>
    </font>
    <font>
      <b/>
      <sz val="12"/>
      <name val="Arial"/>
      <family val="2"/>
    </font>
    <font>
      <b/>
      <sz val="11"/>
      <color theme="1"/>
      <name val="Calibri"/>
      <family val="2"/>
      <scheme val="minor"/>
    </font>
    <font>
      <sz val="9"/>
      <color theme="1"/>
      <name val="Calibri"/>
      <family val="2"/>
      <scheme val="minor"/>
    </font>
    <font>
      <b/>
      <sz val="11"/>
      <name val="Arial"/>
      <family val="2"/>
    </font>
    <font>
      <sz val="11"/>
      <color rgb="FFFF0000"/>
      <name val="Calibri"/>
      <family val="2"/>
      <scheme val="minor"/>
    </font>
    <font>
      <sz val="11"/>
      <name val="Calibri"/>
      <family val="2"/>
      <scheme val="minor"/>
    </font>
    <font>
      <b/>
      <sz val="11"/>
      <name val="Calibri"/>
      <family val="2"/>
      <scheme val="minor"/>
    </font>
    <font>
      <sz val="9"/>
      <color indexed="81"/>
      <name val="Tahoma"/>
      <family val="2"/>
    </font>
    <font>
      <b/>
      <sz val="8"/>
      <color indexed="81"/>
      <name val="Tahoma"/>
      <family val="2"/>
    </font>
    <font>
      <b/>
      <sz val="9"/>
      <color indexed="81"/>
      <name val="Tahoma"/>
      <family val="2"/>
    </font>
    <font>
      <sz val="10"/>
      <name val="Calibri"/>
      <family val="2"/>
      <scheme val="minor"/>
    </font>
    <font>
      <sz val="8"/>
      <name val="Calibri"/>
      <family val="2"/>
      <scheme val="minor"/>
    </font>
    <font>
      <sz val="10"/>
      <color theme="1"/>
      <name val="Calibri"/>
      <family val="2"/>
      <scheme val="minor"/>
    </font>
    <font>
      <sz val="8"/>
      <color theme="1"/>
      <name val="Calibri"/>
      <family val="2"/>
      <scheme val="minor"/>
    </font>
    <font>
      <sz val="9"/>
      <name val="Calibri"/>
      <family val="2"/>
      <scheme val="minor"/>
    </font>
    <font>
      <i/>
      <sz val="11"/>
      <name val="Calibri"/>
      <family val="2"/>
      <scheme val="minor"/>
    </font>
    <font>
      <i/>
      <sz val="10"/>
      <name val="Calibri"/>
      <family val="2"/>
      <scheme val="minor"/>
    </font>
    <font>
      <i/>
      <sz val="11"/>
      <color theme="1"/>
      <name val="Calibri"/>
      <family val="2"/>
      <scheme val="minor"/>
    </font>
    <font>
      <sz val="11"/>
      <color rgb="FF0000FF"/>
      <name val="Calibri"/>
      <family val="2"/>
      <scheme val="minor"/>
    </font>
    <font>
      <sz val="11"/>
      <color rgb="FF0033CC"/>
      <name val="Calibri"/>
      <family val="2"/>
      <scheme val="minor"/>
    </font>
    <font>
      <sz val="11"/>
      <color rgb="FF00B0F0"/>
      <name val="Calibri"/>
      <family val="2"/>
      <scheme val="minor"/>
    </font>
    <font>
      <b/>
      <sz val="10"/>
      <color theme="1"/>
      <name val="Calibri"/>
      <family val="2"/>
      <scheme val="minor"/>
    </font>
    <font>
      <sz val="11"/>
      <color rgb="FF0070C0"/>
      <name val="Calibri"/>
      <family val="2"/>
      <scheme val="minor"/>
    </font>
    <font>
      <b/>
      <sz val="11"/>
      <color rgb="FFFF0000"/>
      <name val="Arial"/>
      <family val="2"/>
    </font>
    <font>
      <b/>
      <sz val="9"/>
      <color theme="1"/>
      <name val="Calibri"/>
      <family val="2"/>
      <scheme val="minor"/>
    </font>
    <font>
      <b/>
      <sz val="9"/>
      <color indexed="81"/>
      <name val="Tahoma"/>
      <charset val="1"/>
    </font>
    <font>
      <sz val="9"/>
      <color indexed="81"/>
      <name val="Tahoma"/>
      <charset val="1"/>
    </font>
  </fonts>
  <fills count="6">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indexed="22"/>
        <bgColor indexed="64"/>
      </patternFill>
    </fill>
    <fill>
      <patternFill patternType="solid">
        <fgColor rgb="FFFFFF00"/>
        <bgColor indexed="64"/>
      </patternFill>
    </fill>
  </fills>
  <borders count="58">
    <border>
      <left/>
      <right/>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thin">
        <color indexed="64"/>
      </left>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hair">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style="hair">
        <color indexed="64"/>
      </top>
      <bottom style="medium">
        <color indexed="64"/>
      </bottom>
      <diagonal/>
    </border>
    <border>
      <left style="medium">
        <color indexed="64"/>
      </left>
      <right style="medium">
        <color indexed="64"/>
      </right>
      <top/>
      <bottom/>
      <diagonal/>
    </border>
    <border>
      <left/>
      <right/>
      <top/>
      <bottom style="thin">
        <color indexed="64"/>
      </bottom>
      <diagonal/>
    </border>
    <border>
      <left style="hair">
        <color auto="1"/>
      </left>
      <right style="hair">
        <color auto="1"/>
      </right>
      <top style="hair">
        <color auto="1"/>
      </top>
      <bottom style="hair">
        <color auto="1"/>
      </bottom>
      <diagonal/>
    </border>
    <border>
      <left style="thin">
        <color indexed="54"/>
      </left>
      <right style="thin">
        <color indexed="54"/>
      </right>
      <top style="hair">
        <color indexed="54"/>
      </top>
      <bottom style="hair">
        <color indexed="54"/>
      </bottom>
      <diagonal/>
    </border>
    <border>
      <left style="thin">
        <color indexed="54"/>
      </left>
      <right/>
      <top style="hair">
        <color indexed="54"/>
      </top>
      <bottom/>
      <diagonal/>
    </border>
    <border>
      <left/>
      <right/>
      <top style="hair">
        <color indexed="64"/>
      </top>
      <bottom style="hair">
        <color indexed="64"/>
      </bottom>
      <diagonal/>
    </border>
    <border>
      <left/>
      <right/>
      <top style="hair">
        <color indexed="64"/>
      </top>
      <bottom/>
      <diagonal/>
    </border>
    <border>
      <left/>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style="thin">
        <color auto="1"/>
      </left>
      <right style="thin">
        <color auto="1"/>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thin">
        <color indexed="64"/>
      </left>
      <right style="thin">
        <color indexed="64"/>
      </right>
      <top style="hair">
        <color indexed="64"/>
      </top>
      <bottom style="hair">
        <color indexed="64"/>
      </bottom>
      <diagonal/>
    </border>
    <border>
      <left/>
      <right/>
      <top style="hair">
        <color indexed="64"/>
      </top>
      <bottom/>
      <diagonal/>
    </border>
    <border>
      <left style="thin">
        <color indexed="64"/>
      </left>
      <right style="thin">
        <color indexed="64"/>
      </right>
      <top style="hair">
        <color indexed="64"/>
      </top>
      <bottom/>
      <diagonal/>
    </border>
  </borders>
  <cellStyleXfs count="7">
    <xf numFmtId="0" fontId="0" fillId="0" borderId="0"/>
    <xf numFmtId="165" fontId="1" fillId="0" borderId="0" applyFont="0" applyFill="0" applyBorder="0" applyAlignment="0" applyProtection="0"/>
    <xf numFmtId="164" fontId="1" fillId="0" borderId="0" applyFont="0" applyFill="0" applyBorder="0" applyAlignment="0" applyProtection="0"/>
    <xf numFmtId="0" fontId="3" fillId="0" borderId="0"/>
    <xf numFmtId="164" fontId="3" fillId="0" borderId="0" applyFont="0" applyFill="0" applyBorder="0" applyAlignment="0" applyProtection="0"/>
    <xf numFmtId="0" fontId="3" fillId="0" borderId="0" applyFill="0" applyBorder="0" applyAlignment="0" applyProtection="0"/>
    <xf numFmtId="0" fontId="1" fillId="0" borderId="0"/>
  </cellStyleXfs>
  <cellXfs count="432">
    <xf numFmtId="0" fontId="0" fillId="0" borderId="0" xfId="0"/>
    <xf numFmtId="166" fontId="0" fillId="0" borderId="5" xfId="1" applyNumberFormat="1" applyFont="1" applyBorder="1"/>
    <xf numFmtId="0" fontId="3" fillId="0" borderId="0" xfId="3"/>
    <xf numFmtId="0" fontId="4" fillId="2" borderId="20" xfId="3" applyFont="1" applyFill="1" applyBorder="1" applyAlignment="1">
      <alignment horizontal="center" vertical="center"/>
    </xf>
    <xf numFmtId="164" fontId="4" fillId="2" borderId="1" xfId="2" applyFont="1" applyFill="1" applyBorder="1" applyAlignment="1">
      <alignment horizontal="center" vertical="center" wrapText="1"/>
    </xf>
    <xf numFmtId="164" fontId="4" fillId="2" borderId="25" xfId="2" applyFont="1" applyFill="1" applyBorder="1" applyAlignment="1">
      <alignment horizontal="center" vertical="center" wrapText="1"/>
    </xf>
    <xf numFmtId="0" fontId="4" fillId="4" borderId="13" xfId="3" applyFont="1" applyFill="1" applyBorder="1" applyAlignment="1">
      <alignment horizontal="center" vertical="center"/>
    </xf>
    <xf numFmtId="164" fontId="4" fillId="4" borderId="7" xfId="2" applyFont="1" applyFill="1" applyBorder="1" applyAlignment="1">
      <alignment horizontal="center"/>
    </xf>
    <xf numFmtId="164" fontId="4" fillId="4" borderId="9" xfId="2" applyFont="1" applyFill="1" applyBorder="1" applyAlignment="1">
      <alignment horizontal="center"/>
    </xf>
    <xf numFmtId="0" fontId="3" fillId="0" borderId="16" xfId="3" applyBorder="1" applyAlignment="1">
      <alignment horizontal="left" vertical="center"/>
    </xf>
    <xf numFmtId="164" fontId="3" fillId="0" borderId="4" xfId="3" applyNumberFormat="1" applyBorder="1"/>
    <xf numFmtId="0" fontId="3" fillId="0" borderId="17" xfId="3" applyBorder="1" applyAlignment="1">
      <alignment horizontal="left" vertical="center"/>
    </xf>
    <xf numFmtId="0" fontId="2" fillId="0" borderId="17" xfId="3" applyFont="1" applyBorder="1" applyAlignment="1">
      <alignment horizontal="left" vertical="center"/>
    </xf>
    <xf numFmtId="0" fontId="3" fillId="4" borderId="17" xfId="3" applyFill="1" applyBorder="1" applyAlignment="1">
      <alignment horizontal="center" vertical="center"/>
    </xf>
    <xf numFmtId="0" fontId="3" fillId="4" borderId="5" xfId="3" applyFill="1" applyBorder="1"/>
    <xf numFmtId="0" fontId="3" fillId="4" borderId="26" xfId="3" applyFill="1" applyBorder="1"/>
    <xf numFmtId="0" fontId="4" fillId="0" borderId="19" xfId="3" applyFont="1" applyBorder="1" applyAlignment="1">
      <alignment horizontal="center" vertical="center"/>
    </xf>
    <xf numFmtId="164" fontId="3" fillId="0" borderId="24" xfId="3" applyNumberFormat="1" applyBorder="1"/>
    <xf numFmtId="164" fontId="0" fillId="0" borderId="5" xfId="0" applyNumberFormat="1" applyBorder="1"/>
    <xf numFmtId="166" fontId="0" fillId="0" borderId="0" xfId="1" applyNumberFormat="1" applyFont="1"/>
    <xf numFmtId="164" fontId="4" fillId="4" borderId="8" xfId="2" applyFont="1" applyFill="1" applyBorder="1" applyAlignment="1">
      <alignment horizontal="center"/>
    </xf>
    <xf numFmtId="164" fontId="3" fillId="0" borderId="17" xfId="3" applyNumberFormat="1" applyBorder="1"/>
    <xf numFmtId="0" fontId="3" fillId="4" borderId="14" xfId="3" applyFill="1" applyBorder="1"/>
    <xf numFmtId="164" fontId="3" fillId="0" borderId="29" xfId="3" applyNumberFormat="1" applyBorder="1"/>
    <xf numFmtId="164" fontId="4" fillId="3" borderId="0" xfId="2" applyFont="1" applyFill="1" applyBorder="1" applyAlignment="1">
      <alignment horizontal="center"/>
    </xf>
    <xf numFmtId="164" fontId="4" fillId="4" borderId="5" xfId="2" applyFont="1" applyFill="1" applyBorder="1" applyAlignment="1">
      <alignment horizontal="center"/>
    </xf>
    <xf numFmtId="165" fontId="0" fillId="0" borderId="0" xfId="1" applyFont="1"/>
    <xf numFmtId="165" fontId="0" fillId="0" borderId="0" xfId="0" applyNumberFormat="1"/>
    <xf numFmtId="166" fontId="0" fillId="3" borderId="2" xfId="1" applyNumberFormat="1" applyFont="1" applyFill="1" applyBorder="1"/>
    <xf numFmtId="166" fontId="0" fillId="3" borderId="11" xfId="1" applyNumberFormat="1" applyFont="1" applyFill="1" applyBorder="1"/>
    <xf numFmtId="166" fontId="0" fillId="3" borderId="12" xfId="1" applyNumberFormat="1" applyFont="1" applyFill="1" applyBorder="1"/>
    <xf numFmtId="166" fontId="0" fillId="3" borderId="22" xfId="1" applyNumberFormat="1" applyFont="1" applyFill="1" applyBorder="1"/>
    <xf numFmtId="0" fontId="0" fillId="3" borderId="5" xfId="0" applyFont="1" applyFill="1" applyBorder="1"/>
    <xf numFmtId="165" fontId="0" fillId="3" borderId="27" xfId="1" applyFont="1" applyFill="1" applyBorder="1"/>
    <xf numFmtId="167" fontId="0" fillId="3" borderId="18" xfId="2" applyNumberFormat="1" applyFont="1" applyFill="1" applyBorder="1"/>
    <xf numFmtId="166" fontId="0" fillId="3" borderId="11" xfId="0" applyNumberFormat="1" applyFont="1" applyFill="1" applyBorder="1"/>
    <xf numFmtId="0" fontId="0" fillId="3" borderId="11" xfId="0" applyFont="1" applyFill="1" applyBorder="1"/>
    <xf numFmtId="0" fontId="6" fillId="3" borderId="6" xfId="0" applyFont="1" applyFill="1" applyBorder="1"/>
    <xf numFmtId="166" fontId="6" fillId="3" borderId="11" xfId="0" applyNumberFormat="1" applyFont="1" applyFill="1" applyBorder="1"/>
    <xf numFmtId="165" fontId="0" fillId="3" borderId="11" xfId="1" applyFont="1" applyFill="1" applyBorder="1"/>
    <xf numFmtId="167" fontId="0" fillId="3" borderId="23" xfId="2" applyNumberFormat="1" applyFont="1" applyFill="1" applyBorder="1"/>
    <xf numFmtId="0" fontId="6" fillId="3" borderId="11" xfId="0" applyFont="1" applyFill="1" applyBorder="1"/>
    <xf numFmtId="0" fontId="0" fillId="3" borderId="27" xfId="0" applyFont="1" applyFill="1" applyBorder="1" applyAlignment="1">
      <alignment horizontal="center"/>
    </xf>
    <xf numFmtId="166" fontId="0" fillId="3" borderId="18" xfId="1" applyNumberFormat="1" applyFont="1" applyFill="1" applyBorder="1"/>
    <xf numFmtId="164" fontId="0" fillId="3" borderId="18" xfId="1" applyNumberFormat="1" applyFont="1" applyFill="1" applyBorder="1"/>
    <xf numFmtId="165" fontId="0" fillId="0" borderId="0" xfId="1" applyNumberFormat="1" applyFont="1"/>
    <xf numFmtId="164" fontId="0" fillId="3" borderId="11" xfId="1" applyNumberFormat="1" applyFont="1" applyFill="1" applyBorder="1"/>
    <xf numFmtId="165" fontId="0" fillId="3" borderId="22" xfId="1" applyNumberFormat="1" applyFont="1" applyFill="1" applyBorder="1"/>
    <xf numFmtId="164" fontId="0" fillId="3" borderId="11" xfId="2" applyFont="1" applyFill="1" applyBorder="1"/>
    <xf numFmtId="164" fontId="0" fillId="3" borderId="31" xfId="2" applyFont="1" applyFill="1" applyBorder="1"/>
    <xf numFmtId="164" fontId="0" fillId="3" borderId="18" xfId="2" applyFont="1" applyFill="1" applyBorder="1"/>
    <xf numFmtId="165" fontId="9" fillId="0" borderId="0" xfId="1" applyFont="1"/>
    <xf numFmtId="0" fontId="0" fillId="0" borderId="0" xfId="0" applyFont="1"/>
    <xf numFmtId="0" fontId="0" fillId="0" borderId="0" xfId="0" quotePrefix="1" applyFont="1"/>
    <xf numFmtId="0" fontId="0" fillId="3" borderId="31" xfId="0" applyFont="1" applyFill="1" applyBorder="1"/>
    <xf numFmtId="0" fontId="0" fillId="0" borderId="18" xfId="0" applyFont="1" applyBorder="1"/>
    <xf numFmtId="166" fontId="0" fillId="0" borderId="18" xfId="0" applyNumberFormat="1" applyFont="1" applyBorder="1"/>
    <xf numFmtId="165" fontId="0" fillId="0" borderId="18" xfId="0" applyNumberFormat="1" applyFont="1" applyBorder="1"/>
    <xf numFmtId="0" fontId="0" fillId="0" borderId="32" xfId="0" applyFont="1" applyBorder="1"/>
    <xf numFmtId="164" fontId="0" fillId="3" borderId="18" xfId="0" applyNumberFormat="1" applyFont="1" applyFill="1" applyBorder="1"/>
    <xf numFmtId="0" fontId="0" fillId="3" borderId="18" xfId="0" applyFont="1" applyFill="1" applyBorder="1"/>
    <xf numFmtId="164" fontId="0" fillId="3" borderId="11" xfId="0" applyNumberFormat="1" applyFont="1" applyFill="1" applyBorder="1"/>
    <xf numFmtId="0" fontId="0" fillId="0" borderId="10" xfId="0" applyFont="1" applyBorder="1"/>
    <xf numFmtId="0" fontId="0" fillId="3" borderId="31" xfId="0" applyFont="1" applyFill="1" applyBorder="1" applyAlignment="1">
      <alignment horizontal="center"/>
    </xf>
    <xf numFmtId="166" fontId="0" fillId="0" borderId="32" xfId="0" applyNumberFormat="1" applyFont="1" applyBorder="1"/>
    <xf numFmtId="165" fontId="0" fillId="0" borderId="32" xfId="0" applyNumberFormat="1" applyFont="1" applyBorder="1"/>
    <xf numFmtId="165" fontId="0" fillId="3" borderId="22" xfId="0" applyNumberFormat="1" applyFont="1" applyFill="1" applyBorder="1"/>
    <xf numFmtId="0" fontId="0" fillId="0" borderId="0" xfId="0" applyFont="1" applyBorder="1"/>
    <xf numFmtId="164" fontId="10" fillId="3" borderId="27" xfId="2" applyFont="1" applyFill="1" applyBorder="1" applyAlignment="1">
      <alignment horizontal="center" wrapText="1"/>
    </xf>
    <xf numFmtId="0" fontId="10" fillId="3" borderId="27" xfId="0" applyFont="1" applyFill="1" applyBorder="1" applyAlignment="1">
      <alignment horizontal="center" vertical="center"/>
    </xf>
    <xf numFmtId="0" fontId="10" fillId="3" borderId="27" xfId="3" applyFont="1" applyFill="1" applyBorder="1" applyAlignment="1">
      <alignment horizontal="center"/>
    </xf>
    <xf numFmtId="16" fontId="10" fillId="3" borderId="27" xfId="3" applyNumberFormat="1" applyFont="1" applyFill="1" applyBorder="1" applyAlignment="1">
      <alignment horizontal="center"/>
    </xf>
    <xf numFmtId="0" fontId="11" fillId="3" borderId="31" xfId="0" applyFont="1" applyFill="1" applyBorder="1"/>
    <xf numFmtId="0" fontId="10" fillId="3" borderId="31" xfId="0" applyFont="1" applyFill="1" applyBorder="1"/>
    <xf numFmtId="165" fontId="10" fillId="3" borderId="31" xfId="1" applyNumberFormat="1" applyFont="1" applyFill="1" applyBorder="1" applyAlignment="1"/>
    <xf numFmtId="0" fontId="10" fillId="0" borderId="18" xfId="0" applyFont="1" applyFill="1" applyBorder="1"/>
    <xf numFmtId="166" fontId="10" fillId="0" borderId="18" xfId="1" applyNumberFormat="1" applyFont="1" applyFill="1" applyBorder="1"/>
    <xf numFmtId="165" fontId="10" fillId="0" borderId="18" xfId="1" applyNumberFormat="1" applyFont="1" applyFill="1" applyBorder="1" applyAlignment="1"/>
    <xf numFmtId="0" fontId="11" fillId="0" borderId="6" xfId="0" applyFont="1" applyFill="1" applyBorder="1"/>
    <xf numFmtId="0" fontId="10" fillId="3" borderId="18" xfId="0" applyFont="1" applyFill="1" applyBorder="1"/>
    <xf numFmtId="166" fontId="10" fillId="3" borderId="18" xfId="1" applyNumberFormat="1" applyFont="1" applyFill="1" applyBorder="1"/>
    <xf numFmtId="165" fontId="10" fillId="3" borderId="18" xfId="1" applyNumberFormat="1" applyFont="1" applyFill="1" applyBorder="1" applyAlignment="1"/>
    <xf numFmtId="166" fontId="10" fillId="3" borderId="32" xfId="1" applyNumberFormat="1" applyFont="1" applyFill="1" applyBorder="1"/>
    <xf numFmtId="0" fontId="11" fillId="3" borderId="6" xfId="0" applyFont="1" applyFill="1" applyBorder="1"/>
    <xf numFmtId="166" fontId="10" fillId="3" borderId="11" xfId="1" applyNumberFormat="1" applyFont="1" applyFill="1" applyBorder="1"/>
    <xf numFmtId="165" fontId="10" fillId="3" borderId="11" xfId="1" applyNumberFormat="1" applyFont="1" applyFill="1" applyBorder="1" applyAlignment="1"/>
    <xf numFmtId="166" fontId="10" fillId="3" borderId="11" xfId="1" applyNumberFormat="1" applyFont="1" applyFill="1" applyBorder="1" applyAlignment="1"/>
    <xf numFmtId="165" fontId="10" fillId="3" borderId="18" xfId="1" applyNumberFormat="1" applyFont="1" applyFill="1" applyBorder="1" applyAlignment="1">
      <alignment horizontal="right"/>
    </xf>
    <xf numFmtId="166" fontId="10" fillId="3" borderId="18" xfId="1" applyNumberFormat="1" applyFont="1" applyFill="1" applyBorder="1" applyAlignment="1">
      <alignment horizontal="right"/>
    </xf>
    <xf numFmtId="166" fontId="10" fillId="3" borderId="18" xfId="1" applyNumberFormat="1" applyFont="1" applyFill="1" applyBorder="1" applyAlignment="1"/>
    <xf numFmtId="166" fontId="11" fillId="3" borderId="11" xfId="1" applyNumberFormat="1" applyFont="1" applyFill="1" applyBorder="1"/>
    <xf numFmtId="166" fontId="10" fillId="3" borderId="31" xfId="1" applyNumberFormat="1" applyFont="1" applyFill="1" applyBorder="1"/>
    <xf numFmtId="0" fontId="10" fillId="3" borderId="18" xfId="0" quotePrefix="1" applyFont="1" applyFill="1" applyBorder="1"/>
    <xf numFmtId="0" fontId="10" fillId="0" borderId="10" xfId="0" applyFont="1" applyFill="1" applyBorder="1"/>
    <xf numFmtId="166" fontId="10" fillId="0" borderId="10" xfId="1" applyNumberFormat="1" applyFont="1" applyFill="1" applyBorder="1"/>
    <xf numFmtId="165" fontId="10" fillId="0" borderId="10" xfId="1" applyNumberFormat="1" applyFont="1" applyFill="1" applyBorder="1" applyAlignment="1"/>
    <xf numFmtId="166" fontId="10" fillId="0" borderId="10" xfId="1" applyNumberFormat="1" applyFont="1" applyFill="1" applyBorder="1" applyAlignment="1"/>
    <xf numFmtId="0" fontId="11" fillId="3" borderId="31" xfId="0" applyFont="1" applyFill="1" applyBorder="1" applyAlignment="1">
      <alignment horizontal="center"/>
    </xf>
    <xf numFmtId="165" fontId="11" fillId="3" borderId="31" xfId="1" applyNumberFormat="1" applyFont="1" applyFill="1" applyBorder="1" applyAlignment="1">
      <alignment horizontal="center"/>
    </xf>
    <xf numFmtId="0" fontId="10" fillId="3" borderId="31" xfId="3" applyFont="1" applyFill="1" applyBorder="1" applyAlignment="1">
      <alignment horizontal="center"/>
    </xf>
    <xf numFmtId="16" fontId="10" fillId="3" borderId="31" xfId="3" applyNumberFormat="1" applyFont="1" applyFill="1" applyBorder="1" applyAlignment="1">
      <alignment horizontal="center"/>
    </xf>
    <xf numFmtId="165" fontId="10" fillId="3" borderId="18" xfId="1" applyNumberFormat="1" applyFont="1" applyFill="1" applyBorder="1"/>
    <xf numFmtId="166" fontId="0" fillId="3" borderId="18" xfId="0" applyNumberFormat="1" applyFont="1" applyFill="1" applyBorder="1"/>
    <xf numFmtId="0" fontId="6" fillId="0" borderId="0" xfId="0" applyFont="1"/>
    <xf numFmtId="0" fontId="0" fillId="0" borderId="0" xfId="0" applyFont="1" applyAlignment="1">
      <alignment horizontal="center"/>
    </xf>
    <xf numFmtId="0" fontId="10" fillId="0" borderId="23" xfId="0" applyFont="1" applyFill="1" applyBorder="1"/>
    <xf numFmtId="166" fontId="10" fillId="0" borderId="23" xfId="1" applyNumberFormat="1" applyFont="1" applyFill="1" applyBorder="1"/>
    <xf numFmtId="165" fontId="10" fillId="0" borderId="23" xfId="1" applyNumberFormat="1" applyFont="1" applyFill="1" applyBorder="1" applyAlignment="1"/>
    <xf numFmtId="0" fontId="0" fillId="0" borderId="23" xfId="0" applyFont="1" applyBorder="1"/>
    <xf numFmtId="166" fontId="0" fillId="0" borderId="23" xfId="0" applyNumberFormat="1" applyFont="1" applyBorder="1"/>
    <xf numFmtId="165" fontId="0" fillId="0" borderId="23" xfId="0" applyNumberFormat="1" applyFont="1" applyBorder="1"/>
    <xf numFmtId="0" fontId="11" fillId="0" borderId="11" xfId="0" applyFont="1" applyFill="1" applyBorder="1"/>
    <xf numFmtId="166" fontId="10" fillId="0" borderId="11" xfId="1" applyNumberFormat="1" applyFont="1" applyFill="1" applyBorder="1"/>
    <xf numFmtId="165" fontId="10" fillId="0" borderId="11" xfId="1" applyNumberFormat="1" applyFont="1" applyFill="1" applyBorder="1" applyAlignment="1"/>
    <xf numFmtId="166" fontId="10" fillId="0" borderId="11" xfId="1" applyNumberFormat="1" applyFont="1" applyFill="1" applyBorder="1" applyAlignment="1"/>
    <xf numFmtId="0" fontId="10" fillId="3" borderId="23" xfId="0" applyFont="1" applyFill="1" applyBorder="1"/>
    <xf numFmtId="166" fontId="10" fillId="3" borderId="23" xfId="1" applyNumberFormat="1" applyFont="1" applyFill="1" applyBorder="1"/>
    <xf numFmtId="165" fontId="10" fillId="3" borderId="23" xfId="1" applyNumberFormat="1" applyFont="1" applyFill="1" applyBorder="1" applyAlignment="1"/>
    <xf numFmtId="164" fontId="0" fillId="3" borderId="23" xfId="0" applyNumberFormat="1" applyFont="1" applyFill="1" applyBorder="1"/>
    <xf numFmtId="0" fontId="11" fillId="3" borderId="11" xfId="0" applyFont="1" applyFill="1" applyBorder="1"/>
    <xf numFmtId="0" fontId="10" fillId="3" borderId="18" xfId="0" applyFont="1" applyFill="1" applyBorder="1" applyAlignment="1">
      <alignment horizontal="center"/>
    </xf>
    <xf numFmtId="0" fontId="0" fillId="3" borderId="23" xfId="0" applyFont="1" applyFill="1" applyBorder="1"/>
    <xf numFmtId="166" fontId="0" fillId="3" borderId="23" xfId="1" applyNumberFormat="1" applyFont="1" applyFill="1" applyBorder="1"/>
    <xf numFmtId="0" fontId="10" fillId="3" borderId="23" xfId="0" applyFont="1" applyFill="1" applyBorder="1" applyAlignment="1">
      <alignment horizontal="center"/>
    </xf>
    <xf numFmtId="0" fontId="10" fillId="3" borderId="27" xfId="0" applyFont="1" applyFill="1" applyBorder="1" applyAlignment="1">
      <alignment horizontal="center" vertical="center"/>
    </xf>
    <xf numFmtId="165" fontId="10" fillId="3" borderId="23" xfId="1" applyNumberFormat="1" applyFont="1" applyFill="1" applyBorder="1"/>
    <xf numFmtId="164" fontId="0" fillId="3" borderId="23" xfId="2" applyFont="1" applyFill="1" applyBorder="1"/>
    <xf numFmtId="0" fontId="0" fillId="3" borderId="18" xfId="0" applyFont="1" applyFill="1" applyBorder="1" applyAlignment="1">
      <alignment horizontal="center"/>
    </xf>
    <xf numFmtId="0" fontId="0" fillId="0" borderId="6" xfId="0" applyFont="1" applyBorder="1"/>
    <xf numFmtId="0" fontId="0" fillId="3" borderId="14" xfId="0" applyFont="1" applyFill="1" applyBorder="1"/>
    <xf numFmtId="0" fontId="0" fillId="3" borderId="2" xfId="0" applyFont="1" applyFill="1" applyBorder="1"/>
    <xf numFmtId="0" fontId="0" fillId="3" borderId="21" xfId="0" applyFont="1" applyFill="1" applyBorder="1"/>
    <xf numFmtId="0" fontId="0" fillId="3" borderId="0" xfId="0" applyFont="1" applyFill="1" applyBorder="1"/>
    <xf numFmtId="0" fontId="0" fillId="3" borderId="3" xfId="0" applyFont="1" applyFill="1" applyBorder="1"/>
    <xf numFmtId="0" fontId="10" fillId="3" borderId="6" xfId="0" applyFont="1" applyFill="1" applyBorder="1"/>
    <xf numFmtId="166" fontId="10" fillId="3" borderId="2" xfId="1" applyNumberFormat="1" applyFont="1" applyFill="1" applyBorder="1"/>
    <xf numFmtId="165" fontId="10" fillId="3" borderId="2" xfId="1" applyFont="1" applyFill="1" applyBorder="1"/>
    <xf numFmtId="166" fontId="10" fillId="3" borderId="11" xfId="0" applyNumberFormat="1" applyFont="1" applyFill="1" applyBorder="1"/>
    <xf numFmtId="0" fontId="11" fillId="3" borderId="0" xfId="0" applyFont="1" applyFill="1" applyBorder="1"/>
    <xf numFmtId="164" fontId="0" fillId="0" borderId="18" xfId="0" applyNumberFormat="1" applyFont="1" applyBorder="1"/>
    <xf numFmtId="0" fontId="10" fillId="3" borderId="31" xfId="0" applyFont="1" applyFill="1" applyBorder="1" applyAlignment="1">
      <alignment horizontal="center" vertical="center"/>
    </xf>
    <xf numFmtId="0" fontId="11" fillId="3" borderId="31" xfId="0" applyFont="1" applyFill="1" applyBorder="1" applyAlignment="1">
      <alignment horizontal="left" vertical="center"/>
    </xf>
    <xf numFmtId="165" fontId="10" fillId="3" borderId="18" xfId="1" applyFont="1" applyFill="1" applyBorder="1"/>
    <xf numFmtId="0" fontId="10" fillId="3" borderId="32" xfId="0" applyFont="1" applyFill="1" applyBorder="1" applyAlignment="1">
      <alignment horizontal="center"/>
    </xf>
    <xf numFmtId="0" fontId="10" fillId="3" borderId="32" xfId="0" applyFont="1" applyFill="1" applyBorder="1"/>
    <xf numFmtId="165" fontId="10" fillId="3" borderId="32" xfId="1" applyFont="1" applyFill="1" applyBorder="1"/>
    <xf numFmtId="164" fontId="0" fillId="3" borderId="32" xfId="0" applyNumberFormat="1" applyFont="1" applyFill="1" applyBorder="1"/>
    <xf numFmtId="164" fontId="0" fillId="0" borderId="32" xfId="0" applyNumberFormat="1" applyFont="1" applyBorder="1"/>
    <xf numFmtId="0" fontId="10" fillId="3" borderId="27" xfId="0" applyFont="1" applyFill="1" applyBorder="1" applyAlignment="1">
      <alignment horizontal="center" vertical="center"/>
    </xf>
    <xf numFmtId="165" fontId="0" fillId="3" borderId="22" xfId="1" applyFont="1" applyFill="1" applyBorder="1"/>
    <xf numFmtId="0" fontId="0" fillId="0" borderId="31" xfId="0" applyFont="1" applyBorder="1" applyAlignment="1">
      <alignment horizontal="center"/>
    </xf>
    <xf numFmtId="165" fontId="10" fillId="3" borderId="31" xfId="1" applyFont="1" applyFill="1" applyBorder="1"/>
    <xf numFmtId="0" fontId="0" fillId="0" borderId="18" xfId="0" applyFont="1" applyBorder="1" applyAlignment="1">
      <alignment horizontal="center"/>
    </xf>
    <xf numFmtId="0" fontId="0" fillId="0" borderId="32" xfId="0" applyFont="1" applyBorder="1" applyAlignment="1">
      <alignment horizontal="center"/>
    </xf>
    <xf numFmtId="166" fontId="0" fillId="3" borderId="32" xfId="1" applyNumberFormat="1" applyFont="1" applyFill="1" applyBorder="1"/>
    <xf numFmtId="165" fontId="10" fillId="3" borderId="22" xfId="0" applyNumberFormat="1" applyFont="1" applyFill="1" applyBorder="1"/>
    <xf numFmtId="0" fontId="0" fillId="3" borderId="32" xfId="0" applyFont="1" applyFill="1" applyBorder="1"/>
    <xf numFmtId="166" fontId="11" fillId="3" borderId="0" xfId="1" applyNumberFormat="1" applyFont="1" applyFill="1" applyBorder="1" applyAlignment="1">
      <alignment horizontal="center" wrapText="1"/>
    </xf>
    <xf numFmtId="166" fontId="10" fillId="3" borderId="0" xfId="1" applyNumberFormat="1" applyFont="1" applyFill="1" applyBorder="1" applyAlignment="1">
      <alignment horizontal="center"/>
    </xf>
    <xf numFmtId="166" fontId="0" fillId="3" borderId="0" xfId="1" applyNumberFormat="1" applyFont="1" applyFill="1" applyBorder="1"/>
    <xf numFmtId="0" fontId="0" fillId="0" borderId="31" xfId="0" applyFont="1" applyBorder="1"/>
    <xf numFmtId="0" fontId="10" fillId="0" borderId="0" xfId="0" applyFont="1" applyFill="1" applyBorder="1"/>
    <xf numFmtId="166" fontId="10" fillId="0" borderId="0" xfId="1" applyNumberFormat="1" applyFont="1" applyFill="1" applyBorder="1"/>
    <xf numFmtId="165" fontId="10" fillId="0" borderId="0" xfId="1" applyNumberFormat="1" applyFont="1" applyFill="1" applyBorder="1" applyAlignment="1"/>
    <xf numFmtId="166" fontId="10" fillId="0" borderId="0" xfId="1" applyNumberFormat="1" applyFont="1" applyFill="1" applyBorder="1" applyAlignment="1"/>
    <xf numFmtId="165" fontId="0" fillId="0" borderId="0" xfId="0" applyNumberFormat="1" applyFont="1"/>
    <xf numFmtId="166" fontId="0" fillId="0" borderId="18" xfId="1" applyNumberFormat="1" applyFont="1" applyBorder="1"/>
    <xf numFmtId="165" fontId="7" fillId="0" borderId="0" xfId="1" applyNumberFormat="1" applyFont="1"/>
    <xf numFmtId="0" fontId="10" fillId="3" borderId="27" xfId="0" applyFont="1" applyFill="1" applyBorder="1" applyAlignment="1">
      <alignment horizontal="center" vertical="center"/>
    </xf>
    <xf numFmtId="164" fontId="0" fillId="0" borderId="23" xfId="0" applyNumberFormat="1" applyFont="1" applyBorder="1"/>
    <xf numFmtId="0" fontId="0" fillId="0" borderId="23" xfId="0" applyFont="1" applyBorder="1" applyAlignment="1">
      <alignment horizontal="center"/>
    </xf>
    <xf numFmtId="167" fontId="10" fillId="3" borderId="32" xfId="2" applyNumberFormat="1" applyFont="1" applyFill="1" applyBorder="1"/>
    <xf numFmtId="165" fontId="0" fillId="3" borderId="11" xfId="1" applyNumberFormat="1" applyFont="1" applyFill="1" applyBorder="1"/>
    <xf numFmtId="164" fontId="10" fillId="3" borderId="18" xfId="2" applyFont="1" applyFill="1" applyBorder="1"/>
    <xf numFmtId="167" fontId="10" fillId="3" borderId="18" xfId="1" applyNumberFormat="1" applyFont="1" applyFill="1" applyBorder="1"/>
    <xf numFmtId="165" fontId="0" fillId="3" borderId="18" xfId="1" applyFont="1" applyFill="1" applyBorder="1"/>
    <xf numFmtId="168" fontId="0" fillId="3" borderId="18" xfId="1" applyNumberFormat="1" applyFont="1" applyFill="1" applyBorder="1"/>
    <xf numFmtId="0" fontId="6" fillId="3" borderId="31" xfId="0" applyFont="1" applyFill="1" applyBorder="1"/>
    <xf numFmtId="164" fontId="0" fillId="0" borderId="31" xfId="0" applyNumberFormat="1" applyFont="1" applyBorder="1"/>
    <xf numFmtId="166" fontId="0" fillId="0" borderId="31" xfId="0" applyNumberFormat="1" applyFont="1" applyBorder="1"/>
    <xf numFmtId="165" fontId="0" fillId="0" borderId="31" xfId="0" applyNumberFormat="1" applyFont="1" applyBorder="1"/>
    <xf numFmtId="166" fontId="6" fillId="3" borderId="18" xfId="0" applyNumberFormat="1" applyFont="1" applyFill="1" applyBorder="1"/>
    <xf numFmtId="165" fontId="0" fillId="3" borderId="18" xfId="1" applyNumberFormat="1" applyFont="1" applyFill="1" applyBorder="1"/>
    <xf numFmtId="165" fontId="0" fillId="3" borderId="32" xfId="1" applyNumberFormat="1" applyFont="1" applyFill="1" applyBorder="1"/>
    <xf numFmtId="165" fontId="6" fillId="3" borderId="22" xfId="0" applyNumberFormat="1" applyFont="1" applyFill="1" applyBorder="1"/>
    <xf numFmtId="0" fontId="10" fillId="3" borderId="27" xfId="0" applyFont="1" applyFill="1" applyBorder="1" applyAlignment="1">
      <alignment horizontal="center" vertical="center"/>
    </xf>
    <xf numFmtId="166" fontId="0" fillId="0" borderId="0" xfId="0" applyNumberFormat="1" applyFont="1"/>
    <xf numFmtId="0" fontId="0" fillId="3" borderId="0" xfId="0" applyFont="1" applyFill="1"/>
    <xf numFmtId="0" fontId="0" fillId="3" borderId="22" xfId="0" applyFont="1" applyFill="1" applyBorder="1"/>
    <xf numFmtId="2" fontId="0" fillId="0" borderId="0" xfId="0" applyNumberFormat="1" applyFont="1"/>
    <xf numFmtId="165" fontId="10" fillId="3" borderId="23" xfId="1" applyFont="1" applyFill="1" applyBorder="1"/>
    <xf numFmtId="167" fontId="10" fillId="3" borderId="18" xfId="2" applyNumberFormat="1" applyFont="1" applyFill="1" applyBorder="1"/>
    <xf numFmtId="165" fontId="0" fillId="3" borderId="32" xfId="1" applyFont="1" applyFill="1" applyBorder="1"/>
    <xf numFmtId="165" fontId="0" fillId="0" borderId="18" xfId="1" applyFont="1" applyBorder="1"/>
    <xf numFmtId="166" fontId="0" fillId="0" borderId="23" xfId="1" applyNumberFormat="1" applyFont="1" applyBorder="1"/>
    <xf numFmtId="169" fontId="0" fillId="0" borderId="18" xfId="0" applyNumberFormat="1" applyBorder="1"/>
    <xf numFmtId="166" fontId="0" fillId="3" borderId="32" xfId="0" applyNumberFormat="1" applyFont="1" applyFill="1" applyBorder="1"/>
    <xf numFmtId="166" fontId="0" fillId="0" borderId="32" xfId="1" applyNumberFormat="1" applyFont="1" applyBorder="1"/>
    <xf numFmtId="165" fontId="0" fillId="3" borderId="11" xfId="0" applyNumberFormat="1" applyFont="1" applyFill="1" applyBorder="1"/>
    <xf numFmtId="0" fontId="0" fillId="3" borderId="18" xfId="0" applyFont="1" applyFill="1" applyBorder="1" applyAlignment="1">
      <alignment horizontal="left"/>
    </xf>
    <xf numFmtId="164" fontId="10" fillId="3" borderId="32" xfId="2" applyFont="1" applyFill="1" applyBorder="1"/>
    <xf numFmtId="165" fontId="0" fillId="3" borderId="23" xfId="1" applyFont="1" applyFill="1" applyBorder="1"/>
    <xf numFmtId="165" fontId="6" fillId="3" borderId="11" xfId="0" applyNumberFormat="1" applyFont="1" applyFill="1" applyBorder="1"/>
    <xf numFmtId="166" fontId="0" fillId="3" borderId="31" xfId="1" applyNumberFormat="1" applyFont="1" applyFill="1" applyBorder="1"/>
    <xf numFmtId="166" fontId="0" fillId="0" borderId="31" xfId="1" applyNumberFormat="1" applyFont="1" applyBorder="1"/>
    <xf numFmtId="0" fontId="10" fillId="3" borderId="32" xfId="0" quotePrefix="1" applyFont="1" applyFill="1" applyBorder="1"/>
    <xf numFmtId="0" fontId="0" fillId="3" borderId="18" xfId="0" quotePrefix="1" applyFont="1" applyFill="1" applyBorder="1"/>
    <xf numFmtId="0" fontId="6" fillId="3" borderId="0" xfId="0" applyFont="1" applyFill="1"/>
    <xf numFmtId="164" fontId="0" fillId="0" borderId="0" xfId="0" applyNumberFormat="1"/>
    <xf numFmtId="0" fontId="10" fillId="3" borderId="27" xfId="0" applyFont="1" applyFill="1" applyBorder="1" applyAlignment="1">
      <alignment horizontal="center" vertical="center"/>
    </xf>
    <xf numFmtId="0" fontId="0" fillId="0" borderId="0" xfId="0" quotePrefix="1"/>
    <xf numFmtId="0" fontId="10" fillId="3" borderId="27" xfId="0" applyFont="1" applyFill="1" applyBorder="1" applyAlignment="1">
      <alignment horizontal="center" vertical="center"/>
    </xf>
    <xf numFmtId="167" fontId="0" fillId="3" borderId="11" xfId="0" applyNumberFormat="1" applyFont="1" applyFill="1" applyBorder="1"/>
    <xf numFmtId="0" fontId="0" fillId="3" borderId="18" xfId="0" applyFill="1" applyBorder="1"/>
    <xf numFmtId="0" fontId="0" fillId="3" borderId="32" xfId="0" applyFill="1" applyBorder="1"/>
    <xf numFmtId="0" fontId="15" fillId="3" borderId="18" xfId="0" applyFont="1" applyFill="1" applyBorder="1"/>
    <xf numFmtId="0" fontId="16" fillId="3" borderId="18" xfId="0" applyFont="1" applyFill="1" applyBorder="1"/>
    <xf numFmtId="0" fontId="15" fillId="3" borderId="32" xfId="0" applyFont="1" applyFill="1" applyBorder="1"/>
    <xf numFmtId="0" fontId="0" fillId="3" borderId="18" xfId="0" quotePrefix="1" applyFill="1" applyBorder="1"/>
    <xf numFmtId="164" fontId="0" fillId="3" borderId="18" xfId="2" applyNumberFormat="1" applyFont="1" applyFill="1" applyBorder="1"/>
    <xf numFmtId="0" fontId="7" fillId="3" borderId="18" xfId="0" applyFont="1" applyFill="1" applyBorder="1"/>
    <xf numFmtId="0" fontId="17" fillId="3" borderId="18" xfId="0" applyFont="1" applyFill="1" applyBorder="1"/>
    <xf numFmtId="0" fontId="18" fillId="3" borderId="18" xfId="0" applyFont="1" applyFill="1" applyBorder="1"/>
    <xf numFmtId="0" fontId="19" fillId="3" borderId="18" xfId="0" applyFont="1" applyFill="1" applyBorder="1"/>
    <xf numFmtId="0" fontId="10" fillId="3" borderId="27" xfId="0" applyFont="1" applyFill="1" applyBorder="1" applyAlignment="1">
      <alignment horizontal="center" vertical="center"/>
    </xf>
    <xf numFmtId="0" fontId="19" fillId="3" borderId="2" xfId="0" applyFont="1" applyFill="1" applyBorder="1"/>
    <xf numFmtId="0" fontId="17" fillId="3" borderId="32" xfId="0" applyFont="1" applyFill="1" applyBorder="1" applyAlignment="1">
      <alignment horizontal="left"/>
    </xf>
    <xf numFmtId="0" fontId="20" fillId="3" borderId="18" xfId="0" applyFont="1" applyFill="1" applyBorder="1" applyAlignment="1">
      <alignment horizontal="center"/>
    </xf>
    <xf numFmtId="0" fontId="0" fillId="0" borderId="0" xfId="0" applyAlignment="1">
      <alignment horizontal="center"/>
    </xf>
    <xf numFmtId="164" fontId="6" fillId="3" borderId="18" xfId="0" applyNumberFormat="1" applyFont="1" applyFill="1" applyBorder="1"/>
    <xf numFmtId="164" fontId="0" fillId="0" borderId="18" xfId="1" applyNumberFormat="1" applyFont="1" applyBorder="1"/>
    <xf numFmtId="0" fontId="0" fillId="3" borderId="23" xfId="0" applyFill="1" applyBorder="1"/>
    <xf numFmtId="2" fontId="0" fillId="3" borderId="18" xfId="0" applyNumberFormat="1" applyFont="1" applyFill="1" applyBorder="1"/>
    <xf numFmtId="2" fontId="0" fillId="0" borderId="18" xfId="0" applyNumberFormat="1" applyBorder="1"/>
    <xf numFmtId="0" fontId="0" fillId="0" borderId="0" xfId="0" applyFont="1" applyFill="1" applyBorder="1"/>
    <xf numFmtId="166" fontId="23" fillId="0" borderId="0" xfId="0" applyNumberFormat="1" applyFont="1"/>
    <xf numFmtId="166" fontId="23" fillId="0" borderId="0" xfId="1" applyNumberFormat="1" applyFont="1"/>
    <xf numFmtId="164" fontId="6" fillId="0" borderId="0" xfId="0" applyNumberFormat="1" applyFont="1"/>
    <xf numFmtId="166" fontId="11" fillId="3" borderId="18" xfId="1" applyNumberFormat="1" applyFont="1" applyFill="1" applyBorder="1"/>
    <xf numFmtId="164" fontId="24" fillId="0" borderId="18" xfId="1" applyNumberFormat="1" applyFont="1" applyBorder="1"/>
    <xf numFmtId="0" fontId="0" fillId="0" borderId="5" xfId="0" applyFont="1" applyBorder="1"/>
    <xf numFmtId="0" fontId="0" fillId="0" borderId="5" xfId="0" applyFont="1" applyFill="1" applyBorder="1"/>
    <xf numFmtId="166" fontId="0" fillId="3" borderId="23" xfId="0" applyNumberFormat="1" applyFont="1" applyFill="1" applyBorder="1"/>
    <xf numFmtId="164" fontId="0" fillId="0" borderId="18" xfId="0" applyNumberFormat="1" applyFont="1" applyBorder="1" applyAlignment="1">
      <alignment horizontal="center"/>
    </xf>
    <xf numFmtId="164" fontId="0" fillId="3" borderId="18" xfId="0" applyNumberFormat="1" applyFill="1" applyBorder="1"/>
    <xf numFmtId="164" fontId="0" fillId="0" borderId="32" xfId="0" applyNumberFormat="1" applyFont="1" applyBorder="1" applyAlignment="1">
      <alignment horizontal="center"/>
    </xf>
    <xf numFmtId="164" fontId="0" fillId="3" borderId="32" xfId="1" applyNumberFormat="1" applyFont="1" applyFill="1" applyBorder="1"/>
    <xf numFmtId="164" fontId="0" fillId="0" borderId="32" xfId="1" applyNumberFormat="1" applyFont="1" applyBorder="1"/>
    <xf numFmtId="49" fontId="0" fillId="3" borderId="18" xfId="0" applyNumberFormat="1" applyFill="1" applyBorder="1" applyAlignment="1">
      <alignment horizontal="left"/>
    </xf>
    <xf numFmtId="164" fontId="0" fillId="0" borderId="23" xfId="1" applyNumberFormat="1" applyFont="1" applyBorder="1"/>
    <xf numFmtId="164" fontId="0" fillId="0" borderId="23" xfId="0" applyNumberFormat="1" applyBorder="1"/>
    <xf numFmtId="164" fontId="0" fillId="3" borderId="23" xfId="0" applyNumberFormat="1" applyFill="1" applyBorder="1"/>
    <xf numFmtId="2" fontId="0" fillId="3" borderId="23" xfId="0" applyNumberFormat="1" applyFont="1" applyFill="1" applyBorder="1"/>
    <xf numFmtId="0" fontId="25" fillId="0" borderId="31" xfId="0" applyFont="1" applyBorder="1" applyAlignment="1">
      <alignment horizontal="center"/>
    </xf>
    <xf numFmtId="0" fontId="25" fillId="0" borderId="18" xfId="0" applyFont="1" applyBorder="1" applyAlignment="1">
      <alignment horizontal="center"/>
    </xf>
    <xf numFmtId="165" fontId="26" fillId="3" borderId="11" xfId="0" applyNumberFormat="1" applyFont="1" applyFill="1" applyBorder="1"/>
    <xf numFmtId="166" fontId="27" fillId="0" borderId="0" xfId="1" applyNumberFormat="1" applyFont="1"/>
    <xf numFmtId="0" fontId="0" fillId="3" borderId="18" xfId="0" applyNumberFormat="1" applyFill="1" applyBorder="1" applyAlignment="1">
      <alignment horizontal="left"/>
    </xf>
    <xf numFmtId="0" fontId="0" fillId="0" borderId="34" xfId="0" applyBorder="1"/>
    <xf numFmtId="37" fontId="0" fillId="3" borderId="18" xfId="0" applyNumberFormat="1" applyFill="1" applyBorder="1"/>
    <xf numFmtId="164" fontId="0" fillId="0" borderId="35" xfId="0" applyNumberFormat="1" applyBorder="1"/>
    <xf numFmtId="170" fontId="0" fillId="0" borderId="36" xfId="1" applyNumberFormat="1" applyFont="1" applyFill="1" applyBorder="1" applyAlignment="1" applyProtection="1"/>
    <xf numFmtId="171" fontId="0" fillId="0" borderId="36" xfId="5" applyNumberFormat="1" applyFont="1" applyFill="1" applyBorder="1" applyAlignment="1" applyProtection="1"/>
    <xf numFmtId="172" fontId="0" fillId="0" borderId="36" xfId="5" applyNumberFormat="1" applyFont="1" applyFill="1" applyBorder="1" applyAlignment="1" applyProtection="1"/>
    <xf numFmtId="172" fontId="0" fillId="0" borderId="36" xfId="2" applyNumberFormat="1" applyFont="1" applyFill="1" applyBorder="1" applyAlignment="1" applyProtection="1"/>
    <xf numFmtId="172" fontId="0" fillId="3" borderId="36" xfId="2" applyNumberFormat="1" applyFont="1" applyFill="1" applyBorder="1" applyAlignment="1" applyProtection="1"/>
    <xf numFmtId="172" fontId="2" fillId="0" borderId="37" xfId="2" applyNumberFormat="1" applyFont="1" applyFill="1" applyBorder="1" applyAlignment="1" applyProtection="1"/>
    <xf numFmtId="164" fontId="0" fillId="0" borderId="23" xfId="0" applyNumberFormat="1" applyFont="1" applyBorder="1" applyAlignment="1">
      <alignment horizontal="center"/>
    </xf>
    <xf numFmtId="37" fontId="0" fillId="3" borderId="23" xfId="0" applyNumberFormat="1" applyFill="1" applyBorder="1"/>
    <xf numFmtId="164" fontId="0" fillId="3" borderId="23" xfId="1" applyNumberFormat="1" applyFont="1" applyFill="1" applyBorder="1"/>
    <xf numFmtId="165" fontId="0" fillId="3" borderId="38" xfId="1" applyNumberFormat="1" applyFont="1" applyFill="1" applyBorder="1"/>
    <xf numFmtId="171" fontId="0" fillId="0" borderId="38" xfId="5" applyNumberFormat="1" applyFont="1" applyFill="1" applyBorder="1" applyAlignment="1" applyProtection="1"/>
    <xf numFmtId="171" fontId="0" fillId="0" borderId="39" xfId="5" applyNumberFormat="1" applyFont="1" applyFill="1" applyBorder="1" applyAlignment="1" applyProtection="1"/>
    <xf numFmtId="171" fontId="0" fillId="0" borderId="40" xfId="5" applyNumberFormat="1" applyFont="1" applyFill="1" applyBorder="1" applyAlignment="1" applyProtection="1"/>
    <xf numFmtId="0" fontId="15" fillId="3" borderId="23" xfId="0" applyFont="1" applyFill="1" applyBorder="1"/>
    <xf numFmtId="0" fontId="19" fillId="3" borderId="23" xfId="0" applyFont="1" applyFill="1" applyBorder="1"/>
    <xf numFmtId="0" fontId="0" fillId="0" borderId="41" xfId="0" applyFont="1" applyBorder="1" applyAlignment="1">
      <alignment horizontal="center"/>
    </xf>
    <xf numFmtId="0" fontId="10" fillId="3" borderId="42" xfId="0" applyFont="1" applyFill="1" applyBorder="1"/>
    <xf numFmtId="166" fontId="10" fillId="3" borderId="42" xfId="1" applyNumberFormat="1" applyFont="1" applyFill="1" applyBorder="1"/>
    <xf numFmtId="165" fontId="10" fillId="3" borderId="42" xfId="1" applyFont="1" applyFill="1" applyBorder="1"/>
    <xf numFmtId="166" fontId="0" fillId="3" borderId="42" xfId="1" applyNumberFormat="1" applyFont="1" applyFill="1" applyBorder="1"/>
    <xf numFmtId="0" fontId="10" fillId="3" borderId="41" xfId="0" applyFont="1" applyFill="1" applyBorder="1"/>
    <xf numFmtId="166" fontId="10" fillId="3" borderId="41" xfId="1" applyNumberFormat="1" applyFont="1" applyFill="1" applyBorder="1"/>
    <xf numFmtId="165" fontId="10" fillId="3" borderId="41" xfId="1" applyFont="1" applyFill="1" applyBorder="1"/>
    <xf numFmtId="166" fontId="0" fillId="3" borderId="41" xfId="1" applyNumberFormat="1" applyFont="1" applyFill="1" applyBorder="1"/>
    <xf numFmtId="165" fontId="29" fillId="3" borderId="11" xfId="0" applyNumberFormat="1" applyFont="1" applyFill="1" applyBorder="1"/>
    <xf numFmtId="0" fontId="10" fillId="3" borderId="27" xfId="0" applyFont="1" applyFill="1" applyBorder="1" applyAlignment="1">
      <alignment horizontal="center" vertical="center"/>
    </xf>
    <xf numFmtId="0" fontId="10" fillId="3" borderId="27" xfId="0" applyFont="1" applyFill="1" applyBorder="1" applyAlignment="1">
      <alignment horizontal="center" vertical="center"/>
    </xf>
    <xf numFmtId="12" fontId="0" fillId="0" borderId="18" xfId="0" applyNumberFormat="1" applyFont="1" applyBorder="1"/>
    <xf numFmtId="0" fontId="0" fillId="0" borderId="18" xfId="0" applyBorder="1"/>
    <xf numFmtId="166" fontId="10" fillId="0" borderId="18" xfId="0" applyNumberFormat="1" applyFont="1" applyBorder="1"/>
    <xf numFmtId="0" fontId="0" fillId="5" borderId="32" xfId="0" applyFont="1" applyFill="1" applyBorder="1"/>
    <xf numFmtId="164" fontId="0" fillId="0" borderId="18" xfId="0" applyNumberFormat="1" applyBorder="1"/>
    <xf numFmtId="164" fontId="0" fillId="0" borderId="0" xfId="0" applyNumberFormat="1" applyFont="1" applyBorder="1"/>
    <xf numFmtId="167" fontId="0" fillId="0" borderId="0" xfId="0" applyNumberFormat="1" applyFont="1" applyBorder="1"/>
    <xf numFmtId="0" fontId="0" fillId="0" borderId="0" xfId="0" applyFont="1" applyFill="1" applyBorder="1" applyAlignment="1">
      <alignment horizontal="center" vertical="center"/>
    </xf>
    <xf numFmtId="0" fontId="0" fillId="0" borderId="0" xfId="0" applyFont="1" applyFill="1" applyBorder="1" applyAlignment="1">
      <alignment horizontal="center"/>
    </xf>
    <xf numFmtId="165" fontId="0" fillId="0" borderId="0" xfId="0" applyNumberFormat="1" applyFont="1" applyFill="1" applyBorder="1"/>
    <xf numFmtId="165" fontId="0" fillId="0" borderId="0" xfId="0" applyNumberFormat="1" applyFill="1" applyBorder="1"/>
    <xf numFmtId="165" fontId="0" fillId="0" borderId="0" xfId="1" applyNumberFormat="1" applyFont="1" applyFill="1" applyBorder="1"/>
    <xf numFmtId="167" fontId="0" fillId="0" borderId="0" xfId="2" applyNumberFormat="1" applyFont="1" applyFill="1" applyBorder="1"/>
    <xf numFmtId="165" fontId="9" fillId="0" borderId="0" xfId="1" applyFont="1" applyFill="1" applyBorder="1"/>
    <xf numFmtId="167" fontId="0" fillId="0" borderId="0" xfId="0" applyNumberFormat="1" applyFont="1" applyFill="1" applyBorder="1"/>
    <xf numFmtId="0" fontId="0" fillId="3" borderId="6" xfId="0" applyFont="1" applyFill="1" applyBorder="1" applyAlignment="1">
      <alignment horizontal="center"/>
    </xf>
    <xf numFmtId="167" fontId="0" fillId="3" borderId="11" xfId="2" applyNumberFormat="1" applyFont="1" applyFill="1" applyBorder="1"/>
    <xf numFmtId="165" fontId="9" fillId="0" borderId="46" xfId="1" applyFont="1" applyBorder="1"/>
    <xf numFmtId="165" fontId="9" fillId="0" borderId="47" xfId="1" applyFont="1" applyBorder="1"/>
    <xf numFmtId="0" fontId="0" fillId="0" borderId="47" xfId="0" applyFont="1" applyBorder="1"/>
    <xf numFmtId="0" fontId="0" fillId="0" borderId="0" xfId="0" applyFont="1" applyBorder="1" applyAlignment="1">
      <alignment horizontal="center" vertical="center"/>
    </xf>
    <xf numFmtId="0" fontId="0" fillId="0" borderId="0" xfId="0" applyFont="1" applyAlignment="1">
      <alignment horizontal="center" vertical="center"/>
    </xf>
    <xf numFmtId="0" fontId="0" fillId="0" borderId="49" xfId="0" applyFont="1" applyFill="1" applyBorder="1"/>
    <xf numFmtId="0" fontId="0" fillId="0" borderId="48" xfId="0" applyFont="1" applyFill="1" applyBorder="1"/>
    <xf numFmtId="0" fontId="0" fillId="0" borderId="50" xfId="0" applyFont="1" applyFill="1" applyBorder="1"/>
    <xf numFmtId="0" fontId="0" fillId="0" borderId="5" xfId="0" applyFont="1" applyFill="1" applyBorder="1" applyAlignment="1">
      <alignment horizontal="center" vertical="center"/>
    </xf>
    <xf numFmtId="0" fontId="0" fillId="0" borderId="18" xfId="0" applyFont="1" applyFill="1" applyBorder="1" applyAlignment="1">
      <alignment horizontal="center" vertical="center"/>
    </xf>
    <xf numFmtId="0" fontId="0" fillId="0" borderId="18" xfId="0" applyFont="1" applyFill="1" applyBorder="1"/>
    <xf numFmtId="0" fontId="0" fillId="0" borderId="51" xfId="0" applyFont="1" applyBorder="1"/>
    <xf numFmtId="0" fontId="0" fillId="0" borderId="41" xfId="0" applyFont="1" applyBorder="1"/>
    <xf numFmtId="0" fontId="0" fillId="0" borderId="23" xfId="0" applyFont="1" applyFill="1" applyBorder="1"/>
    <xf numFmtId="0" fontId="0" fillId="0" borderId="41" xfId="0" applyFont="1" applyFill="1" applyBorder="1"/>
    <xf numFmtId="0" fontId="0" fillId="0" borderId="41" xfId="0" applyFont="1" applyFill="1" applyBorder="1" applyAlignment="1">
      <alignment horizontal="center" vertical="center"/>
    </xf>
    <xf numFmtId="0" fontId="0" fillId="0" borderId="23" xfId="0" applyFont="1" applyFill="1" applyBorder="1" applyAlignment="1">
      <alignment horizontal="center" vertical="center"/>
    </xf>
    <xf numFmtId="0" fontId="0" fillId="0" borderId="27" xfId="0" applyFont="1" applyFill="1" applyBorder="1" applyAlignment="1">
      <alignment horizontal="center" vertical="center"/>
    </xf>
    <xf numFmtId="0" fontId="0" fillId="0" borderId="27" xfId="0" applyFont="1" applyBorder="1" applyAlignment="1">
      <alignment horizontal="center" vertical="center"/>
    </xf>
    <xf numFmtId="0" fontId="0" fillId="0" borderId="27" xfId="0" applyFont="1" applyBorder="1"/>
    <xf numFmtId="0" fontId="0" fillId="0" borderId="27" xfId="0" applyFont="1" applyFill="1" applyBorder="1"/>
    <xf numFmtId="0" fontId="0" fillId="0" borderId="28" xfId="0" applyFont="1" applyFill="1" applyBorder="1" applyAlignment="1">
      <alignment horizontal="center" vertical="center"/>
    </xf>
    <xf numFmtId="0" fontId="0" fillId="0" borderId="52" xfId="0" applyFont="1" applyFill="1" applyBorder="1" applyAlignment="1">
      <alignment vertical="center"/>
    </xf>
    <xf numFmtId="0" fontId="10" fillId="3" borderId="47" xfId="0" applyFont="1" applyFill="1" applyBorder="1" applyAlignment="1">
      <alignment horizontal="center"/>
    </xf>
    <xf numFmtId="0" fontId="10" fillId="3" borderId="51" xfId="0" applyFont="1" applyFill="1" applyBorder="1"/>
    <xf numFmtId="166" fontId="10" fillId="3" borderId="51" xfId="1" applyNumberFormat="1" applyFont="1" applyFill="1" applyBorder="1"/>
    <xf numFmtId="165" fontId="10" fillId="3" borderId="51" xfId="1" applyNumberFormat="1" applyFont="1" applyFill="1" applyBorder="1" applyAlignment="1"/>
    <xf numFmtId="164" fontId="0" fillId="3" borderId="51" xfId="0" applyNumberFormat="1" applyFont="1" applyFill="1" applyBorder="1"/>
    <xf numFmtId="0" fontId="0" fillId="3" borderId="51" xfId="0" applyFont="1" applyFill="1" applyBorder="1"/>
    <xf numFmtId="166" fontId="0" fillId="0" borderId="51" xfId="0" applyNumberFormat="1" applyFont="1" applyBorder="1"/>
    <xf numFmtId="165" fontId="0" fillId="0" borderId="51" xfId="0" applyNumberFormat="1" applyFont="1" applyBorder="1"/>
    <xf numFmtId="166" fontId="10" fillId="3" borderId="47" xfId="1" applyNumberFormat="1" applyFont="1" applyFill="1" applyBorder="1"/>
    <xf numFmtId="0" fontId="10" fillId="3" borderId="0" xfId="0" applyFont="1" applyFill="1" applyBorder="1" applyAlignment="1">
      <alignment horizontal="center"/>
    </xf>
    <xf numFmtId="0" fontId="10" fillId="3" borderId="54" xfId="0" applyFont="1" applyFill="1" applyBorder="1"/>
    <xf numFmtId="0" fontId="10" fillId="3" borderId="55" xfId="0" applyFont="1" applyFill="1" applyBorder="1" applyAlignment="1">
      <alignment horizontal="center"/>
    </xf>
    <xf numFmtId="0" fontId="10" fillId="3" borderId="55" xfId="0" applyFont="1" applyFill="1" applyBorder="1"/>
    <xf numFmtId="166" fontId="10" fillId="3" borderId="55" xfId="1" applyNumberFormat="1" applyFont="1" applyFill="1" applyBorder="1"/>
    <xf numFmtId="165" fontId="10" fillId="3" borderId="55" xfId="1" applyNumberFormat="1" applyFont="1" applyFill="1" applyBorder="1" applyAlignment="1"/>
    <xf numFmtId="164" fontId="0" fillId="3" borderId="55" xfId="0" applyNumberFormat="1" applyFont="1" applyFill="1" applyBorder="1"/>
    <xf numFmtId="166" fontId="0" fillId="3" borderId="55" xfId="1" applyNumberFormat="1" applyFont="1" applyFill="1" applyBorder="1"/>
    <xf numFmtId="166" fontId="0" fillId="0" borderId="55" xfId="0" applyNumberFormat="1" applyFont="1" applyBorder="1"/>
    <xf numFmtId="0" fontId="0" fillId="0" borderId="55" xfId="0" applyFont="1" applyBorder="1"/>
    <xf numFmtId="165" fontId="0" fillId="0" borderId="55" xfId="0" applyNumberFormat="1" applyFont="1" applyBorder="1"/>
    <xf numFmtId="0" fontId="0" fillId="0" borderId="55" xfId="0" applyFont="1" applyFill="1" applyBorder="1" applyAlignment="1">
      <alignment horizontal="center" vertical="center"/>
    </xf>
    <xf numFmtId="0" fontId="0" fillId="0" borderId="55" xfId="0" applyFont="1" applyFill="1" applyBorder="1"/>
    <xf numFmtId="0" fontId="0" fillId="3" borderId="55" xfId="0" applyFont="1" applyFill="1" applyBorder="1"/>
    <xf numFmtId="0" fontId="11" fillId="3" borderId="41" xfId="0" applyFont="1" applyFill="1" applyBorder="1"/>
    <xf numFmtId="165" fontId="10" fillId="3" borderId="41" xfId="1" applyNumberFormat="1" applyFont="1" applyFill="1" applyBorder="1" applyAlignment="1"/>
    <xf numFmtId="0" fontId="0" fillId="3" borderId="41" xfId="0" applyFont="1" applyFill="1" applyBorder="1"/>
    <xf numFmtId="0" fontId="0" fillId="0" borderId="56" xfId="0" applyFont="1" applyFill="1" applyBorder="1"/>
    <xf numFmtId="0" fontId="20" fillId="3" borderId="55" xfId="0" applyFont="1" applyFill="1" applyBorder="1" applyAlignment="1">
      <alignment horizontal="center"/>
    </xf>
    <xf numFmtId="164" fontId="0" fillId="0" borderId="55" xfId="0" applyNumberFormat="1" applyFont="1" applyBorder="1"/>
    <xf numFmtId="0" fontId="11" fillId="3" borderId="10" xfId="0" applyFont="1" applyFill="1" applyBorder="1"/>
    <xf numFmtId="0" fontId="0" fillId="3" borderId="10" xfId="0" applyFont="1" applyFill="1" applyBorder="1"/>
    <xf numFmtId="166" fontId="0" fillId="3" borderId="10" xfId="1" applyNumberFormat="1" applyFont="1" applyFill="1" applyBorder="1"/>
    <xf numFmtId="165" fontId="0" fillId="3" borderId="10" xfId="1" applyNumberFormat="1" applyFont="1" applyFill="1" applyBorder="1"/>
    <xf numFmtId="0" fontId="0" fillId="3" borderId="57" xfId="0" applyFont="1" applyFill="1" applyBorder="1"/>
    <xf numFmtId="166" fontId="10" fillId="3" borderId="57" xfId="1" applyNumberFormat="1" applyFont="1" applyFill="1" applyBorder="1"/>
    <xf numFmtId="165" fontId="10" fillId="3" borderId="57" xfId="1" applyNumberFormat="1" applyFont="1" applyFill="1" applyBorder="1"/>
    <xf numFmtId="166" fontId="0" fillId="3" borderId="57" xfId="1" applyNumberFormat="1" applyFont="1" applyFill="1" applyBorder="1"/>
    <xf numFmtId="166" fontId="0" fillId="0" borderId="57" xfId="0" applyNumberFormat="1" applyFont="1" applyBorder="1"/>
    <xf numFmtId="0" fontId="0" fillId="0" borderId="57" xfId="0" applyFont="1" applyBorder="1"/>
    <xf numFmtId="165" fontId="0" fillId="0" borderId="57" xfId="0" applyNumberFormat="1" applyFont="1" applyBorder="1"/>
    <xf numFmtId="0" fontId="0" fillId="0" borderId="57" xfId="0" applyFont="1" applyFill="1" applyBorder="1" applyAlignment="1">
      <alignment horizontal="center" vertical="center"/>
    </xf>
    <xf numFmtId="0" fontId="0" fillId="0" borderId="57" xfId="0" applyFont="1" applyFill="1" applyBorder="1"/>
    <xf numFmtId="166" fontId="0" fillId="0" borderId="55" xfId="1" applyNumberFormat="1" applyFont="1" applyBorder="1"/>
    <xf numFmtId="0" fontId="15" fillId="3" borderId="55" xfId="0" applyFont="1" applyFill="1" applyBorder="1"/>
    <xf numFmtId="166" fontId="10" fillId="5" borderId="23" xfId="1" applyNumberFormat="1" applyFont="1" applyFill="1" applyBorder="1"/>
    <xf numFmtId="165" fontId="10" fillId="3" borderId="55" xfId="1" applyNumberFormat="1" applyFont="1" applyFill="1" applyBorder="1"/>
    <xf numFmtId="0" fontId="0" fillId="3" borderId="51" xfId="0" applyFill="1" applyBorder="1"/>
    <xf numFmtId="165" fontId="10" fillId="3" borderId="51" xfId="1" applyNumberFormat="1" applyFont="1" applyFill="1" applyBorder="1"/>
    <xf numFmtId="166" fontId="0" fillId="3" borderId="51" xfId="1" applyNumberFormat="1" applyFont="1" applyFill="1" applyBorder="1"/>
    <xf numFmtId="166" fontId="10" fillId="5" borderId="18" xfId="1" applyNumberFormat="1" applyFont="1" applyFill="1" applyBorder="1"/>
    <xf numFmtId="0" fontId="10" fillId="5" borderId="47" xfId="0" applyFont="1" applyFill="1" applyBorder="1" applyAlignment="1">
      <alignment horizontal="center"/>
    </xf>
    <xf numFmtId="0" fontId="10" fillId="5" borderId="18" xfId="0" applyFont="1" applyFill="1" applyBorder="1" applyAlignment="1">
      <alignment horizontal="center"/>
    </xf>
    <xf numFmtId="0" fontId="0" fillId="0" borderId="55" xfId="0" applyFont="1" applyBorder="1" applyAlignment="1">
      <alignment horizontal="center"/>
    </xf>
    <xf numFmtId="165" fontId="10" fillId="3" borderId="55" xfId="1" applyFont="1" applyFill="1" applyBorder="1"/>
    <xf numFmtId="0" fontId="19" fillId="3" borderId="55" xfId="0" applyFont="1" applyFill="1" applyBorder="1"/>
    <xf numFmtId="167" fontId="0" fillId="3" borderId="55" xfId="2" applyNumberFormat="1" applyFont="1" applyFill="1" applyBorder="1"/>
    <xf numFmtId="0" fontId="0" fillId="0" borderId="57" xfId="0" applyFont="1" applyBorder="1" applyAlignment="1">
      <alignment horizontal="center"/>
    </xf>
    <xf numFmtId="167" fontId="0" fillId="3" borderId="57" xfId="2" applyNumberFormat="1" applyFont="1" applyFill="1" applyBorder="1"/>
    <xf numFmtId="164" fontId="0" fillId="0" borderId="57" xfId="0" applyNumberFormat="1" applyFont="1" applyBorder="1"/>
    <xf numFmtId="0" fontId="0" fillId="5" borderId="18" xfId="0" applyFont="1" applyFill="1" applyBorder="1"/>
    <xf numFmtId="0" fontId="0" fillId="3" borderId="0" xfId="0" applyFill="1"/>
    <xf numFmtId="0" fontId="0" fillId="3" borderId="55" xfId="0" applyFont="1" applyFill="1" applyBorder="1" applyAlignment="1">
      <alignment horizontal="center" vertical="center"/>
    </xf>
    <xf numFmtId="0" fontId="0" fillId="3" borderId="49" xfId="0" applyFont="1" applyFill="1" applyBorder="1"/>
    <xf numFmtId="0" fontId="0" fillId="3" borderId="18" xfId="0" applyFont="1" applyFill="1" applyBorder="1" applyAlignment="1">
      <alignment horizontal="center" vertical="center"/>
    </xf>
    <xf numFmtId="0" fontId="19" fillId="3" borderId="57" xfId="0" applyFont="1" applyFill="1" applyBorder="1"/>
    <xf numFmtId="0" fontId="16" fillId="3" borderId="55" xfId="0" applyFont="1" applyFill="1" applyBorder="1"/>
    <xf numFmtId="0" fontId="10" fillId="3" borderId="57" xfId="0" applyFont="1" applyFill="1" applyBorder="1"/>
    <xf numFmtId="0" fontId="0" fillId="5" borderId="55" xfId="0" applyFont="1" applyFill="1" applyBorder="1"/>
    <xf numFmtId="0" fontId="7" fillId="3" borderId="55" xfId="0" applyFont="1" applyFill="1" applyBorder="1"/>
    <xf numFmtId="165" fontId="10" fillId="3" borderId="57" xfId="1" applyFont="1" applyFill="1" applyBorder="1"/>
    <xf numFmtId="0" fontId="0" fillId="0" borderId="28" xfId="0" applyFont="1" applyBorder="1" applyAlignment="1">
      <alignment horizontal="center" vertical="center"/>
    </xf>
    <xf numFmtId="0" fontId="0" fillId="0" borderId="30" xfId="0" applyFont="1" applyBorder="1" applyAlignment="1">
      <alignment horizontal="center" vertical="center"/>
    </xf>
    <xf numFmtId="0" fontId="0" fillId="0" borderId="28" xfId="0" applyFont="1" applyFill="1" applyBorder="1" applyAlignment="1">
      <alignment horizontal="center" vertical="center"/>
    </xf>
    <xf numFmtId="0" fontId="0" fillId="0" borderId="33" xfId="0" applyFont="1" applyFill="1" applyBorder="1" applyAlignment="1">
      <alignment horizontal="center" vertical="center"/>
    </xf>
    <xf numFmtId="0" fontId="0" fillId="0" borderId="30" xfId="0" applyFont="1" applyFill="1" applyBorder="1" applyAlignment="1">
      <alignment horizontal="center" vertical="center"/>
    </xf>
    <xf numFmtId="0" fontId="0" fillId="0" borderId="27" xfId="0" applyFont="1" applyFill="1" applyBorder="1" applyAlignment="1">
      <alignment horizontal="center" vertical="center"/>
    </xf>
    <xf numFmtId="0" fontId="0" fillId="0" borderId="43" xfId="0" applyFont="1" applyFill="1" applyBorder="1" applyAlignment="1">
      <alignment horizontal="center" vertical="center"/>
    </xf>
    <xf numFmtId="0" fontId="0" fillId="0" borderId="52" xfId="0" applyFont="1" applyFill="1" applyBorder="1" applyAlignment="1">
      <alignment horizontal="center" vertical="center"/>
    </xf>
    <xf numFmtId="0" fontId="0" fillId="0" borderId="53" xfId="0" applyFont="1" applyFill="1" applyBorder="1" applyAlignment="1">
      <alignment horizontal="center" vertical="center"/>
    </xf>
    <xf numFmtId="0" fontId="10" fillId="3" borderId="28" xfId="0" applyFont="1" applyFill="1" applyBorder="1" applyAlignment="1">
      <alignment horizontal="center" vertical="center"/>
    </xf>
    <xf numFmtId="0" fontId="10" fillId="3" borderId="33" xfId="0" applyFont="1" applyFill="1" applyBorder="1" applyAlignment="1">
      <alignment horizontal="center" vertical="center"/>
    </xf>
    <xf numFmtId="0" fontId="10" fillId="3" borderId="30" xfId="0" applyFont="1" applyFill="1" applyBorder="1" applyAlignment="1">
      <alignment horizontal="center" vertical="center"/>
    </xf>
    <xf numFmtId="164" fontId="10" fillId="3" borderId="28" xfId="2" applyFont="1" applyFill="1" applyBorder="1" applyAlignment="1">
      <alignment horizontal="center" vertical="center" wrapText="1"/>
    </xf>
    <xf numFmtId="164" fontId="10" fillId="3" borderId="30" xfId="2" applyFont="1" applyFill="1" applyBorder="1" applyAlignment="1">
      <alignment horizontal="center" vertical="center" wrapText="1"/>
    </xf>
    <xf numFmtId="0" fontId="0" fillId="3" borderId="44" xfId="0" applyFont="1" applyFill="1" applyBorder="1" applyAlignment="1">
      <alignment horizontal="center" vertical="center"/>
    </xf>
    <xf numFmtId="0" fontId="0" fillId="3" borderId="45" xfId="0" applyFont="1" applyFill="1" applyBorder="1" applyAlignment="1">
      <alignment horizontal="center" vertical="center"/>
    </xf>
    <xf numFmtId="0" fontId="10" fillId="3" borderId="27" xfId="0" applyFont="1" applyFill="1" applyBorder="1" applyAlignment="1">
      <alignment horizontal="center" vertical="center"/>
    </xf>
    <xf numFmtId="165" fontId="10" fillId="3" borderId="27" xfId="1" applyNumberFormat="1" applyFont="1" applyFill="1" applyBorder="1" applyAlignment="1">
      <alignment horizontal="center" vertical="center"/>
    </xf>
    <xf numFmtId="164" fontId="10" fillId="3" borderId="27" xfId="2" applyFont="1" applyFill="1" applyBorder="1" applyAlignment="1">
      <alignment horizontal="center"/>
    </xf>
    <xf numFmtId="0" fontId="0" fillId="3" borderId="28" xfId="0" applyFont="1" applyFill="1" applyBorder="1" applyAlignment="1">
      <alignment horizontal="center" vertical="center"/>
    </xf>
    <xf numFmtId="0" fontId="0" fillId="3" borderId="30" xfId="0" applyFont="1" applyFill="1" applyBorder="1" applyAlignment="1">
      <alignment horizontal="center" vertical="center"/>
    </xf>
    <xf numFmtId="0" fontId="11" fillId="3" borderId="15" xfId="0" applyFont="1" applyFill="1" applyBorder="1" applyAlignment="1">
      <alignment horizontal="center"/>
    </xf>
    <xf numFmtId="0" fontId="11" fillId="3" borderId="21" xfId="0" applyFont="1" applyFill="1" applyBorder="1" applyAlignment="1">
      <alignment horizontal="center"/>
    </xf>
    <xf numFmtId="165" fontId="11" fillId="3" borderId="0" xfId="1" applyNumberFormat="1" applyFont="1" applyFill="1" applyBorder="1" applyAlignment="1">
      <alignment horizontal="center"/>
    </xf>
    <xf numFmtId="164" fontId="5" fillId="0" borderId="0" xfId="3" applyNumberFormat="1" applyFont="1" applyFill="1" applyAlignment="1">
      <alignment horizontal="center"/>
    </xf>
    <xf numFmtId="17" fontId="28" fillId="0" borderId="0" xfId="3" quotePrefix="1" applyNumberFormat="1" applyFont="1" applyAlignment="1">
      <alignment horizontal="center"/>
    </xf>
    <xf numFmtId="0" fontId="8" fillId="0" borderId="0" xfId="3" applyFont="1" applyAlignment="1">
      <alignment horizontal="center"/>
    </xf>
    <xf numFmtId="0" fontId="11" fillId="3" borderId="41" xfId="0" applyFont="1" applyFill="1" applyBorder="1" applyAlignment="1">
      <alignment horizontal="center"/>
    </xf>
    <xf numFmtId="165" fontId="11" fillId="3" borderId="41" xfId="1" applyNumberFormat="1" applyFont="1" applyFill="1" applyBorder="1" applyAlignment="1">
      <alignment horizontal="center"/>
    </xf>
    <xf numFmtId="0" fontId="10" fillId="3" borderId="41" xfId="3" applyFont="1" applyFill="1" applyBorder="1" applyAlignment="1">
      <alignment horizontal="center"/>
    </xf>
    <xf numFmtId="16" fontId="10" fillId="3" borderId="41" xfId="3" applyNumberFormat="1" applyFont="1" applyFill="1" applyBorder="1" applyAlignment="1">
      <alignment horizontal="center"/>
    </xf>
    <xf numFmtId="0" fontId="0" fillId="3" borderId="41" xfId="0" applyFont="1" applyFill="1" applyBorder="1" applyAlignment="1">
      <alignment horizontal="center"/>
    </xf>
    <xf numFmtId="165" fontId="10" fillId="3" borderId="57" xfId="1" applyNumberFormat="1" applyFont="1" applyFill="1" applyBorder="1" applyAlignment="1"/>
    <xf numFmtId="164" fontId="0" fillId="3" borderId="57" xfId="0" applyNumberFormat="1" applyFont="1" applyFill="1" applyBorder="1"/>
  </cellXfs>
  <cellStyles count="7">
    <cellStyle name="Comma" xfId="1" builtinId="3"/>
    <cellStyle name="Comma [0]" xfId="2" builtinId="6"/>
    <cellStyle name="Comma [0] 2" xfId="4"/>
    <cellStyle name="Comma[0]_SS,MS" xfId="5"/>
    <cellStyle name="Normal" xfId="0" builtinId="0"/>
    <cellStyle name="Normal 2" xfId="6"/>
    <cellStyle name="Normal 2 2" xfId="3"/>
  </cellStyles>
  <dxfs count="0"/>
  <tableStyles count="0" defaultTableStyle="TableStyleMedium9" defaultPivotStyle="PivotStyleLight16"/>
  <colors>
    <mruColors>
      <color rgb="FF00CC00"/>
      <color rgb="FFD60093"/>
      <color rgb="FFCC0099"/>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externalLink" Target="externalLinks/externalLink9.xml"/><Relationship Id="rId2" Type="http://schemas.openxmlformats.org/officeDocument/2006/relationships/worksheet" Target="worksheets/sheet2.xml"/><Relationship Id="rId16" Type="http://schemas.openxmlformats.org/officeDocument/2006/relationships/externalLink" Target="externalLinks/externalLink8.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externalLink" Target="externalLinks/externalLink7.xml"/><Relationship Id="rId10" Type="http://schemas.openxmlformats.org/officeDocument/2006/relationships/externalLink" Target="externalLinks/externalLink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Februari%20201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Documents%20and%20Settings/user/My%20Documents/Berita%20Acara%20Stok%20Opname%20Triwulan%20II%20th%20201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Maret%20201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Januari%20201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Juni%202013REV.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JULI%202013.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Juli%20201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September%20201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April%2020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1"/>
      <sheetName val="KEL A-2"/>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row r="3">
          <cell r="G3" t="str">
            <v>PRKO RATU BOKO</v>
          </cell>
        </row>
        <row r="5">
          <cell r="H5">
            <v>8000</v>
          </cell>
        </row>
      </sheetData>
      <sheetData sheetId="5" refreshError="1"/>
      <sheetData sheetId="6" refreshError="1"/>
      <sheetData sheetId="7" refreshError="1">
        <row r="2">
          <cell r="GS2" t="str">
            <v>SHP RATU BOKO</v>
          </cell>
        </row>
        <row r="4">
          <cell r="GS4">
            <v>7500</v>
          </cell>
          <cell r="GT4">
            <v>12500</v>
          </cell>
          <cell r="GU4">
            <v>5000</v>
          </cell>
        </row>
      </sheetData>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ERITA ACARA"/>
      <sheetName val="Konsinyasi"/>
      <sheetName val="Prangko Definitif"/>
      <sheetName val="Rekap PRKO-DEFINITIF"/>
      <sheetName val="Prangko Filateli "/>
      <sheetName val="SS,MS"/>
      <sheetName val="SHP,SP"/>
      <sheetName val="Kemasan"/>
      <sheetName val="Merchandise,Album"/>
      <sheetName val="PRISMA"/>
      <sheetName val="Lain-lain"/>
      <sheetName val="Rekap"/>
    </sheetNames>
    <sheetDataSet>
      <sheetData sheetId="0" refreshError="1"/>
      <sheetData sheetId="1" refreshError="1"/>
      <sheetData sheetId="2" refreshError="1"/>
      <sheetData sheetId="3" refreshError="1"/>
      <sheetData sheetId="4" refreshError="1">
        <row r="150">
          <cell r="D150">
            <v>178.49</v>
          </cell>
        </row>
        <row r="196">
          <cell r="D196">
            <v>226.62</v>
          </cell>
        </row>
        <row r="201">
          <cell r="D201">
            <v>109.83</v>
          </cell>
        </row>
      </sheetData>
      <sheetData sheetId="5" refreshError="1"/>
      <sheetData sheetId="6" refreshError="1">
        <row r="751">
          <cell r="D751">
            <v>2068</v>
          </cell>
        </row>
        <row r="752">
          <cell r="D752">
            <v>2628</v>
          </cell>
        </row>
        <row r="753">
          <cell r="D753">
            <v>2103</v>
          </cell>
        </row>
        <row r="754">
          <cell r="D754">
            <v>5291</v>
          </cell>
        </row>
        <row r="755">
          <cell r="D755">
            <v>1850</v>
          </cell>
        </row>
        <row r="756">
          <cell r="D756">
            <v>1850</v>
          </cell>
        </row>
        <row r="762">
          <cell r="D762">
            <v>2103</v>
          </cell>
        </row>
      </sheetData>
      <sheetData sheetId="7" refreshError="1"/>
      <sheetData sheetId="8" refreshError="1"/>
      <sheetData sheetId="9" refreshError="1"/>
      <sheetData sheetId="10" refreshError="1"/>
      <sheetData sheetId="1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1"/>
      <sheetName val="KEL A-2"/>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row r="3">
          <cell r="I3" t="str">
            <v>PRKO ALAT MUSIK TRAD</v>
          </cell>
        </row>
        <row r="5">
          <cell r="I5">
            <v>30000</v>
          </cell>
        </row>
      </sheetData>
      <sheetData sheetId="5" refreshError="1"/>
      <sheetData sheetId="6" refreshError="1"/>
      <sheetData sheetId="7" refreshError="1">
        <row r="2">
          <cell r="GV2" t="str">
            <v>SHP ALAT MUSIK TRAD</v>
          </cell>
        </row>
        <row r="4">
          <cell r="GV4">
            <v>37500</v>
          </cell>
        </row>
      </sheetData>
      <sheetData sheetId="8" refreshError="1"/>
      <sheetData sheetId="9" refreshError="1"/>
      <sheetData sheetId="10" refreshError="1"/>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row r="3">
          <cell r="FC3" t="str">
            <v>SS TAHUN ULAR 2564</v>
          </cell>
        </row>
        <row r="5">
          <cell r="FA5">
            <v>5000</v>
          </cell>
        </row>
      </sheetData>
      <sheetData sheetId="5" refreshError="1"/>
      <sheetData sheetId="6" refreshError="1">
        <row r="2">
          <cell r="GQ2" t="str">
            <v>SHP SHIO ULAR</v>
          </cell>
        </row>
        <row r="4">
          <cell r="GQ4">
            <v>17500</v>
          </cell>
        </row>
      </sheetData>
      <sheetData sheetId="7" refreshError="1"/>
      <sheetData sheetId="8" refreshError="1"/>
      <sheetData sheetId="9" refreshError="1"/>
      <sheetData sheetId="1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1"/>
      <sheetName val="KEL A-2"/>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sheetData sheetId="5" refreshError="1">
        <row r="3">
          <cell r="FE3" t="str">
            <v>SS PEDULI LINGK</v>
          </cell>
        </row>
        <row r="5">
          <cell r="FE5">
            <v>5000</v>
          </cell>
          <cell r="FF5">
            <v>10000</v>
          </cell>
          <cell r="FG5">
            <v>10000</v>
          </cell>
        </row>
      </sheetData>
      <sheetData sheetId="6" refreshError="1"/>
      <sheetData sheetId="7" refreshError="1">
        <row r="2">
          <cell r="GX2" t="str">
            <v>SHP PEDULI LINGK</v>
          </cell>
        </row>
        <row r="4">
          <cell r="GX4">
            <v>7500</v>
          </cell>
          <cell r="GY4">
            <v>7500</v>
          </cell>
          <cell r="GZ4">
            <v>12500</v>
          </cell>
          <cell r="HA4">
            <v>5000</v>
          </cell>
          <cell r="HB4">
            <v>10000</v>
          </cell>
          <cell r="HC4">
            <v>8500</v>
          </cell>
        </row>
      </sheetData>
      <sheetData sheetId="8" refreshError="1"/>
      <sheetData sheetId="9" refreshError="1"/>
      <sheetData sheetId="10" refreshError="1"/>
      <sheetData sheetId="1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1"/>
      <sheetName val="KEL A-2"/>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sheetData sheetId="5" refreshError="1">
        <row r="3">
          <cell r="FH3" t="str">
            <v>SS THAILAND</v>
          </cell>
        </row>
        <row r="5">
          <cell r="FH5">
            <v>10000</v>
          </cell>
        </row>
      </sheetData>
      <sheetData sheetId="6" refreshError="1"/>
      <sheetData sheetId="7" refreshError="1"/>
      <sheetData sheetId="8" refreshError="1"/>
      <sheetData sheetId="9" refreshError="1"/>
      <sheetData sheetId="10" refreshError="1">
        <row r="3">
          <cell r="AY3" t="str">
            <v>PRISMA BINGKAI BENDERA</v>
          </cell>
        </row>
        <row r="5">
          <cell r="AY5">
            <v>28000</v>
          </cell>
          <cell r="AZ5">
            <v>28000</v>
          </cell>
        </row>
      </sheetData>
      <sheetData sheetId="1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sheetData sheetId="5" refreshError="1"/>
      <sheetData sheetId="6" refreshError="1">
        <row r="4">
          <cell r="FV4">
            <v>5000</v>
          </cell>
          <cell r="FX4">
            <v>7000</v>
          </cell>
          <cell r="GF4">
            <v>12000</v>
          </cell>
        </row>
      </sheetData>
      <sheetData sheetId="7" refreshError="1"/>
      <sheetData sheetId="8" refreshError="1"/>
      <sheetData sheetId="9" refreshError="1"/>
      <sheetData sheetId="1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sheetData sheetId="5" refreshError="1"/>
      <sheetData sheetId="6" refreshError="1">
        <row r="2">
          <cell r="HL2" t="str">
            <v>SHP JATI DIRI BANGSA</v>
          </cell>
          <cell r="HM2" t="str">
            <v>SP 266 POS</v>
          </cell>
        </row>
        <row r="4">
          <cell r="GG4">
            <v>7000</v>
          </cell>
          <cell r="GH4">
            <v>7000</v>
          </cell>
          <cell r="HL4">
            <v>9500</v>
          </cell>
          <cell r="HM4">
            <v>5000</v>
          </cell>
        </row>
      </sheetData>
      <sheetData sheetId="7" refreshError="1"/>
      <sheetData sheetId="8" refreshError="1"/>
      <sheetData sheetId="9" refreshError="1"/>
      <sheetData sheetId="1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1"/>
      <sheetName val="KEL A-2"/>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2">
          <cell r="GW2" t="str">
            <v>SHP JIS INA-MEXICO</v>
          </cell>
        </row>
        <row r="4">
          <cell r="GW4">
            <v>18500</v>
          </cell>
        </row>
      </sheetData>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DJ490"/>
  <sheetViews>
    <sheetView tabSelected="1" topLeftCell="A206" zoomScaleNormal="100" workbookViewId="0">
      <selection activeCell="P223" sqref="P223"/>
    </sheetView>
  </sheetViews>
  <sheetFormatPr defaultRowHeight="15" x14ac:dyDescent="0.25"/>
  <cols>
    <col min="1" max="1" width="4.5703125" style="52" customWidth="1"/>
    <col min="2" max="2" width="31.140625" style="52" customWidth="1"/>
    <col min="3" max="3" width="9" style="52" customWidth="1"/>
    <col min="4" max="4" width="12.5703125" style="52" hidden="1" customWidth="1"/>
    <col min="5" max="5" width="13.5703125" style="52" hidden="1" customWidth="1"/>
    <col min="6" max="6" width="12.140625" style="52" hidden="1" customWidth="1"/>
    <col min="7" max="7" width="11.85546875" style="52" hidden="1" customWidth="1"/>
    <col min="8" max="8" width="12.5703125" style="52" hidden="1" customWidth="1"/>
    <col min="9" max="9" width="13.28515625" style="52" hidden="1" customWidth="1"/>
    <col min="10" max="12" width="18" style="52" hidden="1" customWidth="1"/>
    <col min="13" max="13" width="18" style="52" customWidth="1"/>
    <col min="14" max="14" width="9.140625" style="309"/>
    <col min="15" max="15" width="9.85546875" style="52" bestFit="1" customWidth="1"/>
    <col min="16" max="16" width="11" style="52" customWidth="1"/>
    <col min="17" max="16384" width="9.140625" style="52"/>
  </cols>
  <sheetData>
    <row r="2" spans="1:114" x14ac:dyDescent="0.25">
      <c r="L2" s="234"/>
      <c r="M2" s="234"/>
      <c r="N2" s="295"/>
      <c r="O2" s="234"/>
      <c r="P2" s="234"/>
      <c r="Q2" s="234"/>
      <c r="R2" s="234"/>
      <c r="S2" s="234"/>
      <c r="T2" s="67"/>
      <c r="U2" s="67"/>
      <c r="V2" s="67"/>
    </row>
    <row r="3" spans="1:114" ht="15.75" thickBot="1" x14ac:dyDescent="0.3">
      <c r="A3" s="103" t="s">
        <v>655</v>
      </c>
      <c r="G3" s="210" t="s">
        <v>913</v>
      </c>
      <c r="L3" s="234"/>
      <c r="M3" s="234"/>
      <c r="N3" s="295"/>
      <c r="O3" s="234"/>
      <c r="P3" s="234"/>
      <c r="Q3" s="234"/>
      <c r="R3" s="234"/>
      <c r="S3" s="234"/>
      <c r="T3" s="67"/>
      <c r="U3" s="67"/>
      <c r="V3" s="67"/>
    </row>
    <row r="4" spans="1:114" ht="15.75" thickBot="1" x14ac:dyDescent="0.3">
      <c r="A4" s="407" t="s">
        <v>657</v>
      </c>
      <c r="B4" s="414" t="s">
        <v>0</v>
      </c>
      <c r="C4" s="414" t="s">
        <v>1</v>
      </c>
      <c r="D4" s="415" t="s">
        <v>649</v>
      </c>
      <c r="E4" s="416" t="s">
        <v>19</v>
      </c>
      <c r="F4" s="416"/>
      <c r="G4" s="416"/>
      <c r="H4" s="416"/>
      <c r="I4" s="416"/>
      <c r="J4" s="410" t="s">
        <v>21</v>
      </c>
      <c r="K4" s="412" t="s">
        <v>602</v>
      </c>
      <c r="L4" s="295"/>
      <c r="M4" s="295"/>
      <c r="N4" s="403" t="s">
        <v>601</v>
      </c>
      <c r="O4" s="403" t="s">
        <v>924</v>
      </c>
      <c r="P4" s="403"/>
      <c r="Q4" s="403"/>
      <c r="R4" s="403"/>
      <c r="S4" s="403"/>
      <c r="T4" s="403"/>
      <c r="U4" s="403"/>
      <c r="V4" s="403"/>
      <c r="W4" s="403"/>
      <c r="X4" s="403"/>
      <c r="Y4" s="403"/>
      <c r="Z4" s="403"/>
      <c r="AA4" s="403"/>
      <c r="AB4" s="403"/>
      <c r="AC4" s="403"/>
      <c r="AD4" s="403"/>
      <c r="AE4" s="403"/>
      <c r="AF4" s="403"/>
      <c r="AG4" s="403"/>
      <c r="AH4" s="403"/>
      <c r="AI4" s="403"/>
      <c r="AJ4" s="403"/>
      <c r="AK4" s="403"/>
      <c r="AL4" s="403"/>
      <c r="AM4" s="403"/>
      <c r="AN4" s="403"/>
      <c r="AO4" s="403"/>
      <c r="AP4" s="403"/>
      <c r="AQ4" s="403"/>
      <c r="AR4" s="403"/>
      <c r="AS4" s="403"/>
      <c r="AT4" s="403"/>
      <c r="AU4" s="403"/>
      <c r="AV4" s="403"/>
      <c r="AW4" s="403"/>
      <c r="AX4" s="403"/>
      <c r="AY4" s="403"/>
      <c r="AZ4" s="403"/>
      <c r="BA4" s="403"/>
      <c r="BB4" s="403"/>
      <c r="BC4" s="403"/>
      <c r="BD4" s="403"/>
      <c r="BE4" s="403"/>
      <c r="BF4" s="403"/>
      <c r="BG4" s="403"/>
      <c r="BH4" s="403"/>
      <c r="BI4" s="403"/>
      <c r="BJ4" s="403"/>
      <c r="BK4" s="403"/>
      <c r="BL4" s="403"/>
      <c r="BM4" s="403"/>
      <c r="BN4" s="403"/>
      <c r="BO4" s="403"/>
      <c r="BP4" s="403"/>
      <c r="BQ4" s="403"/>
      <c r="BR4" s="403"/>
      <c r="BS4" s="403"/>
      <c r="BT4" s="403"/>
      <c r="BU4" s="403"/>
      <c r="BV4" s="403"/>
      <c r="BW4" s="403"/>
      <c r="BX4" s="403"/>
      <c r="BY4" s="403"/>
      <c r="BZ4" s="403"/>
      <c r="CA4" s="403"/>
      <c r="CB4" s="403"/>
      <c r="CC4" s="403"/>
      <c r="CD4" s="403"/>
      <c r="CE4" s="403"/>
      <c r="CF4" s="403"/>
      <c r="CG4" s="403"/>
      <c r="CH4" s="403"/>
      <c r="CI4" s="403"/>
      <c r="CJ4" s="403"/>
      <c r="CK4" s="403"/>
      <c r="CL4" s="403"/>
      <c r="CM4" s="403"/>
      <c r="CN4" s="403"/>
      <c r="CO4" s="403"/>
      <c r="CP4" s="403"/>
      <c r="CQ4" s="403"/>
      <c r="CR4" s="403"/>
      <c r="CS4" s="403"/>
      <c r="CT4" s="403"/>
      <c r="CU4" s="403"/>
      <c r="CV4" s="403"/>
      <c r="CW4" s="403"/>
      <c r="CX4" s="403"/>
      <c r="CY4" s="403"/>
      <c r="CZ4" s="403"/>
      <c r="DA4" s="403"/>
      <c r="DB4" s="403"/>
      <c r="DC4" s="403"/>
      <c r="DD4" s="403"/>
      <c r="DE4" s="403"/>
      <c r="DF4" s="403"/>
      <c r="DG4" s="403"/>
      <c r="DH4" s="403"/>
      <c r="DI4" s="403"/>
      <c r="DJ4" s="403"/>
    </row>
    <row r="5" spans="1:114" ht="15.75" thickBot="1" x14ac:dyDescent="0.3">
      <c r="A5" s="408"/>
      <c r="B5" s="414"/>
      <c r="C5" s="414"/>
      <c r="D5" s="415"/>
      <c r="E5" s="68" t="s">
        <v>22</v>
      </c>
      <c r="F5" s="68" t="s">
        <v>600</v>
      </c>
      <c r="G5" s="68" t="s">
        <v>601</v>
      </c>
      <c r="H5" s="68" t="s">
        <v>589</v>
      </c>
      <c r="I5" s="68" t="s">
        <v>601</v>
      </c>
      <c r="J5" s="411"/>
      <c r="K5" s="413"/>
      <c r="L5" s="295"/>
      <c r="M5" s="295"/>
      <c r="N5" s="403"/>
      <c r="O5" s="400" t="s">
        <v>925</v>
      </c>
      <c r="P5" s="400" t="s">
        <v>926</v>
      </c>
      <c r="Q5" s="400"/>
      <c r="R5" s="400"/>
      <c r="S5" s="400"/>
      <c r="T5" s="398"/>
      <c r="U5" s="398"/>
      <c r="V5" s="398"/>
      <c r="W5" s="398"/>
      <c r="X5" s="398"/>
      <c r="Y5" s="398"/>
      <c r="Z5" s="398"/>
      <c r="AA5" s="398"/>
      <c r="AB5" s="398"/>
      <c r="AC5" s="398"/>
      <c r="AD5" s="398"/>
      <c r="AE5" s="398"/>
      <c r="AF5" s="398"/>
      <c r="AG5" s="398"/>
      <c r="AH5" s="398"/>
      <c r="AI5" s="398"/>
      <c r="AJ5" s="398"/>
      <c r="AK5" s="398"/>
      <c r="AL5" s="398"/>
      <c r="AM5" s="398"/>
      <c r="AN5" s="398"/>
      <c r="AO5" s="398"/>
      <c r="AP5" s="398"/>
      <c r="AQ5" s="398"/>
      <c r="AR5" s="398"/>
      <c r="AS5" s="398"/>
      <c r="AT5" s="398"/>
      <c r="AU5" s="398"/>
      <c r="AV5" s="398"/>
      <c r="AW5" s="398"/>
      <c r="AX5" s="398"/>
      <c r="AY5" s="398"/>
      <c r="AZ5" s="398"/>
      <c r="BA5" s="398"/>
      <c r="BB5" s="398"/>
      <c r="BC5" s="398"/>
      <c r="BD5" s="398"/>
      <c r="BE5" s="398"/>
      <c r="BF5" s="398"/>
      <c r="BG5" s="398"/>
      <c r="BH5" s="398"/>
      <c r="BI5" s="398"/>
      <c r="BJ5" s="398"/>
      <c r="BK5" s="398"/>
      <c r="BL5" s="398"/>
      <c r="BM5" s="398"/>
      <c r="BN5" s="398"/>
      <c r="BO5" s="398"/>
      <c r="BP5" s="398"/>
      <c r="BQ5" s="398"/>
      <c r="BR5" s="398"/>
      <c r="BS5" s="398"/>
      <c r="BT5" s="398"/>
      <c r="BU5" s="398"/>
      <c r="BV5" s="398"/>
      <c r="BW5" s="398"/>
      <c r="BX5" s="398"/>
      <c r="BY5" s="398"/>
      <c r="BZ5" s="398"/>
      <c r="CA5" s="398"/>
      <c r="CB5" s="398"/>
      <c r="CC5" s="398"/>
      <c r="CD5" s="398"/>
      <c r="CE5" s="398"/>
      <c r="CF5" s="398"/>
      <c r="CG5" s="398"/>
      <c r="CH5" s="398"/>
      <c r="CI5" s="398"/>
      <c r="CJ5" s="398"/>
      <c r="CK5" s="398"/>
      <c r="CL5" s="398"/>
      <c r="CM5" s="398"/>
      <c r="CN5" s="398"/>
      <c r="CO5" s="398"/>
      <c r="CP5" s="398"/>
      <c r="CQ5" s="398"/>
      <c r="CR5" s="398"/>
      <c r="CS5" s="398"/>
      <c r="CT5" s="398"/>
      <c r="CU5" s="398"/>
      <c r="CV5" s="398"/>
      <c r="CW5" s="398"/>
      <c r="CX5" s="398"/>
      <c r="CY5" s="398"/>
      <c r="CZ5" s="398"/>
      <c r="DA5" s="398"/>
      <c r="DB5" s="398"/>
      <c r="DC5" s="398"/>
      <c r="DD5" s="398"/>
      <c r="DE5" s="398"/>
      <c r="DF5" s="398"/>
      <c r="DG5" s="398"/>
      <c r="DH5" s="398"/>
      <c r="DI5" s="398"/>
      <c r="DJ5" s="398"/>
    </row>
    <row r="6" spans="1:114" ht="15.75" thickBot="1" x14ac:dyDescent="0.3">
      <c r="A6" s="409"/>
      <c r="B6" s="69">
        <v>1</v>
      </c>
      <c r="C6" s="69">
        <v>2</v>
      </c>
      <c r="D6" s="69">
        <v>3</v>
      </c>
      <c r="E6" s="70">
        <v>4</v>
      </c>
      <c r="F6" s="70">
        <f>+E6+1</f>
        <v>5</v>
      </c>
      <c r="G6" s="70" t="s">
        <v>652</v>
      </c>
      <c r="H6" s="70">
        <v>7</v>
      </c>
      <c r="I6" s="71" t="s">
        <v>651</v>
      </c>
      <c r="J6" s="42" t="s">
        <v>650</v>
      </c>
      <c r="K6" s="303" t="s">
        <v>653</v>
      </c>
      <c r="L6" s="296"/>
      <c r="M6" s="296"/>
      <c r="N6" s="403"/>
      <c r="O6" s="402"/>
      <c r="P6" s="402"/>
      <c r="Q6" s="402"/>
      <c r="R6" s="402"/>
      <c r="S6" s="402"/>
      <c r="T6" s="399"/>
      <c r="U6" s="399"/>
      <c r="V6" s="399"/>
      <c r="W6" s="399"/>
      <c r="X6" s="399"/>
      <c r="Y6" s="399"/>
      <c r="Z6" s="399"/>
      <c r="AA6" s="399"/>
      <c r="AB6" s="399"/>
      <c r="AC6" s="399"/>
      <c r="AD6" s="399"/>
      <c r="AE6" s="399"/>
      <c r="AF6" s="399"/>
      <c r="AG6" s="399"/>
      <c r="AH6" s="399"/>
      <c r="AI6" s="399"/>
      <c r="AJ6" s="399"/>
      <c r="AK6" s="399"/>
      <c r="AL6" s="399"/>
      <c r="AM6" s="399"/>
      <c r="AN6" s="399"/>
      <c r="AO6" s="399"/>
      <c r="AP6" s="399"/>
      <c r="AQ6" s="399"/>
      <c r="AR6" s="399"/>
      <c r="AS6" s="399"/>
      <c r="AT6" s="399"/>
      <c r="AU6" s="399"/>
      <c r="AV6" s="399"/>
      <c r="AW6" s="399"/>
      <c r="AX6" s="399"/>
      <c r="AY6" s="399"/>
      <c r="AZ6" s="399"/>
      <c r="BA6" s="399"/>
      <c r="BB6" s="399"/>
      <c r="BC6" s="399"/>
      <c r="BD6" s="399"/>
      <c r="BE6" s="399"/>
      <c r="BF6" s="399"/>
      <c r="BG6" s="399"/>
      <c r="BH6" s="399"/>
      <c r="BI6" s="399"/>
      <c r="BJ6" s="399"/>
      <c r="BK6" s="399"/>
      <c r="BL6" s="399"/>
      <c r="BM6" s="399"/>
      <c r="BN6" s="399"/>
      <c r="BO6" s="399"/>
      <c r="BP6" s="399"/>
      <c r="BQ6" s="399"/>
      <c r="BR6" s="399"/>
      <c r="BS6" s="399"/>
      <c r="BT6" s="399"/>
      <c r="BU6" s="399"/>
      <c r="BV6" s="399"/>
      <c r="BW6" s="399"/>
      <c r="BX6" s="399"/>
      <c r="BY6" s="399"/>
      <c r="BZ6" s="399"/>
      <c r="CA6" s="399"/>
      <c r="CB6" s="399"/>
      <c r="CC6" s="399"/>
      <c r="CD6" s="399"/>
      <c r="CE6" s="399"/>
      <c r="CF6" s="399"/>
      <c r="CG6" s="399"/>
      <c r="CH6" s="399"/>
      <c r="CI6" s="399"/>
      <c r="CJ6" s="399"/>
      <c r="CK6" s="399"/>
      <c r="CL6" s="399"/>
      <c r="CM6" s="399"/>
      <c r="CN6" s="399"/>
      <c r="CO6" s="399"/>
      <c r="CP6" s="399"/>
      <c r="CQ6" s="399"/>
      <c r="CR6" s="399"/>
      <c r="CS6" s="399"/>
      <c r="CT6" s="399"/>
      <c r="CU6" s="399"/>
      <c r="CV6" s="399"/>
      <c r="CW6" s="399"/>
      <c r="CX6" s="399"/>
      <c r="CY6" s="399"/>
      <c r="CZ6" s="399"/>
      <c r="DA6" s="399"/>
      <c r="DB6" s="399"/>
      <c r="DC6" s="399"/>
      <c r="DD6" s="399"/>
      <c r="DE6" s="399"/>
      <c r="DF6" s="399"/>
      <c r="DG6" s="399"/>
      <c r="DH6" s="399"/>
      <c r="DI6" s="399"/>
      <c r="DJ6" s="399"/>
    </row>
    <row r="7" spans="1:114" x14ac:dyDescent="0.25">
      <c r="B7" s="72" t="s">
        <v>656</v>
      </c>
      <c r="C7" s="73"/>
      <c r="D7" s="74"/>
      <c r="E7" s="54"/>
      <c r="F7" s="54"/>
      <c r="G7" s="54"/>
      <c r="H7" s="54"/>
      <c r="I7" s="54"/>
      <c r="J7" s="54"/>
      <c r="K7" s="54"/>
      <c r="L7" s="234"/>
      <c r="M7" s="234"/>
      <c r="N7" s="320">
        <f t="shared" ref="N7:N44" si="0">SUM(O7:DK7)</f>
        <v>0</v>
      </c>
      <c r="O7" s="310"/>
      <c r="P7" s="315"/>
      <c r="Q7" s="315"/>
      <c r="R7" s="315"/>
      <c r="S7" s="31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c r="DJ7" s="55"/>
    </row>
    <row r="8" spans="1:114" x14ac:dyDescent="0.25">
      <c r="A8" s="104">
        <v>1</v>
      </c>
      <c r="B8" s="75" t="s">
        <v>2</v>
      </c>
      <c r="C8" s="76">
        <v>1500</v>
      </c>
      <c r="D8" s="77">
        <v>90.24</v>
      </c>
      <c r="E8" s="76"/>
      <c r="F8" s="55"/>
      <c r="G8" s="56">
        <f t="shared" ref="G8:G44" si="1">+E8+F8</f>
        <v>0</v>
      </c>
      <c r="H8" s="55"/>
      <c r="I8" s="56">
        <f t="shared" ref="I8:I44" si="2">+G8-H8</f>
        <v>0</v>
      </c>
      <c r="J8" s="56">
        <f t="shared" ref="J8:J44" si="3">I8*C8</f>
        <v>0</v>
      </c>
      <c r="K8" s="57">
        <f t="shared" ref="K8:K44" si="4">+D8*I8</f>
        <v>0</v>
      </c>
      <c r="L8" s="297"/>
      <c r="M8" s="297"/>
      <c r="N8" s="314">
        <f t="shared" si="0"/>
        <v>0</v>
      </c>
      <c r="O8" s="310"/>
      <c r="P8" s="315"/>
      <c r="Q8" s="315"/>
      <c r="R8" s="315"/>
      <c r="S8" s="31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row>
    <row r="9" spans="1:114" x14ac:dyDescent="0.25">
      <c r="A9" s="104">
        <v>2</v>
      </c>
      <c r="B9" s="75" t="s">
        <v>3</v>
      </c>
      <c r="C9" s="76">
        <v>1000</v>
      </c>
      <c r="D9" s="77">
        <v>168.13</v>
      </c>
      <c r="E9" s="76"/>
      <c r="F9" s="55"/>
      <c r="G9" s="56">
        <f t="shared" si="1"/>
        <v>0</v>
      </c>
      <c r="H9" s="55"/>
      <c r="I9" s="56">
        <f t="shared" si="2"/>
        <v>0</v>
      </c>
      <c r="J9" s="56">
        <f t="shared" si="3"/>
        <v>0</v>
      </c>
      <c r="K9" s="57">
        <f t="shared" si="4"/>
        <v>0</v>
      </c>
      <c r="L9" s="297"/>
      <c r="M9" s="297"/>
      <c r="N9" s="314">
        <f t="shared" si="0"/>
        <v>0</v>
      </c>
      <c r="O9" s="310"/>
      <c r="P9" s="315"/>
      <c r="Q9" s="315"/>
      <c r="R9" s="315"/>
      <c r="S9" s="31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c r="DJ9" s="55"/>
    </row>
    <row r="10" spans="1:114" x14ac:dyDescent="0.25">
      <c r="A10" s="104">
        <v>3</v>
      </c>
      <c r="B10" s="75" t="s">
        <v>3</v>
      </c>
      <c r="C10" s="76">
        <v>1500</v>
      </c>
      <c r="D10" s="77">
        <v>168.13</v>
      </c>
      <c r="E10" s="76"/>
      <c r="F10" s="55"/>
      <c r="G10" s="56">
        <f t="shared" si="1"/>
        <v>0</v>
      </c>
      <c r="H10" s="55"/>
      <c r="I10" s="56">
        <f t="shared" si="2"/>
        <v>0</v>
      </c>
      <c r="J10" s="56">
        <f t="shared" si="3"/>
        <v>0</v>
      </c>
      <c r="K10" s="57">
        <f t="shared" si="4"/>
        <v>0</v>
      </c>
      <c r="L10" s="297"/>
      <c r="M10" s="297"/>
      <c r="N10" s="314">
        <f t="shared" si="0"/>
        <v>0</v>
      </c>
      <c r="O10" s="310"/>
      <c r="P10" s="315"/>
      <c r="Q10" s="315"/>
      <c r="R10" s="315"/>
      <c r="S10" s="31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c r="DJ10" s="55"/>
    </row>
    <row r="11" spans="1:114" x14ac:dyDescent="0.25">
      <c r="A11" s="104">
        <v>4</v>
      </c>
      <c r="B11" s="75" t="s">
        <v>3</v>
      </c>
      <c r="C11" s="76">
        <v>2500</v>
      </c>
      <c r="D11" s="77">
        <v>168.13</v>
      </c>
      <c r="E11" s="76"/>
      <c r="F11" s="55"/>
      <c r="G11" s="56">
        <f t="shared" si="1"/>
        <v>0</v>
      </c>
      <c r="H11" s="55"/>
      <c r="I11" s="56">
        <f t="shared" si="2"/>
        <v>0</v>
      </c>
      <c r="J11" s="56">
        <f t="shared" si="3"/>
        <v>0</v>
      </c>
      <c r="K11" s="57">
        <f t="shared" si="4"/>
        <v>0</v>
      </c>
      <c r="L11" s="297"/>
      <c r="M11" s="297"/>
      <c r="N11" s="314">
        <f t="shared" si="0"/>
        <v>0</v>
      </c>
      <c r="O11" s="310"/>
      <c r="P11" s="315"/>
      <c r="Q11" s="315"/>
      <c r="R11" s="315"/>
      <c r="S11" s="31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5"/>
      <c r="DD11" s="55"/>
      <c r="DE11" s="55"/>
      <c r="DF11" s="55"/>
      <c r="DG11" s="55"/>
      <c r="DH11" s="55"/>
      <c r="DI11" s="55"/>
      <c r="DJ11" s="55"/>
    </row>
    <row r="12" spans="1:114" x14ac:dyDescent="0.25">
      <c r="A12" s="104">
        <v>5</v>
      </c>
      <c r="B12" s="75" t="s">
        <v>4</v>
      </c>
      <c r="C12" s="76">
        <v>1000</v>
      </c>
      <c r="D12" s="77">
        <v>176.52</v>
      </c>
      <c r="E12" s="76"/>
      <c r="F12" s="55"/>
      <c r="G12" s="56">
        <f t="shared" si="1"/>
        <v>0</v>
      </c>
      <c r="H12" s="55"/>
      <c r="I12" s="56">
        <f t="shared" si="2"/>
        <v>0</v>
      </c>
      <c r="J12" s="56">
        <f t="shared" si="3"/>
        <v>0</v>
      </c>
      <c r="K12" s="57">
        <f t="shared" si="4"/>
        <v>0</v>
      </c>
      <c r="L12" s="297"/>
      <c r="M12" s="297"/>
      <c r="N12" s="314">
        <f t="shared" si="0"/>
        <v>0</v>
      </c>
      <c r="O12" s="310"/>
      <c r="P12" s="315"/>
      <c r="Q12" s="315"/>
      <c r="R12" s="315"/>
      <c r="S12" s="31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c r="DJ12" s="55"/>
    </row>
    <row r="13" spans="1:114" x14ac:dyDescent="0.25">
      <c r="A13" s="104">
        <v>6</v>
      </c>
      <c r="B13" s="75" t="s">
        <v>4</v>
      </c>
      <c r="C13" s="76">
        <v>1000</v>
      </c>
      <c r="D13" s="77">
        <v>176.52</v>
      </c>
      <c r="E13" s="76"/>
      <c r="F13" s="55"/>
      <c r="G13" s="56">
        <f t="shared" si="1"/>
        <v>0</v>
      </c>
      <c r="H13" s="55"/>
      <c r="I13" s="56">
        <f t="shared" si="2"/>
        <v>0</v>
      </c>
      <c r="J13" s="56">
        <f t="shared" si="3"/>
        <v>0</v>
      </c>
      <c r="K13" s="57">
        <f t="shared" si="4"/>
        <v>0</v>
      </c>
      <c r="L13" s="297"/>
      <c r="M13" s="297"/>
      <c r="N13" s="314">
        <f t="shared" si="0"/>
        <v>0</v>
      </c>
      <c r="O13" s="310"/>
      <c r="P13" s="315"/>
      <c r="Q13" s="315"/>
      <c r="R13" s="315"/>
      <c r="S13" s="31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c r="CN13" s="55"/>
      <c r="CO13" s="55"/>
      <c r="CP13" s="55"/>
      <c r="CQ13" s="55"/>
      <c r="CR13" s="55"/>
      <c r="CS13" s="55"/>
      <c r="CT13" s="55"/>
      <c r="CU13" s="55"/>
      <c r="CV13" s="55"/>
      <c r="CW13" s="55"/>
      <c r="CX13" s="55"/>
      <c r="CY13" s="55"/>
      <c r="CZ13" s="55"/>
      <c r="DA13" s="55"/>
      <c r="DB13" s="55"/>
      <c r="DC13" s="55"/>
      <c r="DD13" s="55"/>
      <c r="DE13" s="55"/>
      <c r="DF13" s="55"/>
      <c r="DG13" s="55"/>
      <c r="DH13" s="55"/>
      <c r="DI13" s="55"/>
      <c r="DJ13" s="55"/>
    </row>
    <row r="14" spans="1:114" x14ac:dyDescent="0.25">
      <c r="A14" s="104">
        <v>7</v>
      </c>
      <c r="B14" s="75" t="s">
        <v>4</v>
      </c>
      <c r="C14" s="76">
        <v>1000</v>
      </c>
      <c r="D14" s="77">
        <v>176.52</v>
      </c>
      <c r="E14" s="76"/>
      <c r="F14" s="55"/>
      <c r="G14" s="56">
        <f t="shared" si="1"/>
        <v>0</v>
      </c>
      <c r="H14" s="55"/>
      <c r="I14" s="56">
        <f t="shared" si="2"/>
        <v>0</v>
      </c>
      <c r="J14" s="56">
        <f t="shared" si="3"/>
        <v>0</v>
      </c>
      <c r="K14" s="57">
        <f t="shared" si="4"/>
        <v>0</v>
      </c>
      <c r="L14" s="297"/>
      <c r="M14" s="297"/>
      <c r="N14" s="314">
        <f t="shared" si="0"/>
        <v>0</v>
      </c>
      <c r="O14" s="310"/>
      <c r="P14" s="315"/>
      <c r="Q14" s="315"/>
      <c r="R14" s="315"/>
      <c r="S14" s="31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55"/>
      <c r="CZ14" s="55"/>
      <c r="DA14" s="55"/>
      <c r="DB14" s="55"/>
      <c r="DC14" s="55"/>
      <c r="DD14" s="55"/>
      <c r="DE14" s="55"/>
      <c r="DF14" s="55"/>
      <c r="DG14" s="55"/>
      <c r="DH14" s="55"/>
      <c r="DI14" s="55"/>
      <c r="DJ14" s="55"/>
    </row>
    <row r="15" spans="1:114" x14ac:dyDescent="0.25">
      <c r="A15" s="104">
        <v>8</v>
      </c>
      <c r="B15" s="75" t="s">
        <v>4</v>
      </c>
      <c r="C15" s="76">
        <v>500</v>
      </c>
      <c r="D15" s="77">
        <v>176.52</v>
      </c>
      <c r="E15" s="76"/>
      <c r="F15" s="55"/>
      <c r="G15" s="56">
        <f t="shared" si="1"/>
        <v>0</v>
      </c>
      <c r="H15" s="55"/>
      <c r="I15" s="56">
        <f t="shared" si="2"/>
        <v>0</v>
      </c>
      <c r="J15" s="56">
        <f t="shared" si="3"/>
        <v>0</v>
      </c>
      <c r="K15" s="57">
        <f t="shared" si="4"/>
        <v>0</v>
      </c>
      <c r="L15" s="297"/>
      <c r="M15" s="297"/>
      <c r="N15" s="314">
        <f t="shared" si="0"/>
        <v>0</v>
      </c>
      <c r="O15" s="310"/>
      <c r="P15" s="315"/>
      <c r="Q15" s="315"/>
      <c r="R15" s="315"/>
      <c r="S15" s="31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c r="CN15" s="55"/>
      <c r="CO15" s="55"/>
      <c r="CP15" s="55"/>
      <c r="CQ15" s="55"/>
      <c r="CR15" s="55"/>
      <c r="CS15" s="55"/>
      <c r="CT15" s="55"/>
      <c r="CU15" s="55"/>
      <c r="CV15" s="55"/>
      <c r="CW15" s="55"/>
      <c r="CX15" s="55"/>
      <c r="CY15" s="55"/>
      <c r="CZ15" s="55"/>
      <c r="DA15" s="55"/>
      <c r="DB15" s="55"/>
      <c r="DC15" s="55"/>
      <c r="DD15" s="55"/>
      <c r="DE15" s="55"/>
      <c r="DF15" s="55"/>
      <c r="DG15" s="55"/>
      <c r="DH15" s="55"/>
      <c r="DI15" s="55"/>
      <c r="DJ15" s="55"/>
    </row>
    <row r="16" spans="1:114" x14ac:dyDescent="0.25">
      <c r="A16" s="104">
        <v>9</v>
      </c>
      <c r="B16" s="75" t="s">
        <v>4</v>
      </c>
      <c r="C16" s="76">
        <v>2000</v>
      </c>
      <c r="D16" s="77">
        <v>176.52</v>
      </c>
      <c r="E16" s="76"/>
      <c r="F16" s="55"/>
      <c r="G16" s="56">
        <f t="shared" si="1"/>
        <v>0</v>
      </c>
      <c r="H16" s="55"/>
      <c r="I16" s="56">
        <f t="shared" si="2"/>
        <v>0</v>
      </c>
      <c r="J16" s="56">
        <f t="shared" si="3"/>
        <v>0</v>
      </c>
      <c r="K16" s="57">
        <f t="shared" si="4"/>
        <v>0</v>
      </c>
      <c r="L16" s="297"/>
      <c r="M16" s="297"/>
      <c r="N16" s="314">
        <f t="shared" si="0"/>
        <v>0</v>
      </c>
      <c r="O16" s="310"/>
      <c r="P16" s="315"/>
      <c r="Q16" s="315"/>
      <c r="R16" s="315"/>
      <c r="S16" s="31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c r="DJ16" s="55"/>
    </row>
    <row r="17" spans="1:114" x14ac:dyDescent="0.25">
      <c r="A17" s="104">
        <v>10</v>
      </c>
      <c r="B17" s="75" t="s">
        <v>5</v>
      </c>
      <c r="C17" s="76">
        <v>1000</v>
      </c>
      <c r="D17" s="77">
        <v>217.35</v>
      </c>
      <c r="E17" s="76"/>
      <c r="F17" s="55"/>
      <c r="G17" s="56">
        <f t="shared" si="1"/>
        <v>0</v>
      </c>
      <c r="H17" s="55"/>
      <c r="I17" s="56">
        <f t="shared" si="2"/>
        <v>0</v>
      </c>
      <c r="J17" s="56">
        <f t="shared" si="3"/>
        <v>0</v>
      </c>
      <c r="K17" s="57">
        <f t="shared" si="4"/>
        <v>0</v>
      </c>
      <c r="L17" s="297"/>
      <c r="M17" s="297"/>
      <c r="N17" s="314">
        <f t="shared" si="0"/>
        <v>0</v>
      </c>
      <c r="O17" s="310"/>
      <c r="P17" s="315"/>
      <c r="Q17" s="315"/>
      <c r="R17" s="315"/>
      <c r="S17" s="31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5"/>
      <c r="CR17" s="55"/>
      <c r="CS17" s="55"/>
      <c r="CT17" s="55"/>
      <c r="CU17" s="55"/>
      <c r="CV17" s="55"/>
      <c r="CW17" s="55"/>
      <c r="CX17" s="55"/>
      <c r="CY17" s="55"/>
      <c r="CZ17" s="55"/>
      <c r="DA17" s="55"/>
      <c r="DB17" s="55"/>
      <c r="DC17" s="55"/>
      <c r="DD17" s="55"/>
      <c r="DE17" s="55"/>
      <c r="DF17" s="55"/>
      <c r="DG17" s="55"/>
      <c r="DH17" s="55"/>
      <c r="DI17" s="55"/>
      <c r="DJ17" s="55"/>
    </row>
    <row r="18" spans="1:114" x14ac:dyDescent="0.25">
      <c r="A18" s="104">
        <v>11</v>
      </c>
      <c r="B18" s="75" t="s">
        <v>5</v>
      </c>
      <c r="C18" s="76">
        <v>1500</v>
      </c>
      <c r="D18" s="77">
        <v>217.35</v>
      </c>
      <c r="E18" s="76"/>
      <c r="F18" s="55"/>
      <c r="G18" s="56">
        <f t="shared" si="1"/>
        <v>0</v>
      </c>
      <c r="H18" s="55"/>
      <c r="I18" s="56">
        <f t="shared" si="2"/>
        <v>0</v>
      </c>
      <c r="J18" s="56">
        <f t="shared" si="3"/>
        <v>0</v>
      </c>
      <c r="K18" s="57">
        <f t="shared" si="4"/>
        <v>0</v>
      </c>
      <c r="L18" s="297"/>
      <c r="M18" s="297"/>
      <c r="N18" s="314">
        <f t="shared" si="0"/>
        <v>0</v>
      </c>
      <c r="O18" s="310"/>
      <c r="P18" s="315"/>
      <c r="Q18" s="315"/>
      <c r="R18" s="315"/>
      <c r="S18" s="31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c r="DJ18" s="55"/>
    </row>
    <row r="19" spans="1:114" x14ac:dyDescent="0.25">
      <c r="A19" s="104">
        <v>12</v>
      </c>
      <c r="B19" s="75" t="s">
        <v>6</v>
      </c>
      <c r="C19" s="76">
        <v>1000</v>
      </c>
      <c r="D19" s="77">
        <v>147.94999999999999</v>
      </c>
      <c r="E19" s="76"/>
      <c r="F19" s="55"/>
      <c r="G19" s="56">
        <f t="shared" si="1"/>
        <v>0</v>
      </c>
      <c r="H19" s="55"/>
      <c r="I19" s="56">
        <f t="shared" si="2"/>
        <v>0</v>
      </c>
      <c r="J19" s="56">
        <f t="shared" si="3"/>
        <v>0</v>
      </c>
      <c r="K19" s="57">
        <f t="shared" si="4"/>
        <v>0</v>
      </c>
      <c r="L19" s="297"/>
      <c r="M19" s="297"/>
      <c r="N19" s="314">
        <f t="shared" si="0"/>
        <v>0</v>
      </c>
      <c r="O19" s="310"/>
      <c r="P19" s="315"/>
      <c r="Q19" s="315"/>
      <c r="R19" s="315"/>
      <c r="S19" s="31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c r="DJ19" s="55"/>
    </row>
    <row r="20" spans="1:114" x14ac:dyDescent="0.25">
      <c r="A20" s="104">
        <v>13</v>
      </c>
      <c r="B20" s="75" t="s">
        <v>6</v>
      </c>
      <c r="C20" s="76">
        <v>1500</v>
      </c>
      <c r="D20" s="77">
        <v>147.94999999999999</v>
      </c>
      <c r="E20" s="55"/>
      <c r="F20" s="55"/>
      <c r="G20" s="56">
        <f t="shared" si="1"/>
        <v>0</v>
      </c>
      <c r="H20" s="55"/>
      <c r="I20" s="56">
        <f t="shared" si="2"/>
        <v>0</v>
      </c>
      <c r="J20" s="56">
        <f t="shared" si="3"/>
        <v>0</v>
      </c>
      <c r="K20" s="57">
        <f t="shared" si="4"/>
        <v>0</v>
      </c>
      <c r="L20" s="297"/>
      <c r="M20" s="297"/>
      <c r="N20" s="314">
        <f t="shared" si="0"/>
        <v>0</v>
      </c>
      <c r="O20" s="310"/>
      <c r="P20" s="315"/>
      <c r="Q20" s="315"/>
      <c r="R20" s="315"/>
      <c r="S20" s="31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c r="DJ20" s="55"/>
    </row>
    <row r="21" spans="1:114" x14ac:dyDescent="0.25">
      <c r="A21" s="104">
        <v>14</v>
      </c>
      <c r="B21" s="75" t="s">
        <v>7</v>
      </c>
      <c r="C21" s="76">
        <v>1500</v>
      </c>
      <c r="D21" s="77">
        <v>75.66</v>
      </c>
      <c r="E21" s="55"/>
      <c r="F21" s="55"/>
      <c r="G21" s="56">
        <f t="shared" si="1"/>
        <v>0</v>
      </c>
      <c r="H21" s="55"/>
      <c r="I21" s="56">
        <f t="shared" si="2"/>
        <v>0</v>
      </c>
      <c r="J21" s="56">
        <f t="shared" si="3"/>
        <v>0</v>
      </c>
      <c r="K21" s="57">
        <f t="shared" si="4"/>
        <v>0</v>
      </c>
      <c r="L21" s="297"/>
      <c r="M21" s="297"/>
      <c r="N21" s="314">
        <f t="shared" si="0"/>
        <v>0</v>
      </c>
      <c r="O21" s="310"/>
      <c r="P21" s="315"/>
      <c r="Q21" s="315"/>
      <c r="R21" s="315"/>
      <c r="S21" s="31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c r="DJ21" s="55"/>
    </row>
    <row r="22" spans="1:114" x14ac:dyDescent="0.25">
      <c r="A22" s="104">
        <v>15</v>
      </c>
      <c r="B22" s="75" t="s">
        <v>8</v>
      </c>
      <c r="C22" s="76">
        <v>1500</v>
      </c>
      <c r="D22" s="77">
        <v>124.97</v>
      </c>
      <c r="E22" s="55"/>
      <c r="F22" s="55"/>
      <c r="G22" s="56">
        <f t="shared" si="1"/>
        <v>0</v>
      </c>
      <c r="H22" s="55"/>
      <c r="I22" s="56">
        <f t="shared" si="2"/>
        <v>0</v>
      </c>
      <c r="J22" s="56">
        <f t="shared" si="3"/>
        <v>0</v>
      </c>
      <c r="K22" s="57">
        <f t="shared" si="4"/>
        <v>0</v>
      </c>
      <c r="L22" s="297"/>
      <c r="M22" s="297"/>
      <c r="N22" s="314">
        <f t="shared" si="0"/>
        <v>0</v>
      </c>
      <c r="O22" s="310"/>
      <c r="P22" s="315"/>
      <c r="Q22" s="315"/>
      <c r="R22" s="315"/>
      <c r="S22" s="31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c r="DJ22" s="55"/>
    </row>
    <row r="23" spans="1:114" x14ac:dyDescent="0.25">
      <c r="A23" s="104">
        <v>16</v>
      </c>
      <c r="B23" s="75" t="s">
        <v>9</v>
      </c>
      <c r="C23" s="76">
        <v>2000</v>
      </c>
      <c r="D23" s="77">
        <f>221.1/4</f>
        <v>55.274999999999999</v>
      </c>
      <c r="E23" s="55"/>
      <c r="F23" s="55"/>
      <c r="G23" s="56">
        <f t="shared" si="1"/>
        <v>0</v>
      </c>
      <c r="H23" s="55"/>
      <c r="I23" s="56">
        <f t="shared" si="2"/>
        <v>0</v>
      </c>
      <c r="J23" s="56">
        <f t="shared" si="3"/>
        <v>0</v>
      </c>
      <c r="K23" s="57">
        <f t="shared" si="4"/>
        <v>0</v>
      </c>
      <c r="L23" s="297"/>
      <c r="M23" s="297"/>
      <c r="N23" s="314">
        <f t="shared" si="0"/>
        <v>0</v>
      </c>
      <c r="O23" s="310"/>
      <c r="P23" s="315"/>
      <c r="Q23" s="315"/>
      <c r="R23" s="315"/>
      <c r="S23" s="31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5"/>
      <c r="DF23" s="55"/>
      <c r="DG23" s="55"/>
      <c r="DH23" s="55"/>
      <c r="DI23" s="55"/>
      <c r="DJ23" s="55"/>
    </row>
    <row r="24" spans="1:114" x14ac:dyDescent="0.25">
      <c r="A24" s="104">
        <v>17</v>
      </c>
      <c r="B24" s="75" t="s">
        <v>10</v>
      </c>
      <c r="C24" s="76">
        <v>1000</v>
      </c>
      <c r="D24" s="77">
        <v>89.38</v>
      </c>
      <c r="E24" s="55"/>
      <c r="F24" s="55"/>
      <c r="G24" s="56">
        <f t="shared" si="1"/>
        <v>0</v>
      </c>
      <c r="H24" s="55"/>
      <c r="I24" s="56">
        <f t="shared" si="2"/>
        <v>0</v>
      </c>
      <c r="J24" s="56">
        <f t="shared" si="3"/>
        <v>0</v>
      </c>
      <c r="K24" s="57">
        <f t="shared" si="4"/>
        <v>0</v>
      </c>
      <c r="L24" s="297"/>
      <c r="M24" s="297"/>
      <c r="N24" s="314">
        <f t="shared" si="0"/>
        <v>0</v>
      </c>
      <c r="O24" s="310"/>
      <c r="P24" s="315"/>
      <c r="Q24" s="315"/>
      <c r="R24" s="315"/>
      <c r="S24" s="31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55"/>
      <c r="CB24" s="55"/>
      <c r="CC24" s="55"/>
      <c r="CD24" s="55"/>
      <c r="CE24" s="55"/>
      <c r="CF24" s="55"/>
      <c r="CG24" s="55"/>
      <c r="CH24" s="55"/>
      <c r="CI24" s="55"/>
      <c r="CJ24" s="55"/>
      <c r="CK24" s="55"/>
      <c r="CL24" s="55"/>
      <c r="CM24" s="55"/>
      <c r="CN24" s="55"/>
      <c r="CO24" s="55"/>
      <c r="CP24" s="55"/>
      <c r="CQ24" s="55"/>
      <c r="CR24" s="55"/>
      <c r="CS24" s="55"/>
      <c r="CT24" s="55"/>
      <c r="CU24" s="55"/>
      <c r="CV24" s="55"/>
      <c r="CW24" s="55"/>
      <c r="CX24" s="55"/>
      <c r="CY24" s="55"/>
      <c r="CZ24" s="55"/>
      <c r="DA24" s="55"/>
      <c r="DB24" s="55"/>
      <c r="DC24" s="55"/>
      <c r="DD24" s="55"/>
      <c r="DE24" s="55"/>
      <c r="DF24" s="55"/>
      <c r="DG24" s="55"/>
      <c r="DH24" s="55"/>
      <c r="DI24" s="55"/>
      <c r="DJ24" s="55"/>
    </row>
    <row r="25" spans="1:114" x14ac:dyDescent="0.25">
      <c r="A25" s="104">
        <v>18</v>
      </c>
      <c r="B25" s="75" t="s">
        <v>10</v>
      </c>
      <c r="C25" s="76">
        <v>1500</v>
      </c>
      <c r="D25" s="77">
        <v>89.38</v>
      </c>
      <c r="E25" s="55"/>
      <c r="F25" s="55"/>
      <c r="G25" s="56">
        <f t="shared" si="1"/>
        <v>0</v>
      </c>
      <c r="H25" s="55"/>
      <c r="I25" s="56">
        <f t="shared" si="2"/>
        <v>0</v>
      </c>
      <c r="J25" s="56">
        <f t="shared" si="3"/>
        <v>0</v>
      </c>
      <c r="K25" s="57">
        <f t="shared" si="4"/>
        <v>0</v>
      </c>
      <c r="L25" s="297"/>
      <c r="M25" s="297"/>
      <c r="N25" s="314">
        <f t="shared" si="0"/>
        <v>0</v>
      </c>
      <c r="O25" s="310"/>
      <c r="P25" s="315"/>
      <c r="Q25" s="315"/>
      <c r="R25" s="315"/>
      <c r="S25" s="31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55"/>
      <c r="CZ25" s="55"/>
      <c r="DA25" s="55"/>
      <c r="DB25" s="55"/>
      <c r="DC25" s="55"/>
      <c r="DD25" s="55"/>
      <c r="DE25" s="55"/>
      <c r="DF25" s="55"/>
      <c r="DG25" s="55"/>
      <c r="DH25" s="55"/>
      <c r="DI25" s="55"/>
      <c r="DJ25" s="55"/>
    </row>
    <row r="26" spans="1:114" x14ac:dyDescent="0.25">
      <c r="A26" s="104">
        <v>19</v>
      </c>
      <c r="B26" s="75" t="s">
        <v>11</v>
      </c>
      <c r="C26" s="76">
        <v>1500</v>
      </c>
      <c r="D26" s="77">
        <v>170.67</v>
      </c>
      <c r="E26" s="55"/>
      <c r="F26" s="55"/>
      <c r="G26" s="56">
        <f t="shared" si="1"/>
        <v>0</v>
      </c>
      <c r="H26" s="55"/>
      <c r="I26" s="56">
        <f t="shared" si="2"/>
        <v>0</v>
      </c>
      <c r="J26" s="56">
        <f t="shared" si="3"/>
        <v>0</v>
      </c>
      <c r="K26" s="57">
        <f t="shared" si="4"/>
        <v>0</v>
      </c>
      <c r="L26" s="297"/>
      <c r="M26" s="297"/>
      <c r="N26" s="314">
        <f t="shared" si="0"/>
        <v>0</v>
      </c>
      <c r="O26" s="310"/>
      <c r="P26" s="315"/>
      <c r="Q26" s="315"/>
      <c r="R26" s="315"/>
      <c r="S26" s="31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5"/>
      <c r="CG26" s="55"/>
      <c r="CH26" s="55"/>
      <c r="CI26" s="55"/>
      <c r="CJ26" s="55"/>
      <c r="CK26" s="55"/>
      <c r="CL26" s="55"/>
      <c r="CM26" s="55"/>
      <c r="CN26" s="55"/>
      <c r="CO26" s="55"/>
      <c r="CP26" s="55"/>
      <c r="CQ26" s="55"/>
      <c r="CR26" s="55"/>
      <c r="CS26" s="55"/>
      <c r="CT26" s="55"/>
      <c r="CU26" s="55"/>
      <c r="CV26" s="55"/>
      <c r="CW26" s="55"/>
      <c r="CX26" s="55"/>
      <c r="CY26" s="55"/>
      <c r="CZ26" s="55"/>
      <c r="DA26" s="55"/>
      <c r="DB26" s="55"/>
      <c r="DC26" s="55"/>
      <c r="DD26" s="55"/>
      <c r="DE26" s="55"/>
      <c r="DF26" s="55"/>
      <c r="DG26" s="55"/>
      <c r="DH26" s="55"/>
      <c r="DI26" s="55"/>
      <c r="DJ26" s="55"/>
    </row>
    <row r="27" spans="1:114" x14ac:dyDescent="0.25">
      <c r="A27" s="104">
        <v>20</v>
      </c>
      <c r="B27" s="75" t="s">
        <v>12</v>
      </c>
      <c r="C27" s="76">
        <v>1000</v>
      </c>
      <c r="D27" s="77">
        <v>89.58</v>
      </c>
      <c r="E27" s="55"/>
      <c r="F27" s="55"/>
      <c r="G27" s="56">
        <f t="shared" si="1"/>
        <v>0</v>
      </c>
      <c r="H27" s="55"/>
      <c r="I27" s="56">
        <f t="shared" si="2"/>
        <v>0</v>
      </c>
      <c r="J27" s="56">
        <f t="shared" si="3"/>
        <v>0</v>
      </c>
      <c r="K27" s="57">
        <f t="shared" si="4"/>
        <v>0</v>
      </c>
      <c r="L27" s="297"/>
      <c r="M27" s="297"/>
      <c r="N27" s="314">
        <f t="shared" si="0"/>
        <v>0</v>
      </c>
      <c r="O27" s="310"/>
      <c r="P27" s="315"/>
      <c r="Q27" s="315"/>
      <c r="R27" s="315"/>
      <c r="S27" s="31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55"/>
      <c r="CB27" s="55"/>
      <c r="CC27" s="55"/>
      <c r="CD27" s="55"/>
      <c r="CE27" s="55"/>
      <c r="CF27" s="55"/>
      <c r="CG27" s="55"/>
      <c r="CH27" s="55"/>
      <c r="CI27" s="55"/>
      <c r="CJ27" s="55"/>
      <c r="CK27" s="55"/>
      <c r="CL27" s="55"/>
      <c r="CM27" s="55"/>
      <c r="CN27" s="55"/>
      <c r="CO27" s="55"/>
      <c r="CP27" s="55"/>
      <c r="CQ27" s="55"/>
      <c r="CR27" s="55"/>
      <c r="CS27" s="55"/>
      <c r="CT27" s="55"/>
      <c r="CU27" s="55"/>
      <c r="CV27" s="55"/>
      <c r="CW27" s="55"/>
      <c r="CX27" s="55"/>
      <c r="CY27" s="55"/>
      <c r="CZ27" s="55"/>
      <c r="DA27" s="55"/>
      <c r="DB27" s="55"/>
      <c r="DC27" s="55"/>
      <c r="DD27" s="55"/>
      <c r="DE27" s="55"/>
      <c r="DF27" s="55"/>
      <c r="DG27" s="55"/>
      <c r="DH27" s="55"/>
      <c r="DI27" s="55"/>
      <c r="DJ27" s="55"/>
    </row>
    <row r="28" spans="1:114" x14ac:dyDescent="0.25">
      <c r="A28" s="104">
        <v>21</v>
      </c>
      <c r="B28" s="75" t="s">
        <v>12</v>
      </c>
      <c r="C28" s="76">
        <v>1500</v>
      </c>
      <c r="D28" s="77">
        <v>89.58</v>
      </c>
      <c r="E28" s="55"/>
      <c r="F28" s="55"/>
      <c r="G28" s="56">
        <f t="shared" si="1"/>
        <v>0</v>
      </c>
      <c r="H28" s="55"/>
      <c r="I28" s="56">
        <f t="shared" si="2"/>
        <v>0</v>
      </c>
      <c r="J28" s="56">
        <f t="shared" si="3"/>
        <v>0</v>
      </c>
      <c r="K28" s="57">
        <f t="shared" si="4"/>
        <v>0</v>
      </c>
      <c r="L28" s="297"/>
      <c r="M28" s="297"/>
      <c r="N28" s="314">
        <f t="shared" si="0"/>
        <v>0</v>
      </c>
      <c r="O28" s="310"/>
      <c r="P28" s="315"/>
      <c r="Q28" s="315"/>
      <c r="R28" s="315"/>
      <c r="S28" s="31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5"/>
      <c r="DF28" s="55"/>
      <c r="DG28" s="55"/>
      <c r="DH28" s="55"/>
      <c r="DI28" s="55"/>
      <c r="DJ28" s="55"/>
    </row>
    <row r="29" spans="1:114" x14ac:dyDescent="0.25">
      <c r="A29" s="104">
        <v>22</v>
      </c>
      <c r="B29" s="75" t="s">
        <v>13</v>
      </c>
      <c r="C29" s="76">
        <v>300</v>
      </c>
      <c r="D29" s="77">
        <v>26.22</v>
      </c>
      <c r="E29" s="55"/>
      <c r="F29" s="55"/>
      <c r="G29" s="56">
        <f t="shared" si="1"/>
        <v>0</v>
      </c>
      <c r="H29" s="55"/>
      <c r="I29" s="56">
        <f t="shared" si="2"/>
        <v>0</v>
      </c>
      <c r="J29" s="56">
        <f t="shared" si="3"/>
        <v>0</v>
      </c>
      <c r="K29" s="57">
        <f t="shared" si="4"/>
        <v>0</v>
      </c>
      <c r="L29" s="297"/>
      <c r="M29" s="297"/>
      <c r="N29" s="314">
        <f t="shared" si="0"/>
        <v>0</v>
      </c>
      <c r="O29" s="310"/>
      <c r="P29" s="315"/>
      <c r="Q29" s="315"/>
      <c r="R29" s="315"/>
      <c r="S29" s="31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5"/>
      <c r="DF29" s="55"/>
      <c r="DG29" s="55"/>
      <c r="DH29" s="55"/>
      <c r="DI29" s="55"/>
      <c r="DJ29" s="55"/>
    </row>
    <row r="30" spans="1:114" x14ac:dyDescent="0.25">
      <c r="A30" s="104">
        <v>23</v>
      </c>
      <c r="B30" s="75" t="s">
        <v>14</v>
      </c>
      <c r="C30" s="76">
        <v>500</v>
      </c>
      <c r="D30" s="77">
        <v>26.22</v>
      </c>
      <c r="E30" s="55"/>
      <c r="F30" s="55"/>
      <c r="G30" s="56">
        <f t="shared" si="1"/>
        <v>0</v>
      </c>
      <c r="H30" s="55"/>
      <c r="I30" s="56">
        <f t="shared" si="2"/>
        <v>0</v>
      </c>
      <c r="J30" s="56">
        <f t="shared" si="3"/>
        <v>0</v>
      </c>
      <c r="K30" s="57">
        <f t="shared" si="4"/>
        <v>0</v>
      </c>
      <c r="L30" s="297"/>
      <c r="M30" s="297"/>
      <c r="N30" s="314">
        <f t="shared" si="0"/>
        <v>0</v>
      </c>
      <c r="O30" s="310"/>
      <c r="P30" s="315"/>
      <c r="Q30" s="315"/>
      <c r="R30" s="315"/>
      <c r="S30" s="31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c r="DJ30" s="55"/>
    </row>
    <row r="31" spans="1:114" x14ac:dyDescent="0.25">
      <c r="A31" s="104">
        <v>24</v>
      </c>
      <c r="B31" s="75" t="s">
        <v>15</v>
      </c>
      <c r="C31" s="76">
        <v>1500</v>
      </c>
      <c r="D31" s="77">
        <v>26.22</v>
      </c>
      <c r="E31" s="55"/>
      <c r="F31" s="55"/>
      <c r="G31" s="56">
        <f t="shared" si="1"/>
        <v>0</v>
      </c>
      <c r="H31" s="55"/>
      <c r="I31" s="56">
        <f t="shared" si="2"/>
        <v>0</v>
      </c>
      <c r="J31" s="56">
        <f t="shared" si="3"/>
        <v>0</v>
      </c>
      <c r="K31" s="57">
        <f t="shared" si="4"/>
        <v>0</v>
      </c>
      <c r="L31" s="297"/>
      <c r="M31" s="297"/>
      <c r="N31" s="314">
        <f t="shared" si="0"/>
        <v>0</v>
      </c>
      <c r="O31" s="310"/>
      <c r="P31" s="315"/>
      <c r="Q31" s="315"/>
      <c r="R31" s="315"/>
      <c r="S31" s="31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c r="DJ31" s="55"/>
    </row>
    <row r="32" spans="1:114" x14ac:dyDescent="0.25">
      <c r="A32" s="104">
        <v>25</v>
      </c>
      <c r="B32" s="75" t="s">
        <v>16</v>
      </c>
      <c r="C32" s="76">
        <v>3000</v>
      </c>
      <c r="D32" s="77">
        <v>26.22</v>
      </c>
      <c r="E32" s="55"/>
      <c r="F32" s="55"/>
      <c r="G32" s="56">
        <f t="shared" si="1"/>
        <v>0</v>
      </c>
      <c r="H32" s="55"/>
      <c r="I32" s="56">
        <f t="shared" si="2"/>
        <v>0</v>
      </c>
      <c r="J32" s="56">
        <f t="shared" si="3"/>
        <v>0</v>
      </c>
      <c r="K32" s="57">
        <f t="shared" si="4"/>
        <v>0</v>
      </c>
      <c r="L32" s="297"/>
      <c r="M32" s="297"/>
      <c r="N32" s="314">
        <f t="shared" si="0"/>
        <v>0</v>
      </c>
      <c r="O32" s="310"/>
      <c r="P32" s="315"/>
      <c r="Q32" s="315"/>
      <c r="R32" s="315"/>
      <c r="S32" s="31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c r="DJ32" s="55"/>
    </row>
    <row r="33" spans="1:114" x14ac:dyDescent="0.25">
      <c r="A33" s="104">
        <v>26</v>
      </c>
      <c r="B33" s="75" t="s">
        <v>17</v>
      </c>
      <c r="C33" s="76">
        <v>3000</v>
      </c>
      <c r="D33" s="77">
        <v>1336.5</v>
      </c>
      <c r="E33" s="55">
        <v>1338</v>
      </c>
      <c r="F33" s="55"/>
      <c r="G33" s="56">
        <f t="shared" si="1"/>
        <v>1338</v>
      </c>
      <c r="H33" s="55">
        <v>1338</v>
      </c>
      <c r="I33" s="56">
        <f t="shared" si="2"/>
        <v>0</v>
      </c>
      <c r="J33" s="56">
        <f t="shared" si="3"/>
        <v>0</v>
      </c>
      <c r="K33" s="57">
        <f t="shared" si="4"/>
        <v>0</v>
      </c>
      <c r="L33" s="298"/>
      <c r="M33" s="298"/>
      <c r="N33" s="314">
        <f t="shared" si="0"/>
        <v>0</v>
      </c>
      <c r="O33" s="310"/>
      <c r="P33" s="315"/>
      <c r="Q33" s="315"/>
      <c r="R33" s="315"/>
      <c r="S33" s="31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c r="DJ33" s="55"/>
    </row>
    <row r="34" spans="1:114" x14ac:dyDescent="0.25">
      <c r="A34" s="104">
        <v>27</v>
      </c>
      <c r="B34" s="75" t="s">
        <v>17</v>
      </c>
      <c r="C34" s="76">
        <v>5000</v>
      </c>
      <c r="D34" s="77">
        <v>1336.5</v>
      </c>
      <c r="E34" s="55">
        <v>1338</v>
      </c>
      <c r="F34" s="55"/>
      <c r="G34" s="56">
        <f t="shared" si="1"/>
        <v>1338</v>
      </c>
      <c r="H34" s="55">
        <v>1338</v>
      </c>
      <c r="I34" s="56">
        <f t="shared" si="2"/>
        <v>0</v>
      </c>
      <c r="J34" s="56">
        <f t="shared" si="3"/>
        <v>0</v>
      </c>
      <c r="K34" s="57">
        <f t="shared" si="4"/>
        <v>0</v>
      </c>
      <c r="L34" s="297"/>
      <c r="M34" s="297"/>
      <c r="N34" s="314">
        <f t="shared" si="0"/>
        <v>0</v>
      </c>
      <c r="O34" s="310"/>
      <c r="P34" s="315"/>
      <c r="Q34" s="315"/>
      <c r="R34" s="315"/>
      <c r="S34" s="31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c r="DJ34" s="55"/>
    </row>
    <row r="35" spans="1:114" x14ac:dyDescent="0.25">
      <c r="A35" s="104">
        <v>28</v>
      </c>
      <c r="B35" s="75" t="s">
        <v>17</v>
      </c>
      <c r="C35" s="76">
        <v>10000</v>
      </c>
      <c r="D35" s="77">
        <v>1336.5</v>
      </c>
      <c r="E35" s="55">
        <v>1338</v>
      </c>
      <c r="F35" s="55"/>
      <c r="G35" s="56">
        <f t="shared" si="1"/>
        <v>1338</v>
      </c>
      <c r="H35" s="55">
        <v>1338</v>
      </c>
      <c r="I35" s="56">
        <f t="shared" si="2"/>
        <v>0</v>
      </c>
      <c r="J35" s="56">
        <f t="shared" si="3"/>
        <v>0</v>
      </c>
      <c r="K35" s="57">
        <f t="shared" si="4"/>
        <v>0</v>
      </c>
      <c r="L35" s="297"/>
      <c r="M35" s="297"/>
      <c r="N35" s="314">
        <f t="shared" si="0"/>
        <v>0</v>
      </c>
      <c r="O35" s="310"/>
      <c r="P35" s="315"/>
      <c r="Q35" s="315"/>
      <c r="R35" s="315"/>
      <c r="S35" s="31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c r="CN35" s="55"/>
      <c r="CO35" s="55"/>
      <c r="CP35" s="55"/>
      <c r="CQ35" s="55"/>
      <c r="CR35" s="55"/>
      <c r="CS35" s="55"/>
      <c r="CT35" s="55"/>
      <c r="CU35" s="55"/>
      <c r="CV35" s="55"/>
      <c r="CW35" s="55"/>
      <c r="CX35" s="55"/>
      <c r="CY35" s="55"/>
      <c r="CZ35" s="55"/>
      <c r="DA35" s="55"/>
      <c r="DB35" s="55"/>
      <c r="DC35" s="55"/>
      <c r="DD35" s="55"/>
      <c r="DE35" s="55"/>
      <c r="DF35" s="55"/>
      <c r="DG35" s="55"/>
      <c r="DH35" s="55"/>
      <c r="DI35" s="55"/>
      <c r="DJ35" s="55"/>
    </row>
    <row r="36" spans="1:114" x14ac:dyDescent="0.25">
      <c r="A36" s="104">
        <v>29</v>
      </c>
      <c r="B36" s="75" t="s">
        <v>17</v>
      </c>
      <c r="C36" s="76">
        <v>20000</v>
      </c>
      <c r="D36" s="77">
        <v>1336.5</v>
      </c>
      <c r="E36" s="55">
        <v>1338</v>
      </c>
      <c r="F36" s="55"/>
      <c r="G36" s="56">
        <f t="shared" si="1"/>
        <v>1338</v>
      </c>
      <c r="H36" s="55">
        <v>1338</v>
      </c>
      <c r="I36" s="56">
        <f t="shared" si="2"/>
        <v>0</v>
      </c>
      <c r="J36" s="56">
        <f t="shared" si="3"/>
        <v>0</v>
      </c>
      <c r="K36" s="57">
        <f t="shared" si="4"/>
        <v>0</v>
      </c>
      <c r="L36" s="297"/>
      <c r="M36" s="297"/>
      <c r="N36" s="314">
        <f t="shared" si="0"/>
        <v>0</v>
      </c>
      <c r="O36" s="310"/>
      <c r="P36" s="315"/>
      <c r="Q36" s="315"/>
      <c r="R36" s="315"/>
      <c r="S36" s="31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55"/>
      <c r="CB36" s="55"/>
      <c r="CC36" s="55"/>
      <c r="CD36" s="55"/>
      <c r="CE36" s="55"/>
      <c r="CF36" s="55"/>
      <c r="CG36" s="55"/>
      <c r="CH36" s="55"/>
      <c r="CI36" s="55"/>
      <c r="CJ36" s="55"/>
      <c r="CK36" s="55"/>
      <c r="CL36" s="55"/>
      <c r="CM36" s="55"/>
      <c r="CN36" s="55"/>
      <c r="CO36" s="55"/>
      <c r="CP36" s="55"/>
      <c r="CQ36" s="55"/>
      <c r="CR36" s="55"/>
      <c r="CS36" s="55"/>
      <c r="CT36" s="55"/>
      <c r="CU36" s="55"/>
      <c r="CV36" s="55"/>
      <c r="CW36" s="55"/>
      <c r="CX36" s="55"/>
      <c r="CY36" s="55"/>
      <c r="CZ36" s="55"/>
      <c r="DA36" s="55"/>
      <c r="DB36" s="55"/>
      <c r="DC36" s="55"/>
      <c r="DD36" s="55"/>
      <c r="DE36" s="55"/>
      <c r="DF36" s="55"/>
      <c r="DG36" s="55"/>
      <c r="DH36" s="55"/>
      <c r="DI36" s="55"/>
      <c r="DJ36" s="55"/>
    </row>
    <row r="37" spans="1:114" x14ac:dyDescent="0.25">
      <c r="A37" s="104">
        <v>30</v>
      </c>
      <c r="B37" s="75" t="s">
        <v>17</v>
      </c>
      <c r="C37" s="76">
        <v>25000</v>
      </c>
      <c r="D37" s="77">
        <v>1336.5</v>
      </c>
      <c r="E37" s="55">
        <v>1338</v>
      </c>
      <c r="F37" s="55"/>
      <c r="G37" s="56">
        <f t="shared" si="1"/>
        <v>1338</v>
      </c>
      <c r="H37" s="55">
        <v>1338</v>
      </c>
      <c r="I37" s="56">
        <f t="shared" si="2"/>
        <v>0</v>
      </c>
      <c r="J37" s="56">
        <f t="shared" si="3"/>
        <v>0</v>
      </c>
      <c r="K37" s="57">
        <f t="shared" si="4"/>
        <v>0</v>
      </c>
      <c r="L37" s="297"/>
      <c r="M37" s="297"/>
      <c r="N37" s="314">
        <f t="shared" si="0"/>
        <v>0</v>
      </c>
      <c r="O37" s="310"/>
      <c r="P37" s="315"/>
      <c r="Q37" s="315"/>
      <c r="R37" s="315"/>
      <c r="S37" s="31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55"/>
      <c r="CB37" s="55"/>
      <c r="CC37" s="55"/>
      <c r="CD37" s="55"/>
      <c r="CE37" s="55"/>
      <c r="CF37" s="55"/>
      <c r="CG37" s="55"/>
      <c r="CH37" s="55"/>
      <c r="CI37" s="55"/>
      <c r="CJ37" s="55"/>
      <c r="CK37" s="55"/>
      <c r="CL37" s="55"/>
      <c r="CM37" s="55"/>
      <c r="CN37" s="55"/>
      <c r="CO37" s="55"/>
      <c r="CP37" s="55"/>
      <c r="CQ37" s="55"/>
      <c r="CR37" s="55"/>
      <c r="CS37" s="55"/>
      <c r="CT37" s="55"/>
      <c r="CU37" s="55"/>
      <c r="CV37" s="55"/>
      <c r="CW37" s="55"/>
      <c r="CX37" s="55"/>
      <c r="CY37" s="55"/>
      <c r="CZ37" s="55"/>
      <c r="DA37" s="55"/>
      <c r="DB37" s="55"/>
      <c r="DC37" s="55"/>
      <c r="DD37" s="55"/>
      <c r="DE37" s="55"/>
      <c r="DF37" s="55"/>
      <c r="DG37" s="55"/>
      <c r="DH37" s="55"/>
      <c r="DI37" s="55"/>
      <c r="DJ37" s="55"/>
    </row>
    <row r="38" spans="1:114" x14ac:dyDescent="0.25">
      <c r="A38" s="104">
        <v>31</v>
      </c>
      <c r="B38" s="75" t="s">
        <v>17</v>
      </c>
      <c r="C38" s="76">
        <v>30000</v>
      </c>
      <c r="D38" s="77">
        <v>1336.5</v>
      </c>
      <c r="E38" s="55">
        <v>1338</v>
      </c>
      <c r="F38" s="55"/>
      <c r="G38" s="56">
        <f t="shared" si="1"/>
        <v>1338</v>
      </c>
      <c r="H38" s="55">
        <v>1338</v>
      </c>
      <c r="I38" s="56">
        <f t="shared" si="2"/>
        <v>0</v>
      </c>
      <c r="J38" s="56">
        <f t="shared" si="3"/>
        <v>0</v>
      </c>
      <c r="K38" s="57">
        <f t="shared" si="4"/>
        <v>0</v>
      </c>
      <c r="L38" s="297"/>
      <c r="M38" s="297"/>
      <c r="N38" s="314">
        <f t="shared" si="0"/>
        <v>0</v>
      </c>
      <c r="O38" s="310"/>
      <c r="P38" s="315"/>
      <c r="Q38" s="315"/>
      <c r="R38" s="315"/>
      <c r="S38" s="31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55"/>
      <c r="CZ38" s="55"/>
      <c r="DA38" s="55"/>
      <c r="DB38" s="55"/>
      <c r="DC38" s="55"/>
      <c r="DD38" s="55"/>
      <c r="DE38" s="55"/>
      <c r="DF38" s="55"/>
      <c r="DG38" s="55"/>
      <c r="DH38" s="55"/>
      <c r="DI38" s="55"/>
      <c r="DJ38" s="55"/>
    </row>
    <row r="39" spans="1:114" x14ac:dyDescent="0.25">
      <c r="A39" s="104">
        <v>32</v>
      </c>
      <c r="B39" s="75" t="s">
        <v>18</v>
      </c>
      <c r="C39" s="76">
        <v>3000</v>
      </c>
      <c r="D39" s="77">
        <v>1336.5</v>
      </c>
      <c r="E39" s="55">
        <v>5341</v>
      </c>
      <c r="F39" s="55"/>
      <c r="G39" s="56">
        <f t="shared" si="1"/>
        <v>5341</v>
      </c>
      <c r="H39" s="55">
        <v>5341</v>
      </c>
      <c r="I39" s="56">
        <f t="shared" si="2"/>
        <v>0</v>
      </c>
      <c r="J39" s="56">
        <f t="shared" si="3"/>
        <v>0</v>
      </c>
      <c r="K39" s="57">
        <f t="shared" si="4"/>
        <v>0</v>
      </c>
      <c r="L39" s="297"/>
      <c r="M39" s="297"/>
      <c r="N39" s="314">
        <f t="shared" si="0"/>
        <v>0</v>
      </c>
      <c r="O39" s="310"/>
      <c r="P39" s="315"/>
      <c r="Q39" s="315"/>
      <c r="R39" s="315"/>
      <c r="S39" s="31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55"/>
      <c r="CZ39" s="55"/>
      <c r="DA39" s="55"/>
      <c r="DB39" s="55"/>
      <c r="DC39" s="55"/>
      <c r="DD39" s="55"/>
      <c r="DE39" s="55"/>
      <c r="DF39" s="55"/>
      <c r="DG39" s="55"/>
      <c r="DH39" s="55"/>
      <c r="DI39" s="55"/>
      <c r="DJ39" s="55"/>
    </row>
    <row r="40" spans="1:114" x14ac:dyDescent="0.25">
      <c r="A40" s="104">
        <v>33</v>
      </c>
      <c r="B40" s="75" t="s">
        <v>18</v>
      </c>
      <c r="C40" s="76">
        <v>5000</v>
      </c>
      <c r="D40" s="77">
        <v>1336.5</v>
      </c>
      <c r="E40" s="55">
        <v>5341</v>
      </c>
      <c r="F40" s="55"/>
      <c r="G40" s="56">
        <f t="shared" si="1"/>
        <v>5341</v>
      </c>
      <c r="H40" s="55">
        <v>5341</v>
      </c>
      <c r="I40" s="56">
        <f t="shared" si="2"/>
        <v>0</v>
      </c>
      <c r="J40" s="56">
        <f t="shared" si="3"/>
        <v>0</v>
      </c>
      <c r="K40" s="57">
        <f t="shared" si="4"/>
        <v>0</v>
      </c>
      <c r="L40" s="297"/>
      <c r="M40" s="297"/>
      <c r="N40" s="314">
        <f t="shared" si="0"/>
        <v>0</v>
      </c>
      <c r="O40" s="310"/>
      <c r="P40" s="315"/>
      <c r="Q40" s="315"/>
      <c r="R40" s="315"/>
      <c r="S40" s="31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c r="DJ40" s="55"/>
    </row>
    <row r="41" spans="1:114" x14ac:dyDescent="0.25">
      <c r="A41" s="104">
        <v>34</v>
      </c>
      <c r="B41" s="75" t="s">
        <v>18</v>
      </c>
      <c r="C41" s="76">
        <v>10000</v>
      </c>
      <c r="D41" s="77">
        <v>1336.5</v>
      </c>
      <c r="E41" s="55">
        <v>5341</v>
      </c>
      <c r="F41" s="55"/>
      <c r="G41" s="56">
        <f t="shared" si="1"/>
        <v>5341</v>
      </c>
      <c r="H41" s="55">
        <v>5341</v>
      </c>
      <c r="I41" s="56">
        <f t="shared" si="2"/>
        <v>0</v>
      </c>
      <c r="J41" s="56">
        <f t="shared" si="3"/>
        <v>0</v>
      </c>
      <c r="K41" s="57">
        <f t="shared" si="4"/>
        <v>0</v>
      </c>
      <c r="L41" s="297"/>
      <c r="M41" s="297"/>
      <c r="N41" s="314">
        <f t="shared" si="0"/>
        <v>0</v>
      </c>
      <c r="O41" s="310"/>
      <c r="P41" s="315"/>
      <c r="Q41" s="315"/>
      <c r="R41" s="315"/>
      <c r="S41" s="31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c r="DJ41" s="55"/>
    </row>
    <row r="42" spans="1:114" x14ac:dyDescent="0.25">
      <c r="A42" s="104">
        <v>35</v>
      </c>
      <c r="B42" s="75" t="s">
        <v>18</v>
      </c>
      <c r="C42" s="76">
        <v>20000</v>
      </c>
      <c r="D42" s="77">
        <v>1336.5</v>
      </c>
      <c r="E42" s="55">
        <v>5341</v>
      </c>
      <c r="F42" s="55"/>
      <c r="G42" s="56">
        <f t="shared" si="1"/>
        <v>5341</v>
      </c>
      <c r="H42" s="55">
        <v>5341</v>
      </c>
      <c r="I42" s="56">
        <f t="shared" si="2"/>
        <v>0</v>
      </c>
      <c r="J42" s="56">
        <f t="shared" si="3"/>
        <v>0</v>
      </c>
      <c r="K42" s="57">
        <f t="shared" si="4"/>
        <v>0</v>
      </c>
      <c r="L42" s="297"/>
      <c r="M42" s="297"/>
      <c r="N42" s="314">
        <f t="shared" si="0"/>
        <v>0</v>
      </c>
      <c r="O42" s="310"/>
      <c r="P42" s="315"/>
      <c r="Q42" s="315"/>
      <c r="R42" s="315"/>
      <c r="S42" s="31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55"/>
      <c r="CZ42" s="55"/>
      <c r="DA42" s="55"/>
      <c r="DB42" s="55"/>
      <c r="DC42" s="55"/>
      <c r="DD42" s="55"/>
      <c r="DE42" s="55"/>
      <c r="DF42" s="55"/>
      <c r="DG42" s="55"/>
      <c r="DH42" s="55"/>
      <c r="DI42" s="55"/>
      <c r="DJ42" s="55"/>
    </row>
    <row r="43" spans="1:114" x14ac:dyDescent="0.25">
      <c r="A43" s="104">
        <v>36</v>
      </c>
      <c r="B43" s="75" t="s">
        <v>18</v>
      </c>
      <c r="C43" s="76">
        <v>25000</v>
      </c>
      <c r="D43" s="77">
        <v>1336.5</v>
      </c>
      <c r="E43" s="55">
        <v>5341</v>
      </c>
      <c r="F43" s="55"/>
      <c r="G43" s="56">
        <f t="shared" si="1"/>
        <v>5341</v>
      </c>
      <c r="H43" s="55">
        <v>5341</v>
      </c>
      <c r="I43" s="56">
        <f t="shared" si="2"/>
        <v>0</v>
      </c>
      <c r="J43" s="56">
        <f t="shared" si="3"/>
        <v>0</v>
      </c>
      <c r="K43" s="57">
        <f t="shared" si="4"/>
        <v>0</v>
      </c>
      <c r="L43" s="297"/>
      <c r="M43" s="297"/>
      <c r="N43" s="314">
        <f t="shared" si="0"/>
        <v>0</v>
      </c>
      <c r="O43" s="310"/>
      <c r="P43" s="315"/>
      <c r="Q43" s="315"/>
      <c r="R43" s="315"/>
      <c r="S43" s="31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c r="CN43" s="55"/>
      <c r="CO43" s="55"/>
      <c r="CP43" s="55"/>
      <c r="CQ43" s="55"/>
      <c r="CR43" s="55"/>
      <c r="CS43" s="55"/>
      <c r="CT43" s="55"/>
      <c r="CU43" s="55"/>
      <c r="CV43" s="55"/>
      <c r="CW43" s="55"/>
      <c r="CX43" s="55"/>
      <c r="CY43" s="55"/>
      <c r="CZ43" s="55"/>
      <c r="DA43" s="55"/>
      <c r="DB43" s="55"/>
      <c r="DC43" s="55"/>
      <c r="DD43" s="55"/>
      <c r="DE43" s="55"/>
      <c r="DF43" s="55"/>
      <c r="DG43" s="55"/>
      <c r="DH43" s="55"/>
      <c r="DI43" s="55"/>
      <c r="DJ43" s="55"/>
    </row>
    <row r="44" spans="1:114" ht="15.75" thickBot="1" x14ac:dyDescent="0.3">
      <c r="A44" s="104">
        <v>37</v>
      </c>
      <c r="B44" s="105" t="s">
        <v>18</v>
      </c>
      <c r="C44" s="106">
        <v>30000</v>
      </c>
      <c r="D44" s="107">
        <v>1336.5</v>
      </c>
      <c r="E44" s="108">
        <v>5337</v>
      </c>
      <c r="F44" s="108"/>
      <c r="G44" s="109">
        <f t="shared" si="1"/>
        <v>5337</v>
      </c>
      <c r="H44" s="108">
        <v>5337</v>
      </c>
      <c r="I44" s="109">
        <f t="shared" si="2"/>
        <v>0</v>
      </c>
      <c r="J44" s="109">
        <f t="shared" si="3"/>
        <v>0</v>
      </c>
      <c r="K44" s="110">
        <f t="shared" si="4"/>
        <v>0</v>
      </c>
      <c r="L44" s="297"/>
      <c r="M44" s="297"/>
      <c r="N44" s="321">
        <f t="shared" si="0"/>
        <v>0</v>
      </c>
      <c r="O44" s="312"/>
      <c r="P44" s="318"/>
      <c r="Q44" s="318"/>
      <c r="R44" s="318"/>
      <c r="S44" s="318"/>
      <c r="T44" s="108"/>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c r="AT44" s="108"/>
      <c r="AU44" s="108"/>
      <c r="AV44" s="108"/>
      <c r="AW44" s="108"/>
      <c r="AX44" s="108"/>
      <c r="AY44" s="108"/>
      <c r="AZ44" s="108"/>
      <c r="BA44" s="108"/>
      <c r="BB44" s="108"/>
      <c r="BC44" s="108"/>
      <c r="BD44" s="108"/>
      <c r="BE44" s="108"/>
      <c r="BF44" s="108"/>
      <c r="BG44" s="108"/>
      <c r="BH44" s="108"/>
      <c r="BI44" s="108"/>
      <c r="BJ44" s="108"/>
      <c r="BK44" s="108"/>
      <c r="BL44" s="108"/>
      <c r="BM44" s="108"/>
      <c r="BN44" s="108"/>
      <c r="BO44" s="108"/>
      <c r="BP44" s="108"/>
      <c r="BQ44" s="108"/>
      <c r="BR44" s="108"/>
      <c r="BS44" s="108"/>
      <c r="BT44" s="108"/>
      <c r="BU44" s="108"/>
      <c r="BV44" s="108"/>
      <c r="BW44" s="108"/>
      <c r="BX44" s="108"/>
      <c r="BY44" s="108"/>
      <c r="BZ44" s="108"/>
      <c r="CA44" s="108"/>
      <c r="CB44" s="108"/>
      <c r="CC44" s="108"/>
      <c r="CD44" s="108"/>
      <c r="CE44" s="108"/>
      <c r="CF44" s="108"/>
      <c r="CG44" s="108"/>
      <c r="CH44" s="108"/>
      <c r="CI44" s="108"/>
      <c r="CJ44" s="108"/>
      <c r="CK44" s="108"/>
      <c r="CL44" s="108"/>
      <c r="CM44" s="108"/>
      <c r="CN44" s="108"/>
      <c r="CO44" s="108"/>
      <c r="CP44" s="108"/>
      <c r="CQ44" s="108"/>
      <c r="CR44" s="108"/>
      <c r="CS44" s="108"/>
      <c r="CT44" s="108"/>
      <c r="CU44" s="108"/>
      <c r="CV44" s="108"/>
      <c r="CW44" s="108"/>
      <c r="CX44" s="108"/>
      <c r="CY44" s="108"/>
      <c r="CZ44" s="108"/>
      <c r="DA44" s="108"/>
      <c r="DB44" s="108"/>
      <c r="DC44" s="108"/>
      <c r="DD44" s="108"/>
      <c r="DE44" s="108"/>
      <c r="DF44" s="108"/>
      <c r="DG44" s="108"/>
      <c r="DH44" s="108"/>
      <c r="DI44" s="108"/>
      <c r="DJ44" s="108"/>
    </row>
    <row r="45" spans="1:114" ht="15.75" thickBot="1" x14ac:dyDescent="0.3">
      <c r="A45" s="78"/>
      <c r="B45" s="111" t="s">
        <v>658</v>
      </c>
      <c r="C45" s="112"/>
      <c r="D45" s="113"/>
      <c r="E45" s="114">
        <f t="shared" ref="E45:K45" si="5">SUM(E8:E44)</f>
        <v>40070</v>
      </c>
      <c r="F45" s="114">
        <f t="shared" si="5"/>
        <v>0</v>
      </c>
      <c r="G45" s="114">
        <f t="shared" si="5"/>
        <v>40070</v>
      </c>
      <c r="H45" s="114">
        <f t="shared" si="5"/>
        <v>40070</v>
      </c>
      <c r="I45" s="114">
        <f t="shared" si="5"/>
        <v>0</v>
      </c>
      <c r="J45" s="114">
        <f t="shared" si="5"/>
        <v>0</v>
      </c>
      <c r="K45" s="113">
        <f t="shared" si="5"/>
        <v>0</v>
      </c>
      <c r="L45" s="163"/>
      <c r="M45" s="163"/>
      <c r="N45" s="313"/>
      <c r="O45" s="241"/>
      <c r="P45" s="241"/>
      <c r="Q45" s="241"/>
      <c r="R45" s="241"/>
      <c r="S45" s="241"/>
      <c r="T45" s="240"/>
      <c r="U45" s="240"/>
      <c r="V45" s="240"/>
      <c r="W45" s="240"/>
      <c r="X45" s="240"/>
      <c r="Y45" s="240"/>
      <c r="Z45" s="240"/>
      <c r="AA45" s="240"/>
      <c r="AB45" s="240"/>
      <c r="AC45" s="240"/>
      <c r="AD45" s="240"/>
      <c r="AE45" s="240"/>
      <c r="AF45" s="240"/>
      <c r="AG45" s="240"/>
      <c r="AH45" s="240"/>
      <c r="AI45" s="240"/>
      <c r="AJ45" s="240"/>
      <c r="AK45" s="240"/>
      <c r="AL45" s="240"/>
      <c r="AM45" s="240"/>
      <c r="AN45" s="240"/>
      <c r="AO45" s="240"/>
      <c r="AP45" s="240"/>
      <c r="AQ45" s="240"/>
      <c r="AR45" s="240"/>
      <c r="AS45" s="240"/>
      <c r="AT45" s="240"/>
      <c r="AU45" s="240"/>
      <c r="AV45" s="240"/>
      <c r="AW45" s="240"/>
      <c r="AX45" s="240"/>
      <c r="AY45" s="240"/>
      <c r="AZ45" s="240"/>
      <c r="BA45" s="240"/>
      <c r="BB45" s="240"/>
      <c r="BC45" s="240"/>
      <c r="BD45" s="240"/>
      <c r="BE45" s="240"/>
      <c r="BF45" s="240"/>
      <c r="BG45" s="240"/>
      <c r="BH45" s="240"/>
      <c r="BI45" s="240"/>
      <c r="BJ45" s="240"/>
      <c r="BK45" s="240"/>
      <c r="BL45" s="240"/>
      <c r="BM45" s="240"/>
      <c r="BN45" s="240"/>
      <c r="BO45" s="240"/>
      <c r="BP45" s="240"/>
      <c r="BQ45" s="240"/>
      <c r="BR45" s="240"/>
      <c r="BS45" s="240"/>
      <c r="BT45" s="240"/>
      <c r="BU45" s="240"/>
      <c r="BV45" s="240"/>
      <c r="BW45" s="240"/>
      <c r="BX45" s="240"/>
      <c r="BY45" s="240"/>
      <c r="BZ45" s="240"/>
      <c r="CA45" s="240"/>
      <c r="CB45" s="240"/>
      <c r="CC45" s="240"/>
      <c r="CD45" s="240"/>
      <c r="CE45" s="240"/>
      <c r="CF45" s="240"/>
      <c r="CG45" s="240"/>
      <c r="CH45" s="240"/>
      <c r="CI45" s="240"/>
      <c r="CJ45" s="240"/>
      <c r="CK45" s="240"/>
      <c r="CL45" s="240"/>
      <c r="CM45" s="240"/>
      <c r="CN45" s="240"/>
      <c r="CO45" s="240"/>
      <c r="CP45" s="240"/>
      <c r="CQ45" s="240"/>
      <c r="CR45" s="240"/>
      <c r="CS45" s="240"/>
      <c r="CT45" s="240"/>
      <c r="CU45" s="240"/>
      <c r="CV45" s="240"/>
      <c r="CW45" s="240"/>
      <c r="CX45" s="240"/>
      <c r="CY45" s="240"/>
      <c r="CZ45" s="240"/>
      <c r="DA45" s="240"/>
      <c r="DB45" s="240"/>
      <c r="DC45" s="240"/>
      <c r="DD45" s="240"/>
      <c r="DE45" s="240"/>
      <c r="DF45" s="240"/>
      <c r="DG45" s="240"/>
      <c r="DH45" s="240"/>
      <c r="DI45" s="240"/>
      <c r="DJ45" s="240"/>
    </row>
    <row r="46" spans="1:114" ht="15.75" thickBot="1" x14ac:dyDescent="0.3">
      <c r="B46" s="93"/>
      <c r="C46" s="94"/>
      <c r="D46" s="95"/>
      <c r="E46" s="96"/>
      <c r="F46" s="62"/>
      <c r="G46" s="96"/>
      <c r="H46" s="96"/>
      <c r="I46" s="96"/>
      <c r="J46" s="96"/>
      <c r="K46" s="96"/>
      <c r="L46" s="164"/>
      <c r="M46" s="164"/>
      <c r="N46" s="295"/>
      <c r="O46" s="234"/>
      <c r="P46" s="234"/>
      <c r="Q46" s="234"/>
      <c r="R46" s="234"/>
      <c r="S46" s="234"/>
      <c r="T46" s="67"/>
      <c r="U46" s="67"/>
      <c r="V46" s="67"/>
    </row>
    <row r="47" spans="1:114" ht="15.75" thickBot="1" x14ac:dyDescent="0.3">
      <c r="A47" s="407" t="s">
        <v>657</v>
      </c>
      <c r="B47" s="414" t="s">
        <v>0</v>
      </c>
      <c r="C47" s="414" t="s">
        <v>1</v>
      </c>
      <c r="D47" s="415" t="s">
        <v>649</v>
      </c>
      <c r="E47" s="416" t="s">
        <v>19</v>
      </c>
      <c r="F47" s="416"/>
      <c r="G47" s="416"/>
      <c r="H47" s="416"/>
      <c r="I47" s="416"/>
      <c r="J47" s="410" t="s">
        <v>21</v>
      </c>
      <c r="K47" s="412" t="s">
        <v>602</v>
      </c>
      <c r="L47" s="295"/>
      <c r="M47" s="295"/>
      <c r="N47" s="403" t="s">
        <v>601</v>
      </c>
      <c r="O47" s="403" t="s">
        <v>924</v>
      </c>
      <c r="P47" s="403"/>
      <c r="Q47" s="403"/>
      <c r="R47" s="403"/>
      <c r="S47" s="403"/>
      <c r="T47" s="403"/>
      <c r="U47" s="403"/>
      <c r="V47" s="403"/>
      <c r="W47" s="403"/>
      <c r="X47" s="403"/>
      <c r="Y47" s="403"/>
      <c r="Z47" s="403"/>
      <c r="AA47" s="403"/>
      <c r="AB47" s="403"/>
      <c r="AC47" s="403"/>
      <c r="AD47" s="403"/>
      <c r="AE47" s="403"/>
      <c r="AF47" s="403"/>
      <c r="AG47" s="403"/>
      <c r="AH47" s="403"/>
      <c r="AI47" s="403"/>
      <c r="AJ47" s="403"/>
      <c r="AK47" s="403"/>
      <c r="AL47" s="403"/>
      <c r="AM47" s="403"/>
      <c r="AN47" s="403"/>
      <c r="AO47" s="403"/>
      <c r="AP47" s="403"/>
      <c r="AQ47" s="403"/>
      <c r="AR47" s="403"/>
      <c r="AS47" s="403"/>
      <c r="AT47" s="403"/>
      <c r="AU47" s="403"/>
      <c r="AV47" s="403"/>
      <c r="AW47" s="403"/>
      <c r="AX47" s="403"/>
      <c r="AY47" s="403"/>
      <c r="AZ47" s="403"/>
      <c r="BA47" s="403"/>
      <c r="BB47" s="403"/>
      <c r="BC47" s="403"/>
      <c r="BD47" s="403"/>
      <c r="BE47" s="403"/>
      <c r="BF47" s="403"/>
      <c r="BG47" s="403"/>
      <c r="BH47" s="403"/>
      <c r="BI47" s="403"/>
      <c r="BJ47" s="403"/>
      <c r="BK47" s="403"/>
      <c r="BL47" s="403"/>
      <c r="BM47" s="403"/>
      <c r="BN47" s="403"/>
      <c r="BO47" s="403"/>
      <c r="BP47" s="403"/>
      <c r="BQ47" s="403"/>
      <c r="BR47" s="403"/>
      <c r="BS47" s="403"/>
      <c r="BT47" s="403"/>
      <c r="BU47" s="403"/>
      <c r="BV47" s="403"/>
      <c r="BW47" s="403"/>
      <c r="BX47" s="403"/>
      <c r="BY47" s="403"/>
      <c r="BZ47" s="403"/>
      <c r="CA47" s="403"/>
      <c r="CB47" s="403"/>
      <c r="CC47" s="403"/>
      <c r="CD47" s="403"/>
      <c r="CE47" s="403"/>
      <c r="CF47" s="403"/>
      <c r="CG47" s="403"/>
      <c r="CH47" s="403"/>
      <c r="CI47" s="403"/>
      <c r="CJ47" s="403"/>
      <c r="CK47" s="403"/>
      <c r="CL47" s="403"/>
      <c r="CM47" s="403"/>
      <c r="CN47" s="403"/>
      <c r="CO47" s="403"/>
      <c r="CP47" s="403"/>
      <c r="CQ47" s="403"/>
      <c r="CR47" s="403"/>
      <c r="CS47" s="403"/>
      <c r="CT47" s="403"/>
      <c r="CU47" s="403"/>
      <c r="CV47" s="403"/>
      <c r="CW47" s="403"/>
      <c r="CX47" s="403"/>
      <c r="CY47" s="403"/>
      <c r="CZ47" s="403"/>
      <c r="DA47" s="403"/>
      <c r="DB47" s="403"/>
      <c r="DC47" s="403"/>
      <c r="DD47" s="403"/>
      <c r="DE47" s="403"/>
      <c r="DF47" s="403"/>
      <c r="DG47" s="403"/>
      <c r="DH47" s="403"/>
      <c r="DI47" s="403"/>
      <c r="DJ47" s="403"/>
    </row>
    <row r="48" spans="1:114" ht="15.75" thickBot="1" x14ac:dyDescent="0.3">
      <c r="A48" s="408"/>
      <c r="B48" s="414"/>
      <c r="C48" s="414"/>
      <c r="D48" s="415"/>
      <c r="E48" s="68" t="s">
        <v>22</v>
      </c>
      <c r="F48" s="68" t="s">
        <v>600</v>
      </c>
      <c r="G48" s="68" t="s">
        <v>601</v>
      </c>
      <c r="H48" s="68" t="s">
        <v>589</v>
      </c>
      <c r="I48" s="68" t="s">
        <v>601</v>
      </c>
      <c r="J48" s="411"/>
      <c r="K48" s="413"/>
      <c r="L48" s="295"/>
      <c r="M48" s="295"/>
      <c r="N48" s="403"/>
      <c r="O48" s="400" t="s">
        <v>925</v>
      </c>
      <c r="P48" s="400" t="s">
        <v>926</v>
      </c>
      <c r="Q48" s="400"/>
      <c r="R48" s="400"/>
      <c r="S48" s="400"/>
      <c r="T48" s="398"/>
      <c r="U48" s="398"/>
      <c r="V48" s="398"/>
      <c r="W48" s="398"/>
      <c r="X48" s="398"/>
      <c r="Y48" s="398"/>
      <c r="Z48" s="398"/>
      <c r="AA48" s="398"/>
      <c r="AB48" s="398"/>
      <c r="AC48" s="398"/>
      <c r="AD48" s="398"/>
      <c r="AE48" s="398"/>
      <c r="AF48" s="398"/>
      <c r="AG48" s="398"/>
      <c r="AH48" s="398"/>
      <c r="AI48" s="398"/>
      <c r="AJ48" s="398"/>
      <c r="AK48" s="398"/>
      <c r="AL48" s="398"/>
      <c r="AM48" s="398"/>
      <c r="AN48" s="398"/>
      <c r="AO48" s="398"/>
      <c r="AP48" s="398"/>
      <c r="AQ48" s="398"/>
      <c r="AR48" s="398"/>
      <c r="AS48" s="398"/>
      <c r="AT48" s="398"/>
      <c r="AU48" s="398"/>
      <c r="AV48" s="398"/>
      <c r="AW48" s="398"/>
      <c r="AX48" s="398"/>
      <c r="AY48" s="398"/>
      <c r="AZ48" s="398"/>
      <c r="BA48" s="398"/>
      <c r="BB48" s="398"/>
      <c r="BC48" s="398"/>
      <c r="BD48" s="398"/>
      <c r="BE48" s="398"/>
      <c r="BF48" s="398"/>
      <c r="BG48" s="398"/>
      <c r="BH48" s="398"/>
      <c r="BI48" s="398"/>
      <c r="BJ48" s="398"/>
      <c r="BK48" s="398"/>
      <c r="BL48" s="398"/>
      <c r="BM48" s="398"/>
      <c r="BN48" s="398"/>
      <c r="BO48" s="398"/>
      <c r="BP48" s="398"/>
      <c r="BQ48" s="398"/>
      <c r="BR48" s="398"/>
      <c r="BS48" s="398"/>
      <c r="BT48" s="398"/>
      <c r="BU48" s="398"/>
      <c r="BV48" s="398"/>
      <c r="BW48" s="398"/>
      <c r="BX48" s="398"/>
      <c r="BY48" s="398"/>
      <c r="BZ48" s="398"/>
      <c r="CA48" s="398"/>
      <c r="CB48" s="398"/>
      <c r="CC48" s="398"/>
      <c r="CD48" s="398"/>
      <c r="CE48" s="398"/>
      <c r="CF48" s="398"/>
      <c r="CG48" s="398"/>
      <c r="CH48" s="398"/>
      <c r="CI48" s="398"/>
      <c r="CJ48" s="398"/>
      <c r="CK48" s="398"/>
      <c r="CL48" s="398"/>
      <c r="CM48" s="398"/>
      <c r="CN48" s="398"/>
      <c r="CO48" s="398"/>
      <c r="CP48" s="398"/>
      <c r="CQ48" s="398"/>
      <c r="CR48" s="398"/>
      <c r="CS48" s="398"/>
      <c r="CT48" s="398"/>
      <c r="CU48" s="398"/>
      <c r="CV48" s="398"/>
      <c r="CW48" s="398"/>
      <c r="CX48" s="398"/>
      <c r="CY48" s="398"/>
      <c r="CZ48" s="398"/>
      <c r="DA48" s="398"/>
      <c r="DB48" s="398"/>
      <c r="DC48" s="398"/>
      <c r="DD48" s="398"/>
      <c r="DE48" s="398"/>
      <c r="DF48" s="398"/>
      <c r="DG48" s="398"/>
      <c r="DH48" s="398"/>
      <c r="DI48" s="398"/>
      <c r="DJ48" s="398"/>
    </row>
    <row r="49" spans="1:114" ht="15.75" thickBot="1" x14ac:dyDescent="0.3">
      <c r="A49" s="409"/>
      <c r="B49" s="69">
        <v>1</v>
      </c>
      <c r="C49" s="69">
        <v>2</v>
      </c>
      <c r="D49" s="69">
        <v>3</v>
      </c>
      <c r="E49" s="70">
        <v>4</v>
      </c>
      <c r="F49" s="70">
        <f>+E49+1</f>
        <v>5</v>
      </c>
      <c r="G49" s="70" t="s">
        <v>652</v>
      </c>
      <c r="H49" s="70">
        <v>7</v>
      </c>
      <c r="I49" s="71" t="s">
        <v>651</v>
      </c>
      <c r="J49" s="42" t="s">
        <v>650</v>
      </c>
      <c r="K49" s="303" t="s">
        <v>653</v>
      </c>
      <c r="L49" s="296"/>
      <c r="M49" s="296"/>
      <c r="N49" s="403"/>
      <c r="O49" s="402"/>
      <c r="P49" s="402"/>
      <c r="Q49" s="402"/>
      <c r="R49" s="402"/>
      <c r="S49" s="402"/>
      <c r="T49" s="399"/>
      <c r="U49" s="399"/>
      <c r="V49" s="399"/>
      <c r="W49" s="399"/>
      <c r="X49" s="399"/>
      <c r="Y49" s="399"/>
      <c r="Z49" s="399"/>
      <c r="AA49" s="399"/>
      <c r="AB49" s="399"/>
      <c r="AC49" s="399"/>
      <c r="AD49" s="399"/>
      <c r="AE49" s="399"/>
      <c r="AF49" s="399"/>
      <c r="AG49" s="399"/>
      <c r="AH49" s="399"/>
      <c r="AI49" s="399"/>
      <c r="AJ49" s="399"/>
      <c r="AK49" s="399"/>
      <c r="AL49" s="399"/>
      <c r="AM49" s="399"/>
      <c r="AN49" s="399"/>
      <c r="AO49" s="399"/>
      <c r="AP49" s="399"/>
      <c r="AQ49" s="399"/>
      <c r="AR49" s="399"/>
      <c r="AS49" s="399"/>
      <c r="AT49" s="399"/>
      <c r="AU49" s="399"/>
      <c r="AV49" s="399"/>
      <c r="AW49" s="399"/>
      <c r="AX49" s="399"/>
      <c r="AY49" s="399"/>
      <c r="AZ49" s="399"/>
      <c r="BA49" s="399"/>
      <c r="BB49" s="399"/>
      <c r="BC49" s="399"/>
      <c r="BD49" s="399"/>
      <c r="BE49" s="399"/>
      <c r="BF49" s="399"/>
      <c r="BG49" s="399"/>
      <c r="BH49" s="399"/>
      <c r="BI49" s="399"/>
      <c r="BJ49" s="399"/>
      <c r="BK49" s="399"/>
      <c r="BL49" s="399"/>
      <c r="BM49" s="399"/>
      <c r="BN49" s="399"/>
      <c r="BO49" s="399"/>
      <c r="BP49" s="399"/>
      <c r="BQ49" s="399"/>
      <c r="BR49" s="399"/>
      <c r="BS49" s="399"/>
      <c r="BT49" s="399"/>
      <c r="BU49" s="399"/>
      <c r="BV49" s="399"/>
      <c r="BW49" s="399"/>
      <c r="BX49" s="399"/>
      <c r="BY49" s="399"/>
      <c r="BZ49" s="399"/>
      <c r="CA49" s="399"/>
      <c r="CB49" s="399"/>
      <c r="CC49" s="399"/>
      <c r="CD49" s="399"/>
      <c r="CE49" s="399"/>
      <c r="CF49" s="399"/>
      <c r="CG49" s="399"/>
      <c r="CH49" s="399"/>
      <c r="CI49" s="399"/>
      <c r="CJ49" s="399"/>
      <c r="CK49" s="399"/>
      <c r="CL49" s="399"/>
      <c r="CM49" s="399"/>
      <c r="CN49" s="399"/>
      <c r="CO49" s="399"/>
      <c r="CP49" s="399"/>
      <c r="CQ49" s="399"/>
      <c r="CR49" s="399"/>
      <c r="CS49" s="399"/>
      <c r="CT49" s="399"/>
      <c r="CU49" s="399"/>
      <c r="CV49" s="399"/>
      <c r="CW49" s="399"/>
      <c r="CX49" s="399"/>
      <c r="CY49" s="399"/>
      <c r="CZ49" s="399"/>
      <c r="DA49" s="399"/>
      <c r="DB49" s="399"/>
      <c r="DC49" s="399"/>
      <c r="DD49" s="399"/>
      <c r="DE49" s="399"/>
      <c r="DF49" s="399"/>
      <c r="DG49" s="399"/>
      <c r="DH49" s="399"/>
      <c r="DI49" s="399"/>
      <c r="DJ49" s="399"/>
    </row>
    <row r="50" spans="1:114" x14ac:dyDescent="0.25">
      <c r="A50" s="72"/>
      <c r="B50" s="72" t="s">
        <v>659</v>
      </c>
      <c r="C50" s="73"/>
      <c r="D50" s="74"/>
      <c r="E50" s="54"/>
      <c r="F50" s="54"/>
      <c r="G50" s="54"/>
      <c r="H50" s="54"/>
      <c r="I50" s="54"/>
      <c r="J50" s="54"/>
      <c r="K50" s="54"/>
      <c r="L50" s="234"/>
      <c r="M50" s="234"/>
      <c r="N50" s="314">
        <f t="shared" ref="N50:N63" si="6">SUM(O50:DK50)</f>
        <v>0</v>
      </c>
      <c r="O50" s="310"/>
      <c r="P50" s="315"/>
      <c r="Q50" s="315"/>
      <c r="R50" s="315"/>
      <c r="S50" s="31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c r="DJ50" s="55"/>
    </row>
    <row r="51" spans="1:114" x14ac:dyDescent="0.25">
      <c r="A51" s="120">
        <v>1</v>
      </c>
      <c r="B51" s="79" t="s">
        <v>23</v>
      </c>
      <c r="C51" s="80">
        <v>1500</v>
      </c>
      <c r="D51" s="81">
        <v>44.73</v>
      </c>
      <c r="E51" s="59">
        <v>0</v>
      </c>
      <c r="F51" s="59"/>
      <c r="G51" s="56">
        <f t="shared" ref="G51:G62" si="7">+E51+F51</f>
        <v>0</v>
      </c>
      <c r="H51" s="55"/>
      <c r="I51" s="56">
        <f t="shared" ref="I51:I62" si="8">+G51-H51</f>
        <v>0</v>
      </c>
      <c r="J51" s="56">
        <f t="shared" ref="J51:J62" si="9">I51*C51</f>
        <v>0</v>
      </c>
      <c r="K51" s="57">
        <f t="shared" ref="K51:K62" si="10">+D51*I51</f>
        <v>0</v>
      </c>
      <c r="L51" s="297"/>
      <c r="M51" s="297"/>
      <c r="N51" s="314">
        <f t="shared" si="6"/>
        <v>0</v>
      </c>
      <c r="O51" s="310"/>
      <c r="P51" s="315"/>
      <c r="Q51" s="315"/>
      <c r="R51" s="315"/>
      <c r="S51" s="31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c r="DJ51" s="55"/>
    </row>
    <row r="52" spans="1:114" x14ac:dyDescent="0.25">
      <c r="A52" s="120">
        <v>2</v>
      </c>
      <c r="B52" s="79" t="s">
        <v>24</v>
      </c>
      <c r="C52" s="80">
        <v>1500</v>
      </c>
      <c r="D52" s="81">
        <v>69.78</v>
      </c>
      <c r="E52" s="44">
        <v>0</v>
      </c>
      <c r="F52" s="59"/>
      <c r="G52" s="56">
        <f t="shared" si="7"/>
        <v>0</v>
      </c>
      <c r="H52" s="55">
        <f>10200-10200</f>
        <v>0</v>
      </c>
      <c r="I52" s="56">
        <f t="shared" si="8"/>
        <v>0</v>
      </c>
      <c r="J52" s="56">
        <f t="shared" si="9"/>
        <v>0</v>
      </c>
      <c r="K52" s="57">
        <f t="shared" si="10"/>
        <v>0</v>
      </c>
      <c r="L52" s="297"/>
      <c r="M52" s="297"/>
      <c r="N52" s="314">
        <f t="shared" si="6"/>
        <v>0</v>
      </c>
      <c r="O52" s="310"/>
      <c r="P52" s="315"/>
      <c r="Q52" s="315"/>
      <c r="R52" s="315"/>
      <c r="S52" s="31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c r="DJ52" s="55"/>
    </row>
    <row r="53" spans="1:114" x14ac:dyDescent="0.25">
      <c r="A53" s="120">
        <v>3</v>
      </c>
      <c r="B53" s="79" t="s">
        <v>25</v>
      </c>
      <c r="C53" s="80">
        <v>1500</v>
      </c>
      <c r="D53" s="81">
        <v>54.07</v>
      </c>
      <c r="E53" s="59">
        <v>0</v>
      </c>
      <c r="F53" s="59"/>
      <c r="G53" s="56">
        <f t="shared" si="7"/>
        <v>0</v>
      </c>
      <c r="H53" s="55"/>
      <c r="I53" s="56">
        <f t="shared" si="8"/>
        <v>0</v>
      </c>
      <c r="J53" s="56">
        <f t="shared" si="9"/>
        <v>0</v>
      </c>
      <c r="K53" s="57">
        <f t="shared" si="10"/>
        <v>0</v>
      </c>
      <c r="L53" s="297"/>
      <c r="M53" s="297"/>
      <c r="N53" s="314">
        <f t="shared" si="6"/>
        <v>0</v>
      </c>
      <c r="O53" s="310"/>
      <c r="P53" s="315"/>
      <c r="Q53" s="315"/>
      <c r="R53" s="315"/>
      <c r="S53" s="31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c r="DJ53" s="55"/>
    </row>
    <row r="54" spans="1:114" x14ac:dyDescent="0.25">
      <c r="A54" s="120">
        <v>4</v>
      </c>
      <c r="B54" s="79" t="s">
        <v>26</v>
      </c>
      <c r="C54" s="80">
        <v>1500</v>
      </c>
      <c r="D54" s="81">
        <v>54.07</v>
      </c>
      <c r="E54" s="59">
        <v>0</v>
      </c>
      <c r="F54" s="59"/>
      <c r="G54" s="56">
        <f t="shared" si="7"/>
        <v>0</v>
      </c>
      <c r="H54" s="55"/>
      <c r="I54" s="56">
        <f t="shared" si="8"/>
        <v>0</v>
      </c>
      <c r="J54" s="56">
        <f t="shared" si="9"/>
        <v>0</v>
      </c>
      <c r="K54" s="57">
        <f t="shared" si="10"/>
        <v>0</v>
      </c>
      <c r="L54" s="297"/>
      <c r="M54" s="297"/>
      <c r="N54" s="314">
        <f t="shared" si="6"/>
        <v>0</v>
      </c>
      <c r="O54" s="310"/>
      <c r="P54" s="315"/>
      <c r="Q54" s="315"/>
      <c r="R54" s="315"/>
      <c r="S54" s="31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c r="DJ54" s="55"/>
    </row>
    <row r="55" spans="1:114" x14ac:dyDescent="0.25">
      <c r="A55" s="120">
        <v>5</v>
      </c>
      <c r="B55" s="79" t="s">
        <v>27</v>
      </c>
      <c r="C55" s="80">
        <v>2500</v>
      </c>
      <c r="D55" s="81">
        <v>187.2</v>
      </c>
      <c r="E55" s="59">
        <v>0</v>
      </c>
      <c r="F55" s="59"/>
      <c r="G55" s="56">
        <f t="shared" si="7"/>
        <v>0</v>
      </c>
      <c r="H55" s="289">
        <f>1260-1260</f>
        <v>0</v>
      </c>
      <c r="I55" s="56">
        <f t="shared" si="8"/>
        <v>0</v>
      </c>
      <c r="J55" s="56">
        <f t="shared" si="9"/>
        <v>0</v>
      </c>
      <c r="K55" s="57">
        <f t="shared" si="10"/>
        <v>0</v>
      </c>
      <c r="L55" s="297"/>
      <c r="M55" s="297"/>
      <c r="N55" s="314">
        <f t="shared" si="6"/>
        <v>0</v>
      </c>
      <c r="O55" s="310"/>
      <c r="P55" s="315"/>
      <c r="Q55" s="315"/>
      <c r="R55" s="315"/>
      <c r="S55" s="31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c r="DJ55" s="55"/>
    </row>
    <row r="56" spans="1:114" x14ac:dyDescent="0.25">
      <c r="A56" s="120">
        <v>6</v>
      </c>
      <c r="B56" s="79" t="s">
        <v>28</v>
      </c>
      <c r="C56" s="80">
        <v>2500</v>
      </c>
      <c r="D56" s="81">
        <v>132.19</v>
      </c>
      <c r="E56" s="59">
        <v>0</v>
      </c>
      <c r="F56" s="59"/>
      <c r="G56" s="56">
        <f t="shared" si="7"/>
        <v>0</v>
      </c>
      <c r="H56" s="55"/>
      <c r="I56" s="56">
        <f t="shared" si="8"/>
        <v>0</v>
      </c>
      <c r="J56" s="56">
        <f t="shared" si="9"/>
        <v>0</v>
      </c>
      <c r="K56" s="57">
        <f t="shared" si="10"/>
        <v>0</v>
      </c>
      <c r="L56" s="297"/>
      <c r="M56" s="297"/>
      <c r="N56" s="314">
        <f t="shared" si="6"/>
        <v>0</v>
      </c>
      <c r="O56" s="310"/>
      <c r="P56" s="315"/>
      <c r="Q56" s="315"/>
      <c r="R56" s="315"/>
      <c r="S56" s="31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55"/>
      <c r="CB56" s="55"/>
      <c r="CC56" s="55"/>
      <c r="CD56" s="55"/>
      <c r="CE56" s="55"/>
      <c r="CF56" s="55"/>
      <c r="CG56" s="55"/>
      <c r="CH56" s="55"/>
      <c r="CI56" s="55"/>
      <c r="CJ56" s="55"/>
      <c r="CK56" s="55"/>
      <c r="CL56" s="55"/>
      <c r="CM56" s="55"/>
      <c r="CN56" s="55"/>
      <c r="CO56" s="55"/>
      <c r="CP56" s="55"/>
      <c r="CQ56" s="55"/>
      <c r="CR56" s="55"/>
      <c r="CS56" s="55"/>
      <c r="CT56" s="55"/>
      <c r="CU56" s="55"/>
      <c r="CV56" s="55"/>
      <c r="CW56" s="55"/>
      <c r="CX56" s="55"/>
      <c r="CY56" s="55"/>
      <c r="CZ56" s="55"/>
      <c r="DA56" s="55"/>
      <c r="DB56" s="55"/>
      <c r="DC56" s="55"/>
      <c r="DD56" s="55"/>
      <c r="DE56" s="55"/>
      <c r="DF56" s="55"/>
      <c r="DG56" s="55"/>
      <c r="DH56" s="55"/>
      <c r="DI56" s="55"/>
      <c r="DJ56" s="55"/>
    </row>
    <row r="57" spans="1:114" x14ac:dyDescent="0.25">
      <c r="A57" s="120">
        <v>7</v>
      </c>
      <c r="B57" s="79" t="s">
        <v>29</v>
      </c>
      <c r="C57" s="80">
        <v>1500</v>
      </c>
      <c r="D57" s="81">
        <v>54.07</v>
      </c>
      <c r="E57" s="59">
        <v>0</v>
      </c>
      <c r="F57" s="59"/>
      <c r="G57" s="56">
        <f t="shared" si="7"/>
        <v>0</v>
      </c>
      <c r="H57" s="55"/>
      <c r="I57" s="56">
        <f t="shared" si="8"/>
        <v>0</v>
      </c>
      <c r="J57" s="56">
        <f t="shared" si="9"/>
        <v>0</v>
      </c>
      <c r="K57" s="57">
        <f t="shared" si="10"/>
        <v>0</v>
      </c>
      <c r="L57" s="297"/>
      <c r="M57" s="297"/>
      <c r="N57" s="314">
        <f t="shared" si="6"/>
        <v>0</v>
      </c>
      <c r="O57" s="310"/>
      <c r="P57" s="315"/>
      <c r="Q57" s="315"/>
      <c r="R57" s="315"/>
      <c r="S57" s="31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55"/>
      <c r="CB57" s="55"/>
      <c r="CC57" s="55"/>
      <c r="CD57" s="55"/>
      <c r="CE57" s="55"/>
      <c r="CF57" s="55"/>
      <c r="CG57" s="55"/>
      <c r="CH57" s="55"/>
      <c r="CI57" s="55"/>
      <c r="CJ57" s="55"/>
      <c r="CK57" s="55"/>
      <c r="CL57" s="55"/>
      <c r="CM57" s="55"/>
      <c r="CN57" s="55"/>
      <c r="CO57" s="55"/>
      <c r="CP57" s="55"/>
      <c r="CQ57" s="55"/>
      <c r="CR57" s="55"/>
      <c r="CS57" s="55"/>
      <c r="CT57" s="55"/>
      <c r="CU57" s="55"/>
      <c r="CV57" s="55"/>
      <c r="CW57" s="55"/>
      <c r="CX57" s="55"/>
      <c r="CY57" s="55"/>
      <c r="CZ57" s="55"/>
      <c r="DA57" s="55"/>
      <c r="DB57" s="55"/>
      <c r="DC57" s="55"/>
      <c r="DD57" s="55"/>
      <c r="DE57" s="55"/>
      <c r="DF57" s="55"/>
      <c r="DG57" s="55"/>
      <c r="DH57" s="55"/>
      <c r="DI57" s="55"/>
      <c r="DJ57" s="55"/>
    </row>
    <row r="58" spans="1:114" x14ac:dyDescent="0.25">
      <c r="A58" s="120">
        <v>8</v>
      </c>
      <c r="B58" s="79" t="s">
        <v>30</v>
      </c>
      <c r="C58" s="80">
        <v>1500</v>
      </c>
      <c r="D58" s="81">
        <v>63.44</v>
      </c>
      <c r="E58" s="59">
        <v>0</v>
      </c>
      <c r="F58" s="59"/>
      <c r="G58" s="56">
        <f t="shared" si="7"/>
        <v>0</v>
      </c>
      <c r="H58" s="55"/>
      <c r="I58" s="56">
        <f t="shared" si="8"/>
        <v>0</v>
      </c>
      <c r="J58" s="56">
        <f t="shared" si="9"/>
        <v>0</v>
      </c>
      <c r="K58" s="57">
        <f t="shared" si="10"/>
        <v>0</v>
      </c>
      <c r="L58" s="297"/>
      <c r="M58" s="297"/>
      <c r="N58" s="314">
        <f t="shared" si="6"/>
        <v>0</v>
      </c>
      <c r="O58" s="310"/>
      <c r="P58" s="315"/>
      <c r="Q58" s="315"/>
      <c r="R58" s="315"/>
      <c r="S58" s="31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55"/>
      <c r="CA58" s="55"/>
      <c r="CB58" s="55"/>
      <c r="CC58" s="55"/>
      <c r="CD58" s="55"/>
      <c r="CE58" s="55"/>
      <c r="CF58" s="55"/>
      <c r="CG58" s="55"/>
      <c r="CH58" s="55"/>
      <c r="CI58" s="55"/>
      <c r="CJ58" s="55"/>
      <c r="CK58" s="55"/>
      <c r="CL58" s="55"/>
      <c r="CM58" s="55"/>
      <c r="CN58" s="55"/>
      <c r="CO58" s="55"/>
      <c r="CP58" s="55"/>
      <c r="CQ58" s="55"/>
      <c r="CR58" s="55"/>
      <c r="CS58" s="55"/>
      <c r="CT58" s="55"/>
      <c r="CU58" s="55"/>
      <c r="CV58" s="55"/>
      <c r="CW58" s="55"/>
      <c r="CX58" s="55"/>
      <c r="CY58" s="55"/>
      <c r="CZ58" s="55"/>
      <c r="DA58" s="55"/>
      <c r="DB58" s="55"/>
      <c r="DC58" s="55"/>
      <c r="DD58" s="55"/>
      <c r="DE58" s="55"/>
      <c r="DF58" s="55"/>
      <c r="DG58" s="55"/>
      <c r="DH58" s="55"/>
      <c r="DI58" s="55"/>
      <c r="DJ58" s="55"/>
    </row>
    <row r="59" spans="1:114" x14ac:dyDescent="0.25">
      <c r="A59" s="120">
        <v>9</v>
      </c>
      <c r="B59" s="79" t="s">
        <v>31</v>
      </c>
      <c r="C59" s="80">
        <v>2500</v>
      </c>
      <c r="D59" s="81">
        <v>174.44</v>
      </c>
      <c r="E59" s="59">
        <v>0</v>
      </c>
      <c r="F59" s="59"/>
      <c r="G59" s="56">
        <f t="shared" si="7"/>
        <v>0</v>
      </c>
      <c r="H59" s="55"/>
      <c r="I59" s="56">
        <f t="shared" si="8"/>
        <v>0</v>
      </c>
      <c r="J59" s="56">
        <f t="shared" si="9"/>
        <v>0</v>
      </c>
      <c r="K59" s="57">
        <f t="shared" si="10"/>
        <v>0</v>
      </c>
      <c r="L59" s="297"/>
      <c r="M59" s="297"/>
      <c r="N59" s="314">
        <f t="shared" si="6"/>
        <v>0</v>
      </c>
      <c r="O59" s="310"/>
      <c r="P59" s="315"/>
      <c r="Q59" s="315"/>
      <c r="R59" s="315"/>
      <c r="S59" s="31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55"/>
      <c r="CZ59" s="55"/>
      <c r="DA59" s="55"/>
      <c r="DB59" s="55"/>
      <c r="DC59" s="55"/>
      <c r="DD59" s="55"/>
      <c r="DE59" s="55"/>
      <c r="DF59" s="55"/>
      <c r="DG59" s="55"/>
      <c r="DH59" s="55"/>
      <c r="DI59" s="55"/>
      <c r="DJ59" s="55"/>
    </row>
    <row r="60" spans="1:114" x14ac:dyDescent="0.25">
      <c r="A60" s="120">
        <v>10</v>
      </c>
      <c r="B60" s="79" t="s">
        <v>32</v>
      </c>
      <c r="C60" s="80">
        <v>1500</v>
      </c>
      <c r="D60" s="81">
        <v>77.53</v>
      </c>
      <c r="E60" s="59">
        <v>0</v>
      </c>
      <c r="F60" s="59"/>
      <c r="G60" s="56">
        <f t="shared" si="7"/>
        <v>0</v>
      </c>
      <c r="H60" s="55">
        <f>1840-1840</f>
        <v>0</v>
      </c>
      <c r="I60" s="56">
        <f t="shared" si="8"/>
        <v>0</v>
      </c>
      <c r="J60" s="56">
        <f t="shared" si="9"/>
        <v>0</v>
      </c>
      <c r="K60" s="57">
        <f t="shared" si="10"/>
        <v>0</v>
      </c>
      <c r="L60" s="297"/>
      <c r="M60" s="297"/>
      <c r="N60" s="314">
        <f t="shared" si="6"/>
        <v>0</v>
      </c>
      <c r="O60" s="310"/>
      <c r="P60" s="315"/>
      <c r="Q60" s="315"/>
      <c r="R60" s="315"/>
      <c r="S60" s="31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c r="DJ60" s="55"/>
    </row>
    <row r="61" spans="1:114" x14ac:dyDescent="0.25">
      <c r="A61" s="120">
        <v>11</v>
      </c>
      <c r="B61" s="79" t="s">
        <v>33</v>
      </c>
      <c r="C61" s="80">
        <v>1500</v>
      </c>
      <c r="D61" s="81">
        <v>59.49</v>
      </c>
      <c r="E61" s="59">
        <v>0</v>
      </c>
      <c r="F61" s="59"/>
      <c r="G61" s="56">
        <f t="shared" si="7"/>
        <v>0</v>
      </c>
      <c r="H61" s="55"/>
      <c r="I61" s="56">
        <f t="shared" si="8"/>
        <v>0</v>
      </c>
      <c r="J61" s="56">
        <f t="shared" si="9"/>
        <v>0</v>
      </c>
      <c r="K61" s="57">
        <f t="shared" si="10"/>
        <v>0</v>
      </c>
      <c r="L61" s="297"/>
      <c r="M61" s="297"/>
      <c r="N61" s="314">
        <f t="shared" si="6"/>
        <v>0</v>
      </c>
      <c r="O61" s="310"/>
      <c r="P61" s="315"/>
      <c r="Q61" s="315"/>
      <c r="R61" s="315"/>
      <c r="S61" s="31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55"/>
      <c r="CZ61" s="55"/>
      <c r="DA61" s="55"/>
      <c r="DB61" s="55"/>
      <c r="DC61" s="55"/>
      <c r="DD61" s="55"/>
      <c r="DE61" s="55"/>
      <c r="DF61" s="55"/>
      <c r="DG61" s="55"/>
      <c r="DH61" s="55"/>
      <c r="DI61" s="55"/>
      <c r="DJ61" s="55"/>
    </row>
    <row r="62" spans="1:114" ht="15.75" thickBot="1" x14ac:dyDescent="0.3">
      <c r="A62" s="120">
        <v>12</v>
      </c>
      <c r="B62" s="115" t="s">
        <v>34</v>
      </c>
      <c r="C62" s="116">
        <v>1500</v>
      </c>
      <c r="D62" s="117">
        <v>59.49</v>
      </c>
      <c r="E62" s="118">
        <v>0</v>
      </c>
      <c r="F62" s="118"/>
      <c r="G62" s="109">
        <f t="shared" si="7"/>
        <v>0</v>
      </c>
      <c r="H62" s="108"/>
      <c r="I62" s="109">
        <f t="shared" si="8"/>
        <v>0</v>
      </c>
      <c r="J62" s="109">
        <f t="shared" si="9"/>
        <v>0</v>
      </c>
      <c r="K62" s="110">
        <f t="shared" si="10"/>
        <v>0</v>
      </c>
      <c r="L62" s="297"/>
      <c r="M62" s="297"/>
      <c r="N62" s="321">
        <f t="shared" si="6"/>
        <v>0</v>
      </c>
      <c r="O62" s="312"/>
      <c r="P62" s="318"/>
      <c r="Q62" s="318"/>
      <c r="R62" s="318"/>
      <c r="S62" s="318"/>
      <c r="T62" s="108"/>
      <c r="U62" s="108"/>
      <c r="V62" s="108"/>
      <c r="W62" s="108"/>
      <c r="X62" s="108"/>
      <c r="Y62" s="108"/>
      <c r="Z62" s="108"/>
      <c r="AA62" s="108"/>
      <c r="AB62" s="108"/>
      <c r="AC62" s="108"/>
      <c r="AD62" s="108"/>
      <c r="AE62" s="108"/>
      <c r="AF62" s="108"/>
      <c r="AG62" s="108"/>
      <c r="AH62" s="108"/>
      <c r="AI62" s="108"/>
      <c r="AJ62" s="108"/>
      <c r="AK62" s="108"/>
      <c r="AL62" s="108"/>
      <c r="AM62" s="108"/>
      <c r="AN62" s="108"/>
      <c r="AO62" s="108"/>
      <c r="AP62" s="108"/>
      <c r="AQ62" s="108"/>
      <c r="AR62" s="108"/>
      <c r="AS62" s="108"/>
      <c r="AT62" s="108"/>
      <c r="AU62" s="108"/>
      <c r="AV62" s="108"/>
      <c r="AW62" s="108"/>
      <c r="AX62" s="108"/>
      <c r="AY62" s="108"/>
      <c r="AZ62" s="108"/>
      <c r="BA62" s="108"/>
      <c r="BB62" s="108"/>
      <c r="BC62" s="108"/>
      <c r="BD62" s="108"/>
      <c r="BE62" s="108"/>
      <c r="BF62" s="108"/>
      <c r="BG62" s="108"/>
      <c r="BH62" s="108"/>
      <c r="BI62" s="108"/>
      <c r="BJ62" s="108"/>
      <c r="BK62" s="108"/>
      <c r="BL62" s="108"/>
      <c r="BM62" s="108"/>
      <c r="BN62" s="108"/>
      <c r="BO62" s="108"/>
      <c r="BP62" s="108"/>
      <c r="BQ62" s="108"/>
      <c r="BR62" s="108"/>
      <c r="BS62" s="108"/>
      <c r="BT62" s="108"/>
      <c r="BU62" s="108"/>
      <c r="BV62" s="108"/>
      <c r="BW62" s="108"/>
      <c r="BX62" s="108"/>
      <c r="BY62" s="108"/>
      <c r="BZ62" s="108"/>
      <c r="CA62" s="108"/>
      <c r="CB62" s="108"/>
      <c r="CC62" s="108"/>
      <c r="CD62" s="108"/>
      <c r="CE62" s="108"/>
      <c r="CF62" s="108"/>
      <c r="CG62" s="108"/>
      <c r="CH62" s="108"/>
      <c r="CI62" s="108"/>
      <c r="CJ62" s="108"/>
      <c r="CK62" s="108"/>
      <c r="CL62" s="108"/>
      <c r="CM62" s="108"/>
      <c r="CN62" s="108"/>
      <c r="CO62" s="108"/>
      <c r="CP62" s="108"/>
      <c r="CQ62" s="108"/>
      <c r="CR62" s="108"/>
      <c r="CS62" s="108"/>
      <c r="CT62" s="108"/>
      <c r="CU62" s="108"/>
      <c r="CV62" s="108"/>
      <c r="CW62" s="108"/>
      <c r="CX62" s="108"/>
      <c r="CY62" s="108"/>
      <c r="CZ62" s="108"/>
      <c r="DA62" s="108"/>
      <c r="DB62" s="108"/>
      <c r="DC62" s="108"/>
      <c r="DD62" s="108"/>
      <c r="DE62" s="108"/>
      <c r="DF62" s="108"/>
      <c r="DG62" s="108"/>
      <c r="DH62" s="108"/>
      <c r="DI62" s="108"/>
      <c r="DJ62" s="108"/>
    </row>
    <row r="63" spans="1:114" ht="15.75" thickBot="1" x14ac:dyDescent="0.3">
      <c r="A63" s="83"/>
      <c r="B63" s="119" t="s">
        <v>660</v>
      </c>
      <c r="C63" s="84"/>
      <c r="D63" s="85"/>
      <c r="E63" s="86">
        <f t="shared" ref="E63:K63" si="11">SUM(E51:E62)</f>
        <v>0</v>
      </c>
      <c r="F63" s="86">
        <f t="shared" si="11"/>
        <v>0</v>
      </c>
      <c r="G63" s="86">
        <f t="shared" si="11"/>
        <v>0</v>
      </c>
      <c r="H63" s="86">
        <f t="shared" si="11"/>
        <v>0</v>
      </c>
      <c r="I63" s="86">
        <f t="shared" si="11"/>
        <v>0</v>
      </c>
      <c r="J63" s="86">
        <f t="shared" si="11"/>
        <v>0</v>
      </c>
      <c r="K63" s="85">
        <f t="shared" si="11"/>
        <v>0</v>
      </c>
      <c r="L63" s="163"/>
      <c r="M63" s="163"/>
      <c r="N63" s="322">
        <f t="shared" si="6"/>
        <v>0</v>
      </c>
      <c r="O63" s="325"/>
      <c r="P63" s="325"/>
      <c r="Q63" s="325"/>
      <c r="R63" s="325"/>
      <c r="S63" s="325"/>
      <c r="T63" s="324"/>
      <c r="U63" s="324"/>
      <c r="V63" s="324"/>
      <c r="W63" s="324"/>
      <c r="X63" s="324"/>
      <c r="Y63" s="324"/>
      <c r="Z63" s="324"/>
      <c r="AA63" s="324"/>
      <c r="AB63" s="324"/>
      <c r="AC63" s="324"/>
      <c r="AD63" s="324"/>
      <c r="AE63" s="324"/>
      <c r="AF63" s="324"/>
      <c r="AG63" s="324"/>
      <c r="AH63" s="324"/>
      <c r="AI63" s="324"/>
      <c r="AJ63" s="324"/>
      <c r="AK63" s="324"/>
      <c r="AL63" s="324"/>
      <c r="AM63" s="324"/>
      <c r="AN63" s="324"/>
      <c r="AO63" s="324"/>
      <c r="AP63" s="324"/>
      <c r="AQ63" s="324"/>
      <c r="AR63" s="324"/>
      <c r="AS63" s="324"/>
      <c r="AT63" s="324"/>
      <c r="AU63" s="324"/>
      <c r="AV63" s="324"/>
      <c r="AW63" s="324"/>
      <c r="AX63" s="324"/>
      <c r="AY63" s="324"/>
      <c r="AZ63" s="324"/>
      <c r="BA63" s="324"/>
      <c r="BB63" s="324"/>
      <c r="BC63" s="324"/>
      <c r="BD63" s="324"/>
      <c r="BE63" s="324"/>
      <c r="BF63" s="324"/>
      <c r="BG63" s="324"/>
      <c r="BH63" s="324"/>
      <c r="BI63" s="324"/>
      <c r="BJ63" s="324"/>
      <c r="BK63" s="324"/>
      <c r="BL63" s="324"/>
      <c r="BM63" s="324"/>
      <c r="BN63" s="324"/>
      <c r="BO63" s="324"/>
      <c r="BP63" s="324"/>
      <c r="BQ63" s="324"/>
      <c r="BR63" s="324"/>
      <c r="BS63" s="324"/>
      <c r="BT63" s="324"/>
      <c r="BU63" s="324"/>
      <c r="BV63" s="324"/>
      <c r="BW63" s="324"/>
      <c r="BX63" s="324"/>
      <c r="BY63" s="324"/>
      <c r="BZ63" s="324"/>
      <c r="CA63" s="324"/>
      <c r="CB63" s="324"/>
      <c r="CC63" s="324"/>
      <c r="CD63" s="324"/>
      <c r="CE63" s="324"/>
      <c r="CF63" s="324"/>
      <c r="CG63" s="324"/>
      <c r="CH63" s="324"/>
      <c r="CI63" s="324"/>
      <c r="CJ63" s="324"/>
      <c r="CK63" s="324"/>
      <c r="CL63" s="324"/>
      <c r="CM63" s="324"/>
      <c r="CN63" s="324"/>
      <c r="CO63" s="324"/>
      <c r="CP63" s="324"/>
      <c r="CQ63" s="324"/>
      <c r="CR63" s="324"/>
      <c r="CS63" s="324"/>
      <c r="CT63" s="324"/>
      <c r="CU63" s="324"/>
      <c r="CV63" s="324"/>
      <c r="CW63" s="324"/>
      <c r="CX63" s="324"/>
      <c r="CY63" s="324"/>
      <c r="CZ63" s="324"/>
      <c r="DA63" s="324"/>
      <c r="DB63" s="324"/>
      <c r="DC63" s="324"/>
      <c r="DD63" s="324"/>
      <c r="DE63" s="324"/>
      <c r="DF63" s="324"/>
      <c r="DG63" s="324"/>
      <c r="DH63" s="324"/>
      <c r="DI63" s="324"/>
      <c r="DJ63" s="324"/>
    </row>
    <row r="64" spans="1:114" ht="15.75" thickBot="1" x14ac:dyDescent="0.3">
      <c r="B64" s="93"/>
      <c r="C64" s="94"/>
      <c r="D64" s="95"/>
      <c r="E64" s="96"/>
      <c r="F64" s="62"/>
      <c r="G64" s="96"/>
      <c r="H64" s="96"/>
      <c r="I64" s="96"/>
      <c r="J64" s="96"/>
      <c r="K64" s="96"/>
      <c r="L64" s="164"/>
      <c r="M64" s="1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row>
    <row r="65" spans="1:114" ht="15.75" thickBot="1" x14ac:dyDescent="0.3">
      <c r="A65" s="407" t="s">
        <v>657</v>
      </c>
      <c r="B65" s="414" t="s">
        <v>0</v>
      </c>
      <c r="C65" s="414" t="s">
        <v>1</v>
      </c>
      <c r="D65" s="415" t="s">
        <v>649</v>
      </c>
      <c r="E65" s="416" t="s">
        <v>19</v>
      </c>
      <c r="F65" s="416"/>
      <c r="G65" s="416"/>
      <c r="H65" s="416"/>
      <c r="I65" s="416"/>
      <c r="J65" s="410" t="s">
        <v>21</v>
      </c>
      <c r="K65" s="412" t="s">
        <v>602</v>
      </c>
      <c r="L65" s="295"/>
      <c r="M65" s="295"/>
      <c r="N65" s="403" t="s">
        <v>601</v>
      </c>
      <c r="O65" s="403" t="s">
        <v>924</v>
      </c>
      <c r="P65" s="403"/>
      <c r="Q65" s="403"/>
      <c r="R65" s="403"/>
      <c r="S65" s="403"/>
      <c r="T65" s="403"/>
      <c r="U65" s="403"/>
      <c r="V65" s="403"/>
      <c r="W65" s="403"/>
      <c r="X65" s="403"/>
      <c r="Y65" s="403"/>
      <c r="Z65" s="403"/>
      <c r="AA65" s="403"/>
      <c r="AB65" s="403"/>
      <c r="AC65" s="403"/>
      <c r="AD65" s="403"/>
      <c r="AE65" s="403"/>
      <c r="AF65" s="403"/>
      <c r="AG65" s="403"/>
      <c r="AH65" s="403"/>
      <c r="AI65" s="403"/>
      <c r="AJ65" s="403"/>
      <c r="AK65" s="403"/>
      <c r="AL65" s="403"/>
      <c r="AM65" s="403"/>
      <c r="AN65" s="403"/>
      <c r="AO65" s="403"/>
      <c r="AP65" s="403"/>
      <c r="AQ65" s="403"/>
      <c r="AR65" s="403"/>
      <c r="AS65" s="403"/>
      <c r="AT65" s="403"/>
      <c r="AU65" s="403"/>
      <c r="AV65" s="403"/>
      <c r="AW65" s="403"/>
      <c r="AX65" s="403"/>
      <c r="AY65" s="403"/>
      <c r="AZ65" s="403"/>
      <c r="BA65" s="403"/>
      <c r="BB65" s="403"/>
      <c r="BC65" s="403"/>
      <c r="BD65" s="403"/>
      <c r="BE65" s="403"/>
      <c r="BF65" s="403"/>
      <c r="BG65" s="403"/>
      <c r="BH65" s="403"/>
      <c r="BI65" s="403"/>
      <c r="BJ65" s="403"/>
      <c r="BK65" s="403"/>
      <c r="BL65" s="403"/>
      <c r="BM65" s="403"/>
      <c r="BN65" s="403"/>
      <c r="BO65" s="403"/>
      <c r="BP65" s="403"/>
      <c r="BQ65" s="403"/>
      <c r="BR65" s="403"/>
      <c r="BS65" s="403"/>
      <c r="BT65" s="403"/>
      <c r="BU65" s="403"/>
      <c r="BV65" s="403"/>
      <c r="BW65" s="403"/>
      <c r="BX65" s="403"/>
      <c r="BY65" s="403"/>
      <c r="BZ65" s="403"/>
      <c r="CA65" s="403"/>
      <c r="CB65" s="403"/>
      <c r="CC65" s="403"/>
      <c r="CD65" s="403"/>
      <c r="CE65" s="403"/>
      <c r="CF65" s="403"/>
      <c r="CG65" s="403"/>
      <c r="CH65" s="403"/>
      <c r="CI65" s="403"/>
      <c r="CJ65" s="403"/>
      <c r="CK65" s="403"/>
      <c r="CL65" s="403"/>
      <c r="CM65" s="403"/>
      <c r="CN65" s="403"/>
      <c r="CO65" s="403"/>
      <c r="CP65" s="403"/>
      <c r="CQ65" s="403"/>
      <c r="CR65" s="403"/>
      <c r="CS65" s="403"/>
      <c r="CT65" s="403"/>
      <c r="CU65" s="403"/>
      <c r="CV65" s="403"/>
      <c r="CW65" s="403"/>
      <c r="CX65" s="403"/>
      <c r="CY65" s="403"/>
      <c r="CZ65" s="403"/>
      <c r="DA65" s="403"/>
      <c r="DB65" s="403"/>
      <c r="DC65" s="403"/>
      <c r="DD65" s="403"/>
      <c r="DE65" s="403"/>
      <c r="DF65" s="403"/>
      <c r="DG65" s="403"/>
      <c r="DH65" s="403"/>
      <c r="DI65" s="403"/>
      <c r="DJ65" s="403"/>
    </row>
    <row r="66" spans="1:114" ht="15.75" thickBot="1" x14ac:dyDescent="0.3">
      <c r="A66" s="408"/>
      <c r="B66" s="414"/>
      <c r="C66" s="414"/>
      <c r="D66" s="415"/>
      <c r="E66" s="68" t="s">
        <v>22</v>
      </c>
      <c r="F66" s="68" t="s">
        <v>600</v>
      </c>
      <c r="G66" s="68" t="s">
        <v>601</v>
      </c>
      <c r="H66" s="68" t="s">
        <v>589</v>
      </c>
      <c r="I66" s="68" t="s">
        <v>601</v>
      </c>
      <c r="J66" s="411"/>
      <c r="K66" s="413"/>
      <c r="L66" s="295"/>
      <c r="M66" s="295"/>
      <c r="N66" s="403"/>
      <c r="O66" s="400" t="s">
        <v>925</v>
      </c>
      <c r="P66" s="400" t="s">
        <v>926</v>
      </c>
      <c r="Q66" s="400"/>
      <c r="R66" s="400"/>
      <c r="S66" s="400"/>
      <c r="T66" s="398"/>
      <c r="U66" s="398"/>
      <c r="V66" s="398"/>
      <c r="W66" s="398"/>
      <c r="X66" s="398"/>
      <c r="Y66" s="398"/>
      <c r="Z66" s="398"/>
      <c r="AA66" s="398"/>
      <c r="AB66" s="398"/>
      <c r="AC66" s="398"/>
      <c r="AD66" s="398"/>
      <c r="AE66" s="398"/>
      <c r="AF66" s="398"/>
      <c r="AG66" s="398"/>
      <c r="AH66" s="398"/>
      <c r="AI66" s="398"/>
      <c r="AJ66" s="398"/>
      <c r="AK66" s="398"/>
      <c r="AL66" s="398"/>
      <c r="AM66" s="398"/>
      <c r="AN66" s="398"/>
      <c r="AO66" s="398"/>
      <c r="AP66" s="398"/>
      <c r="AQ66" s="398"/>
      <c r="AR66" s="398"/>
      <c r="AS66" s="398"/>
      <c r="AT66" s="398"/>
      <c r="AU66" s="398"/>
      <c r="AV66" s="398"/>
      <c r="AW66" s="398"/>
      <c r="AX66" s="398"/>
      <c r="AY66" s="398"/>
      <c r="AZ66" s="398"/>
      <c r="BA66" s="398"/>
      <c r="BB66" s="398"/>
      <c r="BC66" s="398"/>
      <c r="BD66" s="398"/>
      <c r="BE66" s="398"/>
      <c r="BF66" s="398"/>
      <c r="BG66" s="398"/>
      <c r="BH66" s="398"/>
      <c r="BI66" s="398"/>
      <c r="BJ66" s="398"/>
      <c r="BK66" s="398"/>
      <c r="BL66" s="398"/>
      <c r="BM66" s="398"/>
      <c r="BN66" s="398"/>
      <c r="BO66" s="398"/>
      <c r="BP66" s="398"/>
      <c r="BQ66" s="398"/>
      <c r="BR66" s="398"/>
      <c r="BS66" s="398"/>
      <c r="BT66" s="398"/>
      <c r="BU66" s="398"/>
      <c r="BV66" s="398"/>
      <c r="BW66" s="398"/>
      <c r="BX66" s="398"/>
      <c r="BY66" s="398"/>
      <c r="BZ66" s="398"/>
      <c r="CA66" s="398"/>
      <c r="CB66" s="398"/>
      <c r="CC66" s="398"/>
      <c r="CD66" s="398"/>
      <c r="CE66" s="398"/>
      <c r="CF66" s="398"/>
      <c r="CG66" s="398"/>
      <c r="CH66" s="398"/>
      <c r="CI66" s="398"/>
      <c r="CJ66" s="398"/>
      <c r="CK66" s="398"/>
      <c r="CL66" s="398"/>
      <c r="CM66" s="398"/>
      <c r="CN66" s="398"/>
      <c r="CO66" s="398"/>
      <c r="CP66" s="398"/>
      <c r="CQ66" s="398"/>
      <c r="CR66" s="398"/>
      <c r="CS66" s="398"/>
      <c r="CT66" s="398"/>
      <c r="CU66" s="398"/>
      <c r="CV66" s="398"/>
      <c r="CW66" s="398"/>
      <c r="CX66" s="398"/>
      <c r="CY66" s="398"/>
      <c r="CZ66" s="398"/>
      <c r="DA66" s="398"/>
      <c r="DB66" s="398"/>
      <c r="DC66" s="398"/>
      <c r="DD66" s="398"/>
      <c r="DE66" s="398"/>
      <c r="DF66" s="398"/>
      <c r="DG66" s="398"/>
      <c r="DH66" s="398"/>
      <c r="DI66" s="398"/>
      <c r="DJ66" s="398"/>
    </row>
    <row r="67" spans="1:114" ht="15.75" thickBot="1" x14ac:dyDescent="0.3">
      <c r="A67" s="409"/>
      <c r="B67" s="69">
        <v>1</v>
      </c>
      <c r="C67" s="69">
        <v>2</v>
      </c>
      <c r="D67" s="69">
        <v>3</v>
      </c>
      <c r="E67" s="70">
        <v>4</v>
      </c>
      <c r="F67" s="70">
        <f>+E67+1</f>
        <v>5</v>
      </c>
      <c r="G67" s="70" t="s">
        <v>652</v>
      </c>
      <c r="H67" s="70">
        <v>7</v>
      </c>
      <c r="I67" s="71" t="s">
        <v>651</v>
      </c>
      <c r="J67" s="42" t="s">
        <v>650</v>
      </c>
      <c r="K67" s="303" t="s">
        <v>653</v>
      </c>
      <c r="L67" s="296"/>
      <c r="M67" s="296"/>
      <c r="N67" s="403"/>
      <c r="O67" s="402"/>
      <c r="P67" s="402"/>
      <c r="Q67" s="402"/>
      <c r="R67" s="402"/>
      <c r="S67" s="402"/>
      <c r="T67" s="399"/>
      <c r="U67" s="399"/>
      <c r="V67" s="399"/>
      <c r="W67" s="399"/>
      <c r="X67" s="399"/>
      <c r="Y67" s="399"/>
      <c r="Z67" s="399"/>
      <c r="AA67" s="399"/>
      <c r="AB67" s="399"/>
      <c r="AC67" s="399"/>
      <c r="AD67" s="399"/>
      <c r="AE67" s="399"/>
      <c r="AF67" s="399"/>
      <c r="AG67" s="399"/>
      <c r="AH67" s="399"/>
      <c r="AI67" s="399"/>
      <c r="AJ67" s="399"/>
      <c r="AK67" s="399"/>
      <c r="AL67" s="399"/>
      <c r="AM67" s="399"/>
      <c r="AN67" s="399"/>
      <c r="AO67" s="399"/>
      <c r="AP67" s="399"/>
      <c r="AQ67" s="399"/>
      <c r="AR67" s="399"/>
      <c r="AS67" s="399"/>
      <c r="AT67" s="399"/>
      <c r="AU67" s="399"/>
      <c r="AV67" s="399"/>
      <c r="AW67" s="399"/>
      <c r="AX67" s="399"/>
      <c r="AY67" s="399"/>
      <c r="AZ67" s="399"/>
      <c r="BA67" s="399"/>
      <c r="BB67" s="399"/>
      <c r="BC67" s="399"/>
      <c r="BD67" s="399"/>
      <c r="BE67" s="399"/>
      <c r="BF67" s="399"/>
      <c r="BG67" s="399"/>
      <c r="BH67" s="399"/>
      <c r="BI67" s="399"/>
      <c r="BJ67" s="399"/>
      <c r="BK67" s="399"/>
      <c r="BL67" s="399"/>
      <c r="BM67" s="399"/>
      <c r="BN67" s="399"/>
      <c r="BO67" s="399"/>
      <c r="BP67" s="399"/>
      <c r="BQ67" s="399"/>
      <c r="BR67" s="399"/>
      <c r="BS67" s="399"/>
      <c r="BT67" s="399"/>
      <c r="BU67" s="399"/>
      <c r="BV67" s="399"/>
      <c r="BW67" s="399"/>
      <c r="BX67" s="399"/>
      <c r="BY67" s="399"/>
      <c r="BZ67" s="399"/>
      <c r="CA67" s="399"/>
      <c r="CB67" s="399"/>
      <c r="CC67" s="399"/>
      <c r="CD67" s="399"/>
      <c r="CE67" s="399"/>
      <c r="CF67" s="399"/>
      <c r="CG67" s="399"/>
      <c r="CH67" s="399"/>
      <c r="CI67" s="399"/>
      <c r="CJ67" s="399"/>
      <c r="CK67" s="399"/>
      <c r="CL67" s="399"/>
      <c r="CM67" s="399"/>
      <c r="CN67" s="399"/>
      <c r="CO67" s="399"/>
      <c r="CP67" s="399"/>
      <c r="CQ67" s="399"/>
      <c r="CR67" s="399"/>
      <c r="CS67" s="399"/>
      <c r="CT67" s="399"/>
      <c r="CU67" s="399"/>
      <c r="CV67" s="399"/>
      <c r="CW67" s="399"/>
      <c r="CX67" s="399"/>
      <c r="CY67" s="399"/>
      <c r="CZ67" s="399"/>
      <c r="DA67" s="399"/>
      <c r="DB67" s="399"/>
      <c r="DC67" s="399"/>
      <c r="DD67" s="399"/>
      <c r="DE67" s="399"/>
      <c r="DF67" s="399"/>
      <c r="DG67" s="399"/>
      <c r="DH67" s="399"/>
      <c r="DI67" s="399"/>
      <c r="DJ67" s="399"/>
    </row>
    <row r="68" spans="1:114" x14ac:dyDescent="0.25">
      <c r="A68" s="72"/>
      <c r="B68" s="72" t="s">
        <v>661</v>
      </c>
      <c r="C68" s="73"/>
      <c r="D68" s="74"/>
      <c r="E68" s="54"/>
      <c r="F68" s="54"/>
      <c r="G68" s="54"/>
      <c r="H68" s="54"/>
      <c r="I68" s="54"/>
      <c r="J68" s="54"/>
      <c r="K68" s="54"/>
      <c r="L68" s="234"/>
      <c r="M68" s="234"/>
      <c r="N68" s="314">
        <f t="shared" ref="N68:N81" si="12">SUM(O68:DK68)</f>
        <v>0</v>
      </c>
      <c r="O68" s="310"/>
      <c r="P68" s="315"/>
      <c r="Q68" s="315"/>
      <c r="R68" s="315"/>
      <c r="S68" s="315"/>
      <c r="T68" s="55"/>
      <c r="U68" s="55"/>
      <c r="V68" s="55"/>
      <c r="W68" s="55"/>
      <c r="X68" s="55"/>
      <c r="Y68" s="55"/>
      <c r="Z68" s="55"/>
      <c r="AA68" s="55"/>
      <c r="AB68" s="55"/>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c r="BG68" s="55"/>
      <c r="BH68" s="55"/>
      <c r="BI68" s="55"/>
      <c r="BJ68" s="55"/>
      <c r="BK68" s="55"/>
      <c r="BL68" s="55"/>
      <c r="BM68" s="55"/>
      <c r="BN68" s="55"/>
      <c r="BO68" s="55"/>
      <c r="BP68" s="55"/>
      <c r="BQ68" s="55"/>
      <c r="BR68" s="55"/>
      <c r="BS68" s="55"/>
      <c r="BT68" s="55"/>
      <c r="BU68" s="55"/>
      <c r="BV68" s="55"/>
      <c r="BW68" s="55"/>
      <c r="BX68" s="55"/>
      <c r="BY68" s="55"/>
      <c r="BZ68" s="55"/>
      <c r="CA68" s="55"/>
      <c r="CB68" s="55"/>
      <c r="CC68" s="55"/>
      <c r="CD68" s="55"/>
      <c r="CE68" s="55"/>
      <c r="CF68" s="55"/>
      <c r="CG68" s="55"/>
      <c r="CH68" s="55"/>
      <c r="CI68" s="55"/>
      <c r="CJ68" s="55"/>
      <c r="CK68" s="55"/>
      <c r="CL68" s="55"/>
      <c r="CM68" s="55"/>
      <c r="CN68" s="55"/>
      <c r="CO68" s="55"/>
      <c r="CP68" s="55"/>
      <c r="CQ68" s="55"/>
      <c r="CR68" s="55"/>
      <c r="CS68" s="55"/>
      <c r="CT68" s="55"/>
      <c r="CU68" s="55"/>
      <c r="CV68" s="55"/>
      <c r="CW68" s="55"/>
      <c r="CX68" s="55"/>
      <c r="CY68" s="55"/>
      <c r="CZ68" s="55"/>
      <c r="DA68" s="55"/>
      <c r="DB68" s="55"/>
      <c r="DC68" s="55"/>
      <c r="DD68" s="55"/>
      <c r="DE68" s="55"/>
      <c r="DF68" s="55"/>
      <c r="DG68" s="55"/>
      <c r="DH68" s="55"/>
      <c r="DI68" s="55"/>
      <c r="DJ68" s="55"/>
    </row>
    <row r="69" spans="1:114" x14ac:dyDescent="0.25">
      <c r="A69" s="120">
        <v>1</v>
      </c>
      <c r="B69" s="79" t="s">
        <v>35</v>
      </c>
      <c r="C69" s="80">
        <v>1500</v>
      </c>
      <c r="D69" s="81">
        <v>116.66</v>
      </c>
      <c r="E69" s="43">
        <v>0</v>
      </c>
      <c r="F69" s="60"/>
      <c r="G69" s="56">
        <f t="shared" ref="G69:G81" si="13">+E69+F69</f>
        <v>0</v>
      </c>
      <c r="H69" s="55">
        <f>20000-20000</f>
        <v>0</v>
      </c>
      <c r="I69" s="56">
        <f t="shared" ref="I69:I81" si="14">+G69-H69</f>
        <v>0</v>
      </c>
      <c r="J69" s="56">
        <f t="shared" ref="J69:J81" si="15">I69*C69</f>
        <v>0</v>
      </c>
      <c r="K69" s="57">
        <f t="shared" ref="K69:K81" si="16">+D69*I69</f>
        <v>0</v>
      </c>
      <c r="L69" s="297"/>
      <c r="M69" s="297"/>
      <c r="N69" s="314">
        <f t="shared" si="12"/>
        <v>0</v>
      </c>
      <c r="O69" s="310"/>
      <c r="P69" s="315"/>
      <c r="Q69" s="315"/>
      <c r="R69" s="315"/>
      <c r="S69" s="315"/>
      <c r="T69" s="55"/>
      <c r="U69" s="55"/>
      <c r="V69" s="55"/>
      <c r="W69" s="55"/>
      <c r="X69" s="55"/>
      <c r="Y69" s="55"/>
      <c r="Z69" s="55"/>
      <c r="AA69" s="55"/>
      <c r="AB69" s="55"/>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c r="BB69" s="55"/>
      <c r="BC69" s="55"/>
      <c r="BD69" s="55"/>
      <c r="BE69" s="55"/>
      <c r="BF69" s="55"/>
      <c r="BG69" s="55"/>
      <c r="BH69" s="55"/>
      <c r="BI69" s="55"/>
      <c r="BJ69" s="55"/>
      <c r="BK69" s="55"/>
      <c r="BL69" s="55"/>
      <c r="BM69" s="55"/>
      <c r="BN69" s="55"/>
      <c r="BO69" s="55"/>
      <c r="BP69" s="55"/>
      <c r="BQ69" s="55"/>
      <c r="BR69" s="55"/>
      <c r="BS69" s="55"/>
      <c r="BT69" s="55"/>
      <c r="BU69" s="55"/>
      <c r="BV69" s="55"/>
      <c r="BW69" s="55"/>
      <c r="BX69" s="55"/>
      <c r="BY69" s="55"/>
      <c r="BZ69" s="55"/>
      <c r="CA69" s="55"/>
      <c r="CB69" s="55"/>
      <c r="CC69" s="55"/>
      <c r="CD69" s="55"/>
      <c r="CE69" s="55"/>
      <c r="CF69" s="55"/>
      <c r="CG69" s="55"/>
      <c r="CH69" s="55"/>
      <c r="CI69" s="55"/>
      <c r="CJ69" s="55"/>
      <c r="CK69" s="55"/>
      <c r="CL69" s="55"/>
      <c r="CM69" s="55"/>
      <c r="CN69" s="55"/>
      <c r="CO69" s="55"/>
      <c r="CP69" s="55"/>
      <c r="CQ69" s="55"/>
      <c r="CR69" s="55"/>
      <c r="CS69" s="55"/>
      <c r="CT69" s="55"/>
      <c r="CU69" s="55"/>
      <c r="CV69" s="55"/>
      <c r="CW69" s="55"/>
      <c r="CX69" s="55"/>
      <c r="CY69" s="55"/>
      <c r="CZ69" s="55"/>
      <c r="DA69" s="55"/>
      <c r="DB69" s="55"/>
      <c r="DC69" s="55"/>
      <c r="DD69" s="55"/>
      <c r="DE69" s="55"/>
      <c r="DF69" s="55"/>
      <c r="DG69" s="55"/>
      <c r="DH69" s="55"/>
      <c r="DI69" s="55"/>
      <c r="DJ69" s="55"/>
    </row>
    <row r="70" spans="1:114" x14ac:dyDescent="0.25">
      <c r="A70" s="120">
        <v>2</v>
      </c>
      <c r="B70" s="79" t="s">
        <v>36</v>
      </c>
      <c r="C70" s="80">
        <v>2500</v>
      </c>
      <c r="D70" s="81">
        <v>201.63</v>
      </c>
      <c r="E70" s="43">
        <v>0</v>
      </c>
      <c r="F70" s="60"/>
      <c r="G70" s="56">
        <f t="shared" si="13"/>
        <v>0</v>
      </c>
      <c r="H70" s="55"/>
      <c r="I70" s="56">
        <f t="shared" si="14"/>
        <v>0</v>
      </c>
      <c r="J70" s="56">
        <f t="shared" si="15"/>
        <v>0</v>
      </c>
      <c r="K70" s="57">
        <f t="shared" si="16"/>
        <v>0</v>
      </c>
      <c r="L70" s="297"/>
      <c r="M70" s="297"/>
      <c r="N70" s="314">
        <f t="shared" si="12"/>
        <v>0</v>
      </c>
      <c r="O70" s="310"/>
      <c r="P70" s="315"/>
      <c r="Q70" s="315"/>
      <c r="R70" s="315"/>
      <c r="S70" s="315"/>
      <c r="T70" s="55"/>
      <c r="U70" s="55"/>
      <c r="V70" s="55"/>
      <c r="W70" s="55"/>
      <c r="X70" s="55"/>
      <c r="Y70" s="55"/>
      <c r="Z70" s="55"/>
      <c r="AA70" s="55"/>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c r="BG70" s="55"/>
      <c r="BH70" s="55"/>
      <c r="BI70" s="55"/>
      <c r="BJ70" s="55"/>
      <c r="BK70" s="55"/>
      <c r="BL70" s="55"/>
      <c r="BM70" s="55"/>
      <c r="BN70" s="55"/>
      <c r="BO70" s="55"/>
      <c r="BP70" s="55"/>
      <c r="BQ70" s="55"/>
      <c r="BR70" s="55"/>
      <c r="BS70" s="55"/>
      <c r="BT70" s="55"/>
      <c r="BU70" s="55"/>
      <c r="BV70" s="55"/>
      <c r="BW70" s="55"/>
      <c r="BX70" s="55"/>
      <c r="BY70" s="55"/>
      <c r="BZ70" s="55"/>
      <c r="CA70" s="55"/>
      <c r="CB70" s="55"/>
      <c r="CC70" s="55"/>
      <c r="CD70" s="55"/>
      <c r="CE70" s="55"/>
      <c r="CF70" s="55"/>
      <c r="CG70" s="55"/>
      <c r="CH70" s="55"/>
      <c r="CI70" s="55"/>
      <c r="CJ70" s="55"/>
      <c r="CK70" s="55"/>
      <c r="CL70" s="55"/>
      <c r="CM70" s="55"/>
      <c r="CN70" s="55"/>
      <c r="CO70" s="55"/>
      <c r="CP70" s="55"/>
      <c r="CQ70" s="55"/>
      <c r="CR70" s="55"/>
      <c r="CS70" s="55"/>
      <c r="CT70" s="55"/>
      <c r="CU70" s="55"/>
      <c r="CV70" s="55"/>
      <c r="CW70" s="55"/>
      <c r="CX70" s="55"/>
      <c r="CY70" s="55"/>
      <c r="CZ70" s="55"/>
      <c r="DA70" s="55"/>
      <c r="DB70" s="55"/>
      <c r="DC70" s="55"/>
      <c r="DD70" s="55"/>
      <c r="DE70" s="55"/>
      <c r="DF70" s="55"/>
      <c r="DG70" s="55"/>
      <c r="DH70" s="55"/>
      <c r="DI70" s="55"/>
      <c r="DJ70" s="55"/>
    </row>
    <row r="71" spans="1:114" x14ac:dyDescent="0.25">
      <c r="A71" s="120">
        <v>3</v>
      </c>
      <c r="B71" s="79" t="s">
        <v>37</v>
      </c>
      <c r="C71" s="80">
        <v>1800</v>
      </c>
      <c r="D71" s="81">
        <v>58.93</v>
      </c>
      <c r="E71" s="43">
        <v>0</v>
      </c>
      <c r="F71" s="60"/>
      <c r="G71" s="56">
        <f t="shared" si="13"/>
        <v>0</v>
      </c>
      <c r="H71" s="55">
        <f>600+16274-16874</f>
        <v>0</v>
      </c>
      <c r="I71" s="56">
        <f t="shared" si="14"/>
        <v>0</v>
      </c>
      <c r="J71" s="56">
        <f t="shared" si="15"/>
        <v>0</v>
      </c>
      <c r="K71" s="57">
        <f t="shared" si="16"/>
        <v>0</v>
      </c>
      <c r="L71" s="297"/>
      <c r="M71" s="297"/>
      <c r="N71" s="314">
        <f t="shared" si="12"/>
        <v>0</v>
      </c>
      <c r="O71" s="310"/>
      <c r="P71" s="315"/>
      <c r="Q71" s="315"/>
      <c r="R71" s="315"/>
      <c r="S71" s="315"/>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c r="BQ71" s="55"/>
      <c r="BR71" s="55"/>
      <c r="BS71" s="55"/>
      <c r="BT71" s="55"/>
      <c r="BU71" s="55"/>
      <c r="BV71" s="55"/>
      <c r="BW71" s="55"/>
      <c r="BX71" s="55"/>
      <c r="BY71" s="55"/>
      <c r="BZ71" s="55"/>
      <c r="CA71" s="55"/>
      <c r="CB71" s="55"/>
      <c r="CC71" s="55"/>
      <c r="CD71" s="55"/>
      <c r="CE71" s="55"/>
      <c r="CF71" s="55"/>
      <c r="CG71" s="55"/>
      <c r="CH71" s="55"/>
      <c r="CI71" s="55"/>
      <c r="CJ71" s="55"/>
      <c r="CK71" s="55"/>
      <c r="CL71" s="55"/>
      <c r="CM71" s="55"/>
      <c r="CN71" s="55"/>
      <c r="CO71" s="55"/>
      <c r="CP71" s="55"/>
      <c r="CQ71" s="55"/>
      <c r="CR71" s="55"/>
      <c r="CS71" s="55"/>
      <c r="CT71" s="55"/>
      <c r="CU71" s="55"/>
      <c r="CV71" s="55"/>
      <c r="CW71" s="55"/>
      <c r="CX71" s="55"/>
      <c r="CY71" s="55"/>
      <c r="CZ71" s="55"/>
      <c r="DA71" s="55"/>
      <c r="DB71" s="55"/>
      <c r="DC71" s="55"/>
      <c r="DD71" s="55"/>
      <c r="DE71" s="55"/>
      <c r="DF71" s="55"/>
      <c r="DG71" s="55"/>
      <c r="DH71" s="55"/>
      <c r="DI71" s="55"/>
      <c r="DJ71" s="55"/>
    </row>
    <row r="72" spans="1:114" x14ac:dyDescent="0.25">
      <c r="A72" s="120">
        <v>4</v>
      </c>
      <c r="B72" s="79" t="s">
        <v>38</v>
      </c>
      <c r="C72" s="80">
        <v>1500</v>
      </c>
      <c r="D72" s="81">
        <v>82.02</v>
      </c>
      <c r="E72" s="43">
        <v>0</v>
      </c>
      <c r="F72" s="60"/>
      <c r="G72" s="56">
        <f t="shared" si="13"/>
        <v>0</v>
      </c>
      <c r="H72" s="55"/>
      <c r="I72" s="56">
        <f t="shared" si="14"/>
        <v>0</v>
      </c>
      <c r="J72" s="56">
        <f t="shared" si="15"/>
        <v>0</v>
      </c>
      <c r="K72" s="57">
        <f t="shared" si="16"/>
        <v>0</v>
      </c>
      <c r="L72" s="297"/>
      <c r="M72" s="297"/>
      <c r="N72" s="314">
        <f t="shared" si="12"/>
        <v>0</v>
      </c>
      <c r="O72" s="310"/>
      <c r="P72" s="315"/>
      <c r="Q72" s="315"/>
      <c r="R72" s="315"/>
      <c r="S72" s="31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BX72" s="55"/>
      <c r="BY72" s="55"/>
      <c r="BZ72" s="55"/>
      <c r="CA72" s="55"/>
      <c r="CB72" s="55"/>
      <c r="CC72" s="55"/>
      <c r="CD72" s="55"/>
      <c r="CE72" s="55"/>
      <c r="CF72" s="55"/>
      <c r="CG72" s="55"/>
      <c r="CH72" s="55"/>
      <c r="CI72" s="55"/>
      <c r="CJ72" s="55"/>
      <c r="CK72" s="55"/>
      <c r="CL72" s="55"/>
      <c r="CM72" s="55"/>
      <c r="CN72" s="55"/>
      <c r="CO72" s="55"/>
      <c r="CP72" s="55"/>
      <c r="CQ72" s="55"/>
      <c r="CR72" s="55"/>
      <c r="CS72" s="55"/>
      <c r="CT72" s="55"/>
      <c r="CU72" s="55"/>
      <c r="CV72" s="55"/>
      <c r="CW72" s="55"/>
      <c r="CX72" s="55"/>
      <c r="CY72" s="55"/>
      <c r="CZ72" s="55"/>
      <c r="DA72" s="55"/>
      <c r="DB72" s="55"/>
      <c r="DC72" s="55"/>
      <c r="DD72" s="55"/>
      <c r="DE72" s="55"/>
      <c r="DF72" s="55"/>
      <c r="DG72" s="55"/>
      <c r="DH72" s="55"/>
      <c r="DI72" s="55"/>
      <c r="DJ72" s="55"/>
    </row>
    <row r="73" spans="1:114" x14ac:dyDescent="0.25">
      <c r="A73" s="120">
        <v>5</v>
      </c>
      <c r="B73" s="79" t="s">
        <v>39</v>
      </c>
      <c r="C73" s="80">
        <v>2500</v>
      </c>
      <c r="D73" s="81">
        <v>129.71</v>
      </c>
      <c r="E73" s="43">
        <v>0</v>
      </c>
      <c r="F73" s="60"/>
      <c r="G73" s="56">
        <f t="shared" si="13"/>
        <v>0</v>
      </c>
      <c r="H73" s="55"/>
      <c r="I73" s="56">
        <f t="shared" si="14"/>
        <v>0</v>
      </c>
      <c r="J73" s="56">
        <f t="shared" si="15"/>
        <v>0</v>
      </c>
      <c r="K73" s="57">
        <f t="shared" si="16"/>
        <v>0</v>
      </c>
      <c r="L73" s="297"/>
      <c r="M73" s="297"/>
      <c r="N73" s="314">
        <f t="shared" si="12"/>
        <v>0</v>
      </c>
      <c r="O73" s="310"/>
      <c r="P73" s="315"/>
      <c r="Q73" s="315"/>
      <c r="R73" s="315"/>
      <c r="S73" s="315"/>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c r="BQ73" s="55"/>
      <c r="BR73" s="55"/>
      <c r="BS73" s="55"/>
      <c r="BT73" s="55"/>
      <c r="BU73" s="55"/>
      <c r="BV73" s="55"/>
      <c r="BW73" s="55"/>
      <c r="BX73" s="55"/>
      <c r="BY73" s="55"/>
      <c r="BZ73" s="55"/>
      <c r="CA73" s="55"/>
      <c r="CB73" s="55"/>
      <c r="CC73" s="55"/>
      <c r="CD73" s="55"/>
      <c r="CE73" s="55"/>
      <c r="CF73" s="55"/>
      <c r="CG73" s="55"/>
      <c r="CH73" s="55"/>
      <c r="CI73" s="55"/>
      <c r="CJ73" s="55"/>
      <c r="CK73" s="55"/>
      <c r="CL73" s="55"/>
      <c r="CM73" s="55"/>
      <c r="CN73" s="55"/>
      <c r="CO73" s="55"/>
      <c r="CP73" s="55"/>
      <c r="CQ73" s="55"/>
      <c r="CR73" s="55"/>
      <c r="CS73" s="55"/>
      <c r="CT73" s="55"/>
      <c r="CU73" s="55"/>
      <c r="CV73" s="55"/>
      <c r="CW73" s="55"/>
      <c r="CX73" s="55"/>
      <c r="CY73" s="55"/>
      <c r="CZ73" s="55"/>
      <c r="DA73" s="55"/>
      <c r="DB73" s="55"/>
      <c r="DC73" s="55"/>
      <c r="DD73" s="55"/>
      <c r="DE73" s="55"/>
      <c r="DF73" s="55"/>
      <c r="DG73" s="55"/>
      <c r="DH73" s="55"/>
      <c r="DI73" s="55"/>
      <c r="DJ73" s="55"/>
    </row>
    <row r="74" spans="1:114" x14ac:dyDescent="0.25">
      <c r="A74" s="120">
        <v>6</v>
      </c>
      <c r="B74" s="79" t="s">
        <v>40</v>
      </c>
      <c r="C74" s="80">
        <v>1500</v>
      </c>
      <c r="D74" s="81">
        <v>71.36</v>
      </c>
      <c r="E74" s="43">
        <v>0</v>
      </c>
      <c r="F74" s="60"/>
      <c r="G74" s="56">
        <f t="shared" si="13"/>
        <v>0</v>
      </c>
      <c r="H74" s="55">
        <f>2000-2000</f>
        <v>0</v>
      </c>
      <c r="I74" s="56">
        <f t="shared" si="14"/>
        <v>0</v>
      </c>
      <c r="J74" s="56">
        <f t="shared" si="15"/>
        <v>0</v>
      </c>
      <c r="K74" s="57">
        <f t="shared" si="16"/>
        <v>0</v>
      </c>
      <c r="L74" s="297"/>
      <c r="M74" s="297"/>
      <c r="N74" s="314">
        <f t="shared" si="12"/>
        <v>0</v>
      </c>
      <c r="O74" s="310"/>
      <c r="P74" s="315"/>
      <c r="Q74" s="315"/>
      <c r="R74" s="315"/>
      <c r="S74" s="315"/>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c r="BM74" s="55"/>
      <c r="BN74" s="55"/>
      <c r="BO74" s="55"/>
      <c r="BP74" s="55"/>
      <c r="BQ74" s="55"/>
      <c r="BR74" s="55"/>
      <c r="BS74" s="55"/>
      <c r="BT74" s="55"/>
      <c r="BU74" s="55"/>
      <c r="BV74" s="55"/>
      <c r="BW74" s="55"/>
      <c r="BX74" s="55"/>
      <c r="BY74" s="55"/>
      <c r="BZ74" s="55"/>
      <c r="CA74" s="55"/>
      <c r="CB74" s="55"/>
      <c r="CC74" s="55"/>
      <c r="CD74" s="55"/>
      <c r="CE74" s="55"/>
      <c r="CF74" s="55"/>
      <c r="CG74" s="55"/>
      <c r="CH74" s="55"/>
      <c r="CI74" s="55"/>
      <c r="CJ74" s="55"/>
      <c r="CK74" s="55"/>
      <c r="CL74" s="55"/>
      <c r="CM74" s="55"/>
      <c r="CN74" s="55"/>
      <c r="CO74" s="55"/>
      <c r="CP74" s="55"/>
      <c r="CQ74" s="55"/>
      <c r="CR74" s="55"/>
      <c r="CS74" s="55"/>
      <c r="CT74" s="55"/>
      <c r="CU74" s="55"/>
      <c r="CV74" s="55"/>
      <c r="CW74" s="55"/>
      <c r="CX74" s="55"/>
      <c r="CY74" s="55"/>
      <c r="CZ74" s="55"/>
      <c r="DA74" s="55"/>
      <c r="DB74" s="55"/>
      <c r="DC74" s="55"/>
      <c r="DD74" s="55"/>
      <c r="DE74" s="55"/>
      <c r="DF74" s="55"/>
      <c r="DG74" s="55"/>
      <c r="DH74" s="55"/>
      <c r="DI74" s="55"/>
      <c r="DJ74" s="55"/>
    </row>
    <row r="75" spans="1:114" x14ac:dyDescent="0.25">
      <c r="A75" s="120">
        <v>7</v>
      </c>
      <c r="B75" s="79" t="s">
        <v>41</v>
      </c>
      <c r="C75" s="80">
        <v>1500</v>
      </c>
      <c r="D75" s="81">
        <v>250.98</v>
      </c>
      <c r="E75" s="60">
        <v>0</v>
      </c>
      <c r="F75" s="60"/>
      <c r="G75" s="56">
        <f t="shared" si="13"/>
        <v>0</v>
      </c>
      <c r="H75" s="55"/>
      <c r="I75" s="56">
        <f t="shared" si="14"/>
        <v>0</v>
      </c>
      <c r="J75" s="56">
        <f t="shared" si="15"/>
        <v>0</v>
      </c>
      <c r="K75" s="57">
        <f t="shared" si="16"/>
        <v>0</v>
      </c>
      <c r="L75" s="297"/>
      <c r="M75" s="297"/>
      <c r="N75" s="314">
        <f t="shared" si="12"/>
        <v>0</v>
      </c>
      <c r="O75" s="310"/>
      <c r="P75" s="315"/>
      <c r="Q75" s="315"/>
      <c r="R75" s="315"/>
      <c r="S75" s="315"/>
      <c r="T75" s="55"/>
      <c r="U75" s="55"/>
      <c r="V75" s="55"/>
      <c r="W75" s="55"/>
      <c r="X75" s="55"/>
      <c r="Y75" s="55"/>
      <c r="Z75" s="55"/>
      <c r="AA75" s="55"/>
      <c r="AB75" s="55"/>
      <c r="AC75" s="55"/>
      <c r="AD75" s="55"/>
      <c r="AE75" s="55"/>
      <c r="AF75" s="55"/>
      <c r="AG75" s="55"/>
      <c r="AH75" s="55"/>
      <c r="AI75" s="55"/>
      <c r="AJ75" s="55"/>
      <c r="AK75" s="55"/>
      <c r="AL75" s="55"/>
      <c r="AM75" s="55"/>
      <c r="AN75" s="55"/>
      <c r="AO75" s="55"/>
      <c r="AP75" s="55"/>
      <c r="AQ75" s="55"/>
      <c r="AR75" s="55"/>
      <c r="AS75" s="55"/>
      <c r="AT75" s="55"/>
      <c r="AU75" s="55"/>
      <c r="AV75" s="55"/>
      <c r="AW75" s="55"/>
      <c r="AX75" s="55"/>
      <c r="AY75" s="55"/>
      <c r="AZ75" s="55"/>
      <c r="BA75" s="55"/>
      <c r="BB75" s="55"/>
      <c r="BC75" s="55"/>
      <c r="BD75" s="55"/>
      <c r="BE75" s="55"/>
      <c r="BF75" s="55"/>
      <c r="BG75" s="55"/>
      <c r="BH75" s="55"/>
      <c r="BI75" s="55"/>
      <c r="BJ75" s="55"/>
      <c r="BK75" s="55"/>
      <c r="BL75" s="55"/>
      <c r="BM75" s="55"/>
      <c r="BN75" s="55"/>
      <c r="BO75" s="55"/>
      <c r="BP75" s="55"/>
      <c r="BQ75" s="55"/>
      <c r="BR75" s="55"/>
      <c r="BS75" s="55"/>
      <c r="BT75" s="55"/>
      <c r="BU75" s="55"/>
      <c r="BV75" s="55"/>
      <c r="BW75" s="55"/>
      <c r="BX75" s="55"/>
      <c r="BY75" s="55"/>
      <c r="BZ75" s="55"/>
      <c r="CA75" s="55"/>
      <c r="CB75" s="55"/>
      <c r="CC75" s="55"/>
      <c r="CD75" s="55"/>
      <c r="CE75" s="55"/>
      <c r="CF75" s="55"/>
      <c r="CG75" s="55"/>
      <c r="CH75" s="55"/>
      <c r="CI75" s="55"/>
      <c r="CJ75" s="55"/>
      <c r="CK75" s="55"/>
      <c r="CL75" s="55"/>
      <c r="CM75" s="55"/>
      <c r="CN75" s="55"/>
      <c r="CO75" s="55"/>
      <c r="CP75" s="55"/>
      <c r="CQ75" s="55"/>
      <c r="CR75" s="55"/>
      <c r="CS75" s="55"/>
      <c r="CT75" s="55"/>
      <c r="CU75" s="55"/>
      <c r="CV75" s="55"/>
      <c r="CW75" s="55"/>
      <c r="CX75" s="55"/>
      <c r="CY75" s="55"/>
      <c r="CZ75" s="55"/>
      <c r="DA75" s="55"/>
      <c r="DB75" s="55"/>
      <c r="DC75" s="55"/>
      <c r="DD75" s="55"/>
      <c r="DE75" s="55"/>
      <c r="DF75" s="55"/>
      <c r="DG75" s="55"/>
      <c r="DH75" s="55"/>
      <c r="DI75" s="55"/>
      <c r="DJ75" s="55"/>
    </row>
    <row r="76" spans="1:114" x14ac:dyDescent="0.25">
      <c r="A76" s="120">
        <v>8</v>
      </c>
      <c r="B76" s="79" t="s">
        <v>41</v>
      </c>
      <c r="C76" s="80">
        <v>2500</v>
      </c>
      <c r="D76" s="81">
        <v>250.98</v>
      </c>
      <c r="E76" s="60">
        <v>0</v>
      </c>
      <c r="F76" s="60"/>
      <c r="G76" s="56">
        <f t="shared" si="13"/>
        <v>0</v>
      </c>
      <c r="H76" s="55"/>
      <c r="I76" s="56">
        <f t="shared" si="14"/>
        <v>0</v>
      </c>
      <c r="J76" s="56">
        <f t="shared" si="15"/>
        <v>0</v>
      </c>
      <c r="K76" s="57">
        <f t="shared" si="16"/>
        <v>0</v>
      </c>
      <c r="L76" s="297"/>
      <c r="M76" s="297"/>
      <c r="N76" s="314">
        <f t="shared" si="12"/>
        <v>0</v>
      </c>
      <c r="O76" s="310"/>
      <c r="P76" s="315"/>
      <c r="Q76" s="315"/>
      <c r="R76" s="315"/>
      <c r="S76" s="315"/>
      <c r="T76" s="55"/>
      <c r="U76" s="55"/>
      <c r="V76" s="55"/>
      <c r="W76" s="55"/>
      <c r="X76" s="55"/>
      <c r="Y76" s="55"/>
      <c r="Z76" s="55"/>
      <c r="AA76" s="55"/>
      <c r="AB76" s="55"/>
      <c r="AC76" s="55"/>
      <c r="AD76" s="55"/>
      <c r="AE76" s="55"/>
      <c r="AF76" s="55"/>
      <c r="AG76" s="55"/>
      <c r="AH76" s="55"/>
      <c r="AI76" s="55"/>
      <c r="AJ76" s="55"/>
      <c r="AK76" s="55"/>
      <c r="AL76" s="55"/>
      <c r="AM76" s="55"/>
      <c r="AN76" s="55"/>
      <c r="AO76" s="55"/>
      <c r="AP76" s="55"/>
      <c r="AQ76" s="55"/>
      <c r="AR76" s="55"/>
      <c r="AS76" s="55"/>
      <c r="AT76" s="55"/>
      <c r="AU76" s="55"/>
      <c r="AV76" s="55"/>
      <c r="AW76" s="55"/>
      <c r="AX76" s="55"/>
      <c r="AY76" s="55"/>
      <c r="AZ76" s="55"/>
      <c r="BA76" s="55"/>
      <c r="BB76" s="55"/>
      <c r="BC76" s="55"/>
      <c r="BD76" s="55"/>
      <c r="BE76" s="55"/>
      <c r="BF76" s="55"/>
      <c r="BG76" s="55"/>
      <c r="BH76" s="55"/>
      <c r="BI76" s="55"/>
      <c r="BJ76" s="55"/>
      <c r="BK76" s="55"/>
      <c r="BL76" s="55"/>
      <c r="BM76" s="55"/>
      <c r="BN76" s="55"/>
      <c r="BO76" s="55"/>
      <c r="BP76" s="55"/>
      <c r="BQ76" s="55"/>
      <c r="BR76" s="55"/>
      <c r="BS76" s="55"/>
      <c r="BT76" s="55"/>
      <c r="BU76" s="55"/>
      <c r="BV76" s="55"/>
      <c r="BW76" s="55"/>
      <c r="BX76" s="55"/>
      <c r="BY76" s="55"/>
      <c r="BZ76" s="55"/>
      <c r="CA76" s="55"/>
      <c r="CB76" s="55"/>
      <c r="CC76" s="55"/>
      <c r="CD76" s="55"/>
      <c r="CE76" s="55"/>
      <c r="CF76" s="55"/>
      <c r="CG76" s="55"/>
      <c r="CH76" s="55"/>
      <c r="CI76" s="55"/>
      <c r="CJ76" s="55"/>
      <c r="CK76" s="55"/>
      <c r="CL76" s="55"/>
      <c r="CM76" s="55"/>
      <c r="CN76" s="55"/>
      <c r="CO76" s="55"/>
      <c r="CP76" s="55"/>
      <c r="CQ76" s="55"/>
      <c r="CR76" s="55"/>
      <c r="CS76" s="55"/>
      <c r="CT76" s="55"/>
      <c r="CU76" s="55"/>
      <c r="CV76" s="55"/>
      <c r="CW76" s="55"/>
      <c r="CX76" s="55"/>
      <c r="CY76" s="55"/>
      <c r="CZ76" s="55"/>
      <c r="DA76" s="55"/>
      <c r="DB76" s="55"/>
      <c r="DC76" s="55"/>
      <c r="DD76" s="55"/>
      <c r="DE76" s="55"/>
      <c r="DF76" s="55"/>
      <c r="DG76" s="55"/>
      <c r="DH76" s="55"/>
      <c r="DI76" s="55"/>
      <c r="DJ76" s="55"/>
    </row>
    <row r="77" spans="1:114" x14ac:dyDescent="0.25">
      <c r="A77" s="120">
        <v>9</v>
      </c>
      <c r="B77" s="79" t="s">
        <v>42</v>
      </c>
      <c r="C77" s="80">
        <v>1500</v>
      </c>
      <c r="D77" s="81">
        <f>139.77/3</f>
        <v>46.59</v>
      </c>
      <c r="E77" s="60">
        <v>0</v>
      </c>
      <c r="F77" s="60"/>
      <c r="G77" s="56">
        <f t="shared" si="13"/>
        <v>0</v>
      </c>
      <c r="H77" s="55"/>
      <c r="I77" s="56">
        <f t="shared" si="14"/>
        <v>0</v>
      </c>
      <c r="J77" s="56">
        <f t="shared" si="15"/>
        <v>0</v>
      </c>
      <c r="K77" s="57">
        <f t="shared" si="16"/>
        <v>0</v>
      </c>
      <c r="L77" s="297"/>
      <c r="M77" s="297"/>
      <c r="N77" s="314">
        <f t="shared" si="12"/>
        <v>0</v>
      </c>
      <c r="O77" s="310"/>
      <c r="P77" s="315"/>
      <c r="Q77" s="315"/>
      <c r="R77" s="315"/>
      <c r="S77" s="315"/>
      <c r="T77" s="55"/>
      <c r="U77" s="55"/>
      <c r="V77" s="55"/>
      <c r="W77" s="55"/>
      <c r="X77" s="55"/>
      <c r="Y77" s="55"/>
      <c r="Z77" s="55"/>
      <c r="AA77" s="55"/>
      <c r="AB77" s="55"/>
      <c r="AC77" s="55"/>
      <c r="AD77" s="55"/>
      <c r="AE77" s="55"/>
      <c r="AF77" s="55"/>
      <c r="AG77" s="55"/>
      <c r="AH77" s="55"/>
      <c r="AI77" s="55"/>
      <c r="AJ77" s="55"/>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c r="BM77" s="55"/>
      <c r="BN77" s="55"/>
      <c r="BO77" s="55"/>
      <c r="BP77" s="55"/>
      <c r="BQ77" s="55"/>
      <c r="BR77" s="55"/>
      <c r="BS77" s="55"/>
      <c r="BT77" s="55"/>
      <c r="BU77" s="55"/>
      <c r="BV77" s="55"/>
      <c r="BW77" s="55"/>
      <c r="BX77" s="55"/>
      <c r="BY77" s="55"/>
      <c r="BZ77" s="55"/>
      <c r="CA77" s="55"/>
      <c r="CB77" s="55"/>
      <c r="CC77" s="55"/>
      <c r="CD77" s="55"/>
      <c r="CE77" s="55"/>
      <c r="CF77" s="55"/>
      <c r="CG77" s="55"/>
      <c r="CH77" s="55"/>
      <c r="CI77" s="55"/>
      <c r="CJ77" s="55"/>
      <c r="CK77" s="55"/>
      <c r="CL77" s="55"/>
      <c r="CM77" s="55"/>
      <c r="CN77" s="55"/>
      <c r="CO77" s="55"/>
      <c r="CP77" s="55"/>
      <c r="CQ77" s="55"/>
      <c r="CR77" s="55"/>
      <c r="CS77" s="55"/>
      <c r="CT77" s="55"/>
      <c r="CU77" s="55"/>
      <c r="CV77" s="55"/>
      <c r="CW77" s="55"/>
      <c r="CX77" s="55"/>
      <c r="CY77" s="55"/>
      <c r="CZ77" s="55"/>
      <c r="DA77" s="55"/>
      <c r="DB77" s="55"/>
      <c r="DC77" s="55"/>
      <c r="DD77" s="55"/>
      <c r="DE77" s="55"/>
      <c r="DF77" s="55"/>
      <c r="DG77" s="55"/>
      <c r="DH77" s="55"/>
      <c r="DI77" s="55"/>
      <c r="DJ77" s="55"/>
    </row>
    <row r="78" spans="1:114" x14ac:dyDescent="0.25">
      <c r="A78" s="120">
        <v>10</v>
      </c>
      <c r="B78" s="79" t="s">
        <v>42</v>
      </c>
      <c r="C78" s="80">
        <v>2000</v>
      </c>
      <c r="D78" s="81">
        <v>46.59</v>
      </c>
      <c r="E78" s="60">
        <v>0</v>
      </c>
      <c r="F78" s="60"/>
      <c r="G78" s="56">
        <f t="shared" si="13"/>
        <v>0</v>
      </c>
      <c r="H78" s="55"/>
      <c r="I78" s="56">
        <f t="shared" si="14"/>
        <v>0</v>
      </c>
      <c r="J78" s="56">
        <f t="shared" si="15"/>
        <v>0</v>
      </c>
      <c r="K78" s="57">
        <f t="shared" si="16"/>
        <v>0</v>
      </c>
      <c r="L78" s="297"/>
      <c r="M78" s="297"/>
      <c r="N78" s="314">
        <f t="shared" si="12"/>
        <v>0</v>
      </c>
      <c r="O78" s="310"/>
      <c r="P78" s="315"/>
      <c r="Q78" s="315"/>
      <c r="R78" s="315"/>
      <c r="S78" s="31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c r="BQ78" s="55"/>
      <c r="BR78" s="55"/>
      <c r="BS78" s="55"/>
      <c r="BT78" s="55"/>
      <c r="BU78" s="55"/>
      <c r="BV78" s="55"/>
      <c r="BW78" s="55"/>
      <c r="BX78" s="55"/>
      <c r="BY78" s="55"/>
      <c r="BZ78" s="55"/>
      <c r="CA78" s="55"/>
      <c r="CB78" s="55"/>
      <c r="CC78" s="55"/>
      <c r="CD78" s="55"/>
      <c r="CE78" s="55"/>
      <c r="CF78" s="55"/>
      <c r="CG78" s="55"/>
      <c r="CH78" s="55"/>
      <c r="CI78" s="55"/>
      <c r="CJ78" s="55"/>
      <c r="CK78" s="55"/>
      <c r="CL78" s="55"/>
      <c r="CM78" s="55"/>
      <c r="CN78" s="55"/>
      <c r="CO78" s="55"/>
      <c r="CP78" s="55"/>
      <c r="CQ78" s="55"/>
      <c r="CR78" s="55"/>
      <c r="CS78" s="55"/>
      <c r="CT78" s="55"/>
      <c r="CU78" s="55"/>
      <c r="CV78" s="55"/>
      <c r="CW78" s="55"/>
      <c r="CX78" s="55"/>
      <c r="CY78" s="55"/>
      <c r="CZ78" s="55"/>
      <c r="DA78" s="55"/>
      <c r="DB78" s="55"/>
      <c r="DC78" s="55"/>
      <c r="DD78" s="55"/>
      <c r="DE78" s="55"/>
      <c r="DF78" s="55"/>
      <c r="DG78" s="55"/>
      <c r="DH78" s="55"/>
      <c r="DI78" s="55"/>
      <c r="DJ78" s="55"/>
    </row>
    <row r="79" spans="1:114" x14ac:dyDescent="0.25">
      <c r="A79" s="120">
        <v>11</v>
      </c>
      <c r="B79" s="79" t="s">
        <v>42</v>
      </c>
      <c r="C79" s="80">
        <v>2500</v>
      </c>
      <c r="D79" s="81">
        <v>46.59</v>
      </c>
      <c r="E79" s="60">
        <v>0</v>
      </c>
      <c r="F79" s="60"/>
      <c r="G79" s="56">
        <f t="shared" si="13"/>
        <v>0</v>
      </c>
      <c r="H79" s="55"/>
      <c r="I79" s="56">
        <f t="shared" si="14"/>
        <v>0</v>
      </c>
      <c r="J79" s="56">
        <f t="shared" si="15"/>
        <v>0</v>
      </c>
      <c r="K79" s="57">
        <f t="shared" si="16"/>
        <v>0</v>
      </c>
      <c r="L79" s="297"/>
      <c r="M79" s="297"/>
      <c r="N79" s="314">
        <f t="shared" si="12"/>
        <v>0</v>
      </c>
      <c r="O79" s="310"/>
      <c r="P79" s="315"/>
      <c r="Q79" s="315"/>
      <c r="R79" s="315"/>
      <c r="S79" s="315"/>
      <c r="T79" s="55"/>
      <c r="U79" s="55"/>
      <c r="V79" s="55"/>
      <c r="W79" s="55"/>
      <c r="X79" s="55"/>
      <c r="Y79" s="55"/>
      <c r="Z79" s="55"/>
      <c r="AA79" s="55"/>
      <c r="AB79" s="55"/>
      <c r="AC79" s="55"/>
      <c r="AD79" s="55"/>
      <c r="AE79" s="55"/>
      <c r="AF79" s="55"/>
      <c r="AG79" s="55"/>
      <c r="AH79" s="55"/>
      <c r="AI79" s="55"/>
      <c r="AJ79" s="55"/>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c r="BM79" s="55"/>
      <c r="BN79" s="55"/>
      <c r="BO79" s="55"/>
      <c r="BP79" s="55"/>
      <c r="BQ79" s="55"/>
      <c r="BR79" s="55"/>
      <c r="BS79" s="55"/>
      <c r="BT79" s="55"/>
      <c r="BU79" s="55"/>
      <c r="BV79" s="55"/>
      <c r="BW79" s="55"/>
      <c r="BX79" s="55"/>
      <c r="BY79" s="55"/>
      <c r="BZ79" s="55"/>
      <c r="CA79" s="55"/>
      <c r="CB79" s="55"/>
      <c r="CC79" s="55"/>
      <c r="CD79" s="55"/>
      <c r="CE79" s="55"/>
      <c r="CF79" s="55"/>
      <c r="CG79" s="55"/>
      <c r="CH79" s="55"/>
      <c r="CI79" s="55"/>
      <c r="CJ79" s="55"/>
      <c r="CK79" s="55"/>
      <c r="CL79" s="55"/>
      <c r="CM79" s="55"/>
      <c r="CN79" s="55"/>
      <c r="CO79" s="55"/>
      <c r="CP79" s="55"/>
      <c r="CQ79" s="55"/>
      <c r="CR79" s="55"/>
      <c r="CS79" s="55"/>
      <c r="CT79" s="55"/>
      <c r="CU79" s="55"/>
      <c r="CV79" s="55"/>
      <c r="CW79" s="55"/>
      <c r="CX79" s="55"/>
      <c r="CY79" s="55"/>
      <c r="CZ79" s="55"/>
      <c r="DA79" s="55"/>
      <c r="DB79" s="55"/>
      <c r="DC79" s="55"/>
      <c r="DD79" s="55"/>
      <c r="DE79" s="55"/>
      <c r="DF79" s="55"/>
      <c r="DG79" s="55"/>
      <c r="DH79" s="55"/>
      <c r="DI79" s="55"/>
      <c r="DJ79" s="55"/>
    </row>
    <row r="80" spans="1:114" x14ac:dyDescent="0.25">
      <c r="A80" s="120">
        <v>12</v>
      </c>
      <c r="B80" s="79" t="s">
        <v>43</v>
      </c>
      <c r="C80" s="80">
        <v>1500</v>
      </c>
      <c r="D80" s="81">
        <v>139.77000000000001</v>
      </c>
      <c r="E80" s="60">
        <v>0</v>
      </c>
      <c r="F80" s="60"/>
      <c r="G80" s="56">
        <f t="shared" si="13"/>
        <v>0</v>
      </c>
      <c r="H80" s="55"/>
      <c r="I80" s="56">
        <f t="shared" si="14"/>
        <v>0</v>
      </c>
      <c r="J80" s="56">
        <f t="shared" si="15"/>
        <v>0</v>
      </c>
      <c r="K80" s="57">
        <f t="shared" si="16"/>
        <v>0</v>
      </c>
      <c r="L80" s="297"/>
      <c r="M80" s="297"/>
      <c r="N80" s="314">
        <f t="shared" si="12"/>
        <v>0</v>
      </c>
      <c r="O80" s="310"/>
      <c r="P80" s="315"/>
      <c r="Q80" s="315"/>
      <c r="R80" s="315"/>
      <c r="S80" s="315"/>
      <c r="T80" s="55"/>
      <c r="U80" s="55"/>
      <c r="V80" s="55"/>
      <c r="W80" s="55"/>
      <c r="X80" s="55"/>
      <c r="Y80" s="55"/>
      <c r="Z80" s="55"/>
      <c r="AA80" s="55"/>
      <c r="AB80" s="55"/>
      <c r="AC80" s="55"/>
      <c r="AD80" s="55"/>
      <c r="AE80" s="55"/>
      <c r="AF80" s="55"/>
      <c r="AG80" s="55"/>
      <c r="AH80" s="55"/>
      <c r="AI80" s="55"/>
      <c r="AJ80" s="55"/>
      <c r="AK80" s="55"/>
      <c r="AL80" s="55"/>
      <c r="AM80" s="55"/>
      <c r="AN80" s="55"/>
      <c r="AO80" s="55"/>
      <c r="AP80" s="55"/>
      <c r="AQ80" s="55"/>
      <c r="AR80" s="55"/>
      <c r="AS80" s="55"/>
      <c r="AT80" s="55"/>
      <c r="AU80" s="55"/>
      <c r="AV80" s="55"/>
      <c r="AW80" s="55"/>
      <c r="AX80" s="55"/>
      <c r="AY80" s="55"/>
      <c r="AZ80" s="55"/>
      <c r="BA80" s="55"/>
      <c r="BB80" s="55"/>
      <c r="BC80" s="55"/>
      <c r="BD80" s="55"/>
      <c r="BE80" s="55"/>
      <c r="BF80" s="55"/>
      <c r="BG80" s="55"/>
      <c r="BH80" s="55"/>
      <c r="BI80" s="55"/>
      <c r="BJ80" s="55"/>
      <c r="BK80" s="55"/>
      <c r="BL80" s="55"/>
      <c r="BM80" s="55"/>
      <c r="BN80" s="55"/>
      <c r="BO80" s="55"/>
      <c r="BP80" s="55"/>
      <c r="BQ80" s="55"/>
      <c r="BR80" s="55"/>
      <c r="BS80" s="55"/>
      <c r="BT80" s="55"/>
      <c r="BU80" s="55"/>
      <c r="BV80" s="55"/>
      <c r="BW80" s="55"/>
      <c r="BX80" s="55"/>
      <c r="BY80" s="55"/>
      <c r="BZ80" s="55"/>
      <c r="CA80" s="55"/>
      <c r="CB80" s="55"/>
      <c r="CC80" s="55"/>
      <c r="CD80" s="55"/>
      <c r="CE80" s="55"/>
      <c r="CF80" s="55"/>
      <c r="CG80" s="55"/>
      <c r="CH80" s="55"/>
      <c r="CI80" s="55"/>
      <c r="CJ80" s="55"/>
      <c r="CK80" s="55"/>
      <c r="CL80" s="55"/>
      <c r="CM80" s="55"/>
      <c r="CN80" s="55"/>
      <c r="CO80" s="55"/>
      <c r="CP80" s="55"/>
      <c r="CQ80" s="55"/>
      <c r="CR80" s="55"/>
      <c r="CS80" s="55"/>
      <c r="CT80" s="55"/>
      <c r="CU80" s="55"/>
      <c r="CV80" s="55"/>
      <c r="CW80" s="55"/>
      <c r="CX80" s="55"/>
      <c r="CY80" s="55"/>
      <c r="CZ80" s="55"/>
      <c r="DA80" s="55"/>
      <c r="DB80" s="55"/>
      <c r="DC80" s="55"/>
      <c r="DD80" s="55"/>
      <c r="DE80" s="55"/>
      <c r="DF80" s="55"/>
      <c r="DG80" s="55"/>
      <c r="DH80" s="55"/>
      <c r="DI80" s="55"/>
      <c r="DJ80" s="55"/>
    </row>
    <row r="81" spans="1:114" ht="15.75" thickBot="1" x14ac:dyDescent="0.3">
      <c r="A81" s="120">
        <v>13</v>
      </c>
      <c r="B81" s="115" t="s">
        <v>44</v>
      </c>
      <c r="C81" s="116">
        <v>1500</v>
      </c>
      <c r="D81" s="117">
        <f>465.68/4</f>
        <v>116.42</v>
      </c>
      <c r="E81" s="121">
        <v>0</v>
      </c>
      <c r="F81" s="121"/>
      <c r="G81" s="109">
        <f t="shared" si="13"/>
        <v>0</v>
      </c>
      <c r="H81" s="108"/>
      <c r="I81" s="109">
        <f t="shared" si="14"/>
        <v>0</v>
      </c>
      <c r="J81" s="109">
        <f t="shared" si="15"/>
        <v>0</v>
      </c>
      <c r="K81" s="65">
        <f t="shared" si="16"/>
        <v>0</v>
      </c>
      <c r="L81" s="297"/>
      <c r="M81" s="297"/>
      <c r="N81" s="321">
        <f t="shared" si="12"/>
        <v>0</v>
      </c>
      <c r="O81" s="312"/>
      <c r="P81" s="318"/>
      <c r="Q81" s="318"/>
      <c r="R81" s="318"/>
      <c r="S81" s="318"/>
      <c r="T81" s="108"/>
      <c r="U81" s="108"/>
      <c r="V81" s="108"/>
      <c r="W81" s="108"/>
      <c r="X81" s="108"/>
      <c r="Y81" s="108"/>
      <c r="Z81" s="108"/>
      <c r="AA81" s="108"/>
      <c r="AB81" s="108"/>
      <c r="AC81" s="108"/>
      <c r="AD81" s="108"/>
      <c r="AE81" s="108"/>
      <c r="AF81" s="108"/>
      <c r="AG81" s="108"/>
      <c r="AH81" s="108"/>
      <c r="AI81" s="108"/>
      <c r="AJ81" s="108"/>
      <c r="AK81" s="108"/>
      <c r="AL81" s="108"/>
      <c r="AM81" s="108"/>
      <c r="AN81" s="108"/>
      <c r="AO81" s="108"/>
      <c r="AP81" s="108"/>
      <c r="AQ81" s="108"/>
      <c r="AR81" s="108"/>
      <c r="AS81" s="108"/>
      <c r="AT81" s="108"/>
      <c r="AU81" s="108"/>
      <c r="AV81" s="108"/>
      <c r="AW81" s="108"/>
      <c r="AX81" s="108"/>
      <c r="AY81" s="108"/>
      <c r="AZ81" s="108"/>
      <c r="BA81" s="108"/>
      <c r="BB81" s="108"/>
      <c r="BC81" s="108"/>
      <c r="BD81" s="108"/>
      <c r="BE81" s="108"/>
      <c r="BF81" s="108"/>
      <c r="BG81" s="108"/>
      <c r="BH81" s="108"/>
      <c r="BI81" s="108"/>
      <c r="BJ81" s="108"/>
      <c r="BK81" s="108"/>
      <c r="BL81" s="108"/>
      <c r="BM81" s="108"/>
      <c r="BN81" s="108"/>
      <c r="BO81" s="108"/>
      <c r="BP81" s="108"/>
      <c r="BQ81" s="108"/>
      <c r="BR81" s="108"/>
      <c r="BS81" s="108"/>
      <c r="BT81" s="108"/>
      <c r="BU81" s="108"/>
      <c r="BV81" s="108"/>
      <c r="BW81" s="108"/>
      <c r="BX81" s="108"/>
      <c r="BY81" s="108"/>
      <c r="BZ81" s="108"/>
      <c r="CA81" s="108"/>
      <c r="CB81" s="108"/>
      <c r="CC81" s="108"/>
      <c r="CD81" s="108"/>
      <c r="CE81" s="108"/>
      <c r="CF81" s="108"/>
      <c r="CG81" s="108"/>
      <c r="CH81" s="108"/>
      <c r="CI81" s="108"/>
      <c r="CJ81" s="108"/>
      <c r="CK81" s="108"/>
      <c r="CL81" s="108"/>
      <c r="CM81" s="108"/>
      <c r="CN81" s="108"/>
      <c r="CO81" s="108"/>
      <c r="CP81" s="108"/>
      <c r="CQ81" s="108"/>
      <c r="CR81" s="108"/>
      <c r="CS81" s="108"/>
      <c r="CT81" s="108"/>
      <c r="CU81" s="108"/>
      <c r="CV81" s="108"/>
      <c r="CW81" s="108"/>
      <c r="CX81" s="108"/>
      <c r="CY81" s="108"/>
      <c r="CZ81" s="108"/>
      <c r="DA81" s="108"/>
      <c r="DB81" s="108"/>
      <c r="DC81" s="108"/>
      <c r="DD81" s="108"/>
      <c r="DE81" s="108"/>
      <c r="DF81" s="108"/>
      <c r="DG81" s="108"/>
      <c r="DH81" s="108"/>
      <c r="DI81" s="108"/>
      <c r="DJ81" s="108"/>
    </row>
    <row r="82" spans="1:114" ht="15.75" thickBot="1" x14ac:dyDescent="0.3">
      <c r="A82" s="83"/>
      <c r="B82" s="119" t="s">
        <v>662</v>
      </c>
      <c r="C82" s="84"/>
      <c r="D82" s="86"/>
      <c r="E82" s="86">
        <f>SUM(E69:E81)</f>
        <v>0</v>
      </c>
      <c r="F82" s="86">
        <f>SUM(F69:F81)</f>
        <v>0</v>
      </c>
      <c r="G82" s="86">
        <f>SUM(G69:G81)</f>
        <v>0</v>
      </c>
      <c r="H82" s="86">
        <f>SUM(H69:H81)</f>
        <v>0</v>
      </c>
      <c r="I82" s="86">
        <f>SUM(I69:I81)</f>
        <v>0</v>
      </c>
      <c r="J82" s="86">
        <f t="shared" ref="J82:K82" si="17">SUM(J69:J81)</f>
        <v>0</v>
      </c>
      <c r="K82" s="85">
        <f t="shared" si="17"/>
        <v>0</v>
      </c>
      <c r="L82" s="163"/>
      <c r="M82" s="163"/>
      <c r="N82" s="322">
        <f t="shared" ref="N82" si="18">SUM(O82:DK82)</f>
        <v>0</v>
      </c>
      <c r="O82" s="325"/>
      <c r="P82" s="325"/>
      <c r="Q82" s="325"/>
      <c r="R82" s="325"/>
      <c r="S82" s="325"/>
      <c r="T82" s="324"/>
      <c r="U82" s="324"/>
      <c r="V82" s="324"/>
      <c r="W82" s="324"/>
      <c r="X82" s="324"/>
      <c r="Y82" s="324"/>
      <c r="Z82" s="324"/>
      <c r="AA82" s="324"/>
      <c r="AB82" s="324"/>
      <c r="AC82" s="324"/>
      <c r="AD82" s="324"/>
      <c r="AE82" s="324"/>
      <c r="AF82" s="324"/>
      <c r="AG82" s="324"/>
      <c r="AH82" s="324"/>
      <c r="AI82" s="324"/>
      <c r="AJ82" s="324"/>
      <c r="AK82" s="324"/>
      <c r="AL82" s="324"/>
      <c r="AM82" s="324"/>
      <c r="AN82" s="324"/>
      <c r="AO82" s="324"/>
      <c r="AP82" s="324"/>
      <c r="AQ82" s="324"/>
      <c r="AR82" s="324"/>
      <c r="AS82" s="324"/>
      <c r="AT82" s="324"/>
      <c r="AU82" s="324"/>
      <c r="AV82" s="324"/>
      <c r="AW82" s="324"/>
      <c r="AX82" s="324"/>
      <c r="AY82" s="324"/>
      <c r="AZ82" s="324"/>
      <c r="BA82" s="324"/>
      <c r="BB82" s="324"/>
      <c r="BC82" s="324"/>
      <c r="BD82" s="324"/>
      <c r="BE82" s="324"/>
      <c r="BF82" s="324"/>
      <c r="BG82" s="324"/>
      <c r="BH82" s="324"/>
      <c r="BI82" s="324"/>
      <c r="BJ82" s="324"/>
      <c r="BK82" s="324"/>
      <c r="BL82" s="324"/>
      <c r="BM82" s="324"/>
      <c r="BN82" s="324"/>
      <c r="BO82" s="324"/>
      <c r="BP82" s="324"/>
      <c r="BQ82" s="324"/>
      <c r="BR82" s="324"/>
      <c r="BS82" s="324"/>
      <c r="BT82" s="324"/>
      <c r="BU82" s="324"/>
      <c r="BV82" s="324"/>
      <c r="BW82" s="324"/>
      <c r="BX82" s="324"/>
      <c r="BY82" s="324"/>
      <c r="BZ82" s="324"/>
      <c r="CA82" s="324"/>
      <c r="CB82" s="324"/>
      <c r="CC82" s="324"/>
      <c r="CD82" s="324"/>
      <c r="CE82" s="324"/>
      <c r="CF82" s="324"/>
      <c r="CG82" s="324"/>
      <c r="CH82" s="324"/>
      <c r="CI82" s="324"/>
      <c r="CJ82" s="324"/>
      <c r="CK82" s="324"/>
      <c r="CL82" s="324"/>
      <c r="CM82" s="324"/>
      <c r="CN82" s="324"/>
      <c r="CO82" s="324"/>
      <c r="CP82" s="324"/>
      <c r="CQ82" s="324"/>
      <c r="CR82" s="324"/>
      <c r="CS82" s="324"/>
      <c r="CT82" s="324"/>
      <c r="CU82" s="324"/>
      <c r="CV82" s="324"/>
      <c r="CW82" s="324"/>
      <c r="CX82" s="324"/>
      <c r="CY82" s="324"/>
      <c r="CZ82" s="324"/>
      <c r="DA82" s="324"/>
      <c r="DB82" s="324"/>
      <c r="DC82" s="324"/>
      <c r="DD82" s="324"/>
      <c r="DE82" s="324"/>
      <c r="DF82" s="324"/>
      <c r="DG82" s="324"/>
      <c r="DH82" s="324"/>
      <c r="DI82" s="324"/>
      <c r="DJ82" s="324"/>
    </row>
    <row r="83" spans="1:114" ht="15.75" thickBot="1" x14ac:dyDescent="0.3">
      <c r="B83" s="93"/>
      <c r="C83" s="94"/>
      <c r="D83" s="95"/>
      <c r="E83" s="96"/>
      <c r="F83" s="62"/>
      <c r="G83" s="96"/>
      <c r="H83" s="96"/>
      <c r="I83" s="96"/>
      <c r="J83" s="96"/>
      <c r="K83" s="96"/>
      <c r="L83" s="164"/>
      <c r="M83" s="164"/>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row>
    <row r="84" spans="1:114" ht="15.75" thickBot="1" x14ac:dyDescent="0.3">
      <c r="A84" s="407" t="s">
        <v>657</v>
      </c>
      <c r="B84" s="414" t="s">
        <v>0</v>
      </c>
      <c r="C84" s="414" t="s">
        <v>1</v>
      </c>
      <c r="D84" s="415" t="s">
        <v>649</v>
      </c>
      <c r="E84" s="416" t="s">
        <v>19</v>
      </c>
      <c r="F84" s="416"/>
      <c r="G84" s="416"/>
      <c r="H84" s="416"/>
      <c r="I84" s="416"/>
      <c r="J84" s="410" t="s">
        <v>21</v>
      </c>
      <c r="K84" s="412" t="s">
        <v>602</v>
      </c>
      <c r="L84" s="295"/>
      <c r="M84" s="295"/>
      <c r="N84" s="403" t="s">
        <v>601</v>
      </c>
      <c r="O84" s="403" t="s">
        <v>924</v>
      </c>
      <c r="P84" s="403"/>
      <c r="Q84" s="403"/>
      <c r="R84" s="403"/>
      <c r="S84" s="403"/>
      <c r="T84" s="403"/>
      <c r="U84" s="403"/>
      <c r="V84" s="403"/>
      <c r="W84" s="403"/>
      <c r="X84" s="403"/>
      <c r="Y84" s="403"/>
      <c r="Z84" s="403"/>
      <c r="AA84" s="403"/>
      <c r="AB84" s="403"/>
      <c r="AC84" s="403"/>
      <c r="AD84" s="403"/>
      <c r="AE84" s="403"/>
      <c r="AF84" s="403"/>
      <c r="AG84" s="403"/>
      <c r="AH84" s="403"/>
      <c r="AI84" s="403"/>
      <c r="AJ84" s="403"/>
      <c r="AK84" s="403"/>
      <c r="AL84" s="403"/>
      <c r="AM84" s="403"/>
      <c r="AN84" s="403"/>
      <c r="AO84" s="403"/>
      <c r="AP84" s="403"/>
      <c r="AQ84" s="403"/>
      <c r="AR84" s="403"/>
      <c r="AS84" s="403"/>
      <c r="AT84" s="403"/>
      <c r="AU84" s="403"/>
      <c r="AV84" s="403"/>
      <c r="AW84" s="403"/>
      <c r="AX84" s="403"/>
      <c r="AY84" s="403"/>
      <c r="AZ84" s="403"/>
      <c r="BA84" s="403"/>
      <c r="BB84" s="403"/>
      <c r="BC84" s="403"/>
      <c r="BD84" s="403"/>
      <c r="BE84" s="403"/>
      <c r="BF84" s="403"/>
      <c r="BG84" s="403"/>
      <c r="BH84" s="403"/>
      <c r="BI84" s="403"/>
      <c r="BJ84" s="403"/>
      <c r="BK84" s="403"/>
      <c r="BL84" s="403"/>
      <c r="BM84" s="403"/>
      <c r="BN84" s="403"/>
      <c r="BO84" s="403"/>
      <c r="BP84" s="403"/>
      <c r="BQ84" s="403"/>
      <c r="BR84" s="403"/>
      <c r="BS84" s="403"/>
      <c r="BT84" s="403"/>
      <c r="BU84" s="403"/>
      <c r="BV84" s="403"/>
      <c r="BW84" s="403"/>
      <c r="BX84" s="403"/>
      <c r="BY84" s="403"/>
      <c r="BZ84" s="403"/>
      <c r="CA84" s="403"/>
      <c r="CB84" s="403"/>
      <c r="CC84" s="403"/>
      <c r="CD84" s="403"/>
      <c r="CE84" s="403"/>
      <c r="CF84" s="403"/>
      <c r="CG84" s="403"/>
      <c r="CH84" s="403"/>
      <c r="CI84" s="403"/>
      <c r="CJ84" s="403"/>
      <c r="CK84" s="403"/>
      <c r="CL84" s="403"/>
      <c r="CM84" s="403"/>
      <c r="CN84" s="403"/>
      <c r="CO84" s="403"/>
      <c r="CP84" s="403"/>
      <c r="CQ84" s="403"/>
      <c r="CR84" s="403"/>
      <c r="CS84" s="403"/>
      <c r="CT84" s="403"/>
      <c r="CU84" s="403"/>
      <c r="CV84" s="403"/>
      <c r="CW84" s="403"/>
      <c r="CX84" s="403"/>
      <c r="CY84" s="403"/>
      <c r="CZ84" s="403"/>
      <c r="DA84" s="403"/>
      <c r="DB84" s="403"/>
      <c r="DC84" s="403"/>
      <c r="DD84" s="403"/>
      <c r="DE84" s="403"/>
      <c r="DF84" s="403"/>
      <c r="DG84" s="403"/>
      <c r="DH84" s="403"/>
      <c r="DI84" s="403"/>
      <c r="DJ84" s="403"/>
    </row>
    <row r="85" spans="1:114" ht="15.75" thickBot="1" x14ac:dyDescent="0.3">
      <c r="A85" s="408"/>
      <c r="B85" s="414"/>
      <c r="C85" s="414"/>
      <c r="D85" s="415"/>
      <c r="E85" s="68" t="s">
        <v>22</v>
      </c>
      <c r="F85" s="68" t="s">
        <v>600</v>
      </c>
      <c r="G85" s="68" t="s">
        <v>601</v>
      </c>
      <c r="H85" s="68" t="s">
        <v>589</v>
      </c>
      <c r="I85" s="68" t="s">
        <v>601</v>
      </c>
      <c r="J85" s="411"/>
      <c r="K85" s="413"/>
      <c r="L85" s="295"/>
      <c r="M85" s="295"/>
      <c r="N85" s="403"/>
      <c r="O85" s="400" t="s">
        <v>925</v>
      </c>
      <c r="P85" s="400" t="s">
        <v>926</v>
      </c>
      <c r="Q85" s="400"/>
      <c r="R85" s="400"/>
      <c r="S85" s="400"/>
      <c r="T85" s="398"/>
      <c r="U85" s="398"/>
      <c r="V85" s="398"/>
      <c r="W85" s="398"/>
      <c r="X85" s="398"/>
      <c r="Y85" s="398"/>
      <c r="Z85" s="398"/>
      <c r="AA85" s="398"/>
      <c r="AB85" s="398"/>
      <c r="AC85" s="398"/>
      <c r="AD85" s="398"/>
      <c r="AE85" s="398"/>
      <c r="AF85" s="398"/>
      <c r="AG85" s="398"/>
      <c r="AH85" s="398"/>
      <c r="AI85" s="398"/>
      <c r="AJ85" s="398"/>
      <c r="AK85" s="398"/>
      <c r="AL85" s="398"/>
      <c r="AM85" s="398"/>
      <c r="AN85" s="398"/>
      <c r="AO85" s="398"/>
      <c r="AP85" s="398"/>
      <c r="AQ85" s="398"/>
      <c r="AR85" s="398"/>
      <c r="AS85" s="398"/>
      <c r="AT85" s="398"/>
      <c r="AU85" s="398"/>
      <c r="AV85" s="398"/>
      <c r="AW85" s="398"/>
      <c r="AX85" s="398"/>
      <c r="AY85" s="398"/>
      <c r="AZ85" s="398"/>
      <c r="BA85" s="398"/>
      <c r="BB85" s="398"/>
      <c r="BC85" s="398"/>
      <c r="BD85" s="398"/>
      <c r="BE85" s="398"/>
      <c r="BF85" s="398"/>
      <c r="BG85" s="398"/>
      <c r="BH85" s="398"/>
      <c r="BI85" s="398"/>
      <c r="BJ85" s="398"/>
      <c r="BK85" s="398"/>
      <c r="BL85" s="398"/>
      <c r="BM85" s="398"/>
      <c r="BN85" s="398"/>
      <c r="BO85" s="398"/>
      <c r="BP85" s="398"/>
      <c r="BQ85" s="398"/>
      <c r="BR85" s="398"/>
      <c r="BS85" s="398"/>
      <c r="BT85" s="398"/>
      <c r="BU85" s="398"/>
      <c r="BV85" s="398"/>
      <c r="BW85" s="398"/>
      <c r="BX85" s="398"/>
      <c r="BY85" s="398"/>
      <c r="BZ85" s="398"/>
      <c r="CA85" s="398"/>
      <c r="CB85" s="398"/>
      <c r="CC85" s="398"/>
      <c r="CD85" s="398"/>
      <c r="CE85" s="398"/>
      <c r="CF85" s="398"/>
      <c r="CG85" s="398"/>
      <c r="CH85" s="398"/>
      <c r="CI85" s="398"/>
      <c r="CJ85" s="398"/>
      <c r="CK85" s="398"/>
      <c r="CL85" s="398"/>
      <c r="CM85" s="398"/>
      <c r="CN85" s="398"/>
      <c r="CO85" s="398"/>
      <c r="CP85" s="398"/>
      <c r="CQ85" s="398"/>
      <c r="CR85" s="398"/>
      <c r="CS85" s="398"/>
      <c r="CT85" s="398"/>
      <c r="CU85" s="398"/>
      <c r="CV85" s="398"/>
      <c r="CW85" s="398"/>
      <c r="CX85" s="398"/>
      <c r="CY85" s="398"/>
      <c r="CZ85" s="398"/>
      <c r="DA85" s="398"/>
      <c r="DB85" s="398"/>
      <c r="DC85" s="398"/>
      <c r="DD85" s="398"/>
      <c r="DE85" s="398"/>
      <c r="DF85" s="398"/>
      <c r="DG85" s="398"/>
      <c r="DH85" s="398"/>
      <c r="DI85" s="398"/>
      <c r="DJ85" s="398"/>
    </row>
    <row r="86" spans="1:114" ht="15.75" thickBot="1" x14ac:dyDescent="0.3">
      <c r="A86" s="409"/>
      <c r="B86" s="69">
        <v>1</v>
      </c>
      <c r="C86" s="69">
        <v>2</v>
      </c>
      <c r="D86" s="69">
        <v>3</v>
      </c>
      <c r="E86" s="70">
        <v>4</v>
      </c>
      <c r="F86" s="70">
        <f>+E86+1</f>
        <v>5</v>
      </c>
      <c r="G86" s="70" t="s">
        <v>652</v>
      </c>
      <c r="H86" s="70">
        <v>7</v>
      </c>
      <c r="I86" s="71" t="s">
        <v>651</v>
      </c>
      <c r="J86" s="42" t="s">
        <v>650</v>
      </c>
      <c r="K86" s="303" t="s">
        <v>653</v>
      </c>
      <c r="L86" s="296"/>
      <c r="M86" s="296"/>
      <c r="N86" s="403"/>
      <c r="O86" s="402"/>
      <c r="P86" s="402"/>
      <c r="Q86" s="402"/>
      <c r="R86" s="402"/>
      <c r="S86" s="402"/>
      <c r="T86" s="399"/>
      <c r="U86" s="399"/>
      <c r="V86" s="399"/>
      <c r="W86" s="399"/>
      <c r="X86" s="399"/>
      <c r="Y86" s="399"/>
      <c r="Z86" s="399"/>
      <c r="AA86" s="399"/>
      <c r="AB86" s="399"/>
      <c r="AC86" s="399"/>
      <c r="AD86" s="399"/>
      <c r="AE86" s="399"/>
      <c r="AF86" s="399"/>
      <c r="AG86" s="399"/>
      <c r="AH86" s="399"/>
      <c r="AI86" s="399"/>
      <c r="AJ86" s="399"/>
      <c r="AK86" s="399"/>
      <c r="AL86" s="399"/>
      <c r="AM86" s="399"/>
      <c r="AN86" s="399"/>
      <c r="AO86" s="399"/>
      <c r="AP86" s="399"/>
      <c r="AQ86" s="399"/>
      <c r="AR86" s="399"/>
      <c r="AS86" s="399"/>
      <c r="AT86" s="399"/>
      <c r="AU86" s="399"/>
      <c r="AV86" s="399"/>
      <c r="AW86" s="399"/>
      <c r="AX86" s="399"/>
      <c r="AY86" s="399"/>
      <c r="AZ86" s="399"/>
      <c r="BA86" s="399"/>
      <c r="BB86" s="399"/>
      <c r="BC86" s="399"/>
      <c r="BD86" s="399"/>
      <c r="BE86" s="399"/>
      <c r="BF86" s="399"/>
      <c r="BG86" s="399"/>
      <c r="BH86" s="399"/>
      <c r="BI86" s="399"/>
      <c r="BJ86" s="399"/>
      <c r="BK86" s="399"/>
      <c r="BL86" s="399"/>
      <c r="BM86" s="399"/>
      <c r="BN86" s="399"/>
      <c r="BO86" s="399"/>
      <c r="BP86" s="399"/>
      <c r="BQ86" s="399"/>
      <c r="BR86" s="399"/>
      <c r="BS86" s="399"/>
      <c r="BT86" s="399"/>
      <c r="BU86" s="399"/>
      <c r="BV86" s="399"/>
      <c r="BW86" s="399"/>
      <c r="BX86" s="399"/>
      <c r="BY86" s="399"/>
      <c r="BZ86" s="399"/>
      <c r="CA86" s="399"/>
      <c r="CB86" s="399"/>
      <c r="CC86" s="399"/>
      <c r="CD86" s="399"/>
      <c r="CE86" s="399"/>
      <c r="CF86" s="399"/>
      <c r="CG86" s="399"/>
      <c r="CH86" s="399"/>
      <c r="CI86" s="399"/>
      <c r="CJ86" s="399"/>
      <c r="CK86" s="399"/>
      <c r="CL86" s="399"/>
      <c r="CM86" s="399"/>
      <c r="CN86" s="399"/>
      <c r="CO86" s="399"/>
      <c r="CP86" s="399"/>
      <c r="CQ86" s="399"/>
      <c r="CR86" s="399"/>
      <c r="CS86" s="399"/>
      <c r="CT86" s="399"/>
      <c r="CU86" s="399"/>
      <c r="CV86" s="399"/>
      <c r="CW86" s="399"/>
      <c r="CX86" s="399"/>
      <c r="CY86" s="399"/>
      <c r="CZ86" s="399"/>
      <c r="DA86" s="399"/>
      <c r="DB86" s="399"/>
      <c r="DC86" s="399"/>
      <c r="DD86" s="399"/>
      <c r="DE86" s="399"/>
      <c r="DF86" s="399"/>
      <c r="DG86" s="399"/>
      <c r="DH86" s="399"/>
      <c r="DI86" s="399"/>
      <c r="DJ86" s="399"/>
    </row>
    <row r="87" spans="1:114" x14ac:dyDescent="0.25">
      <c r="A87" s="72"/>
      <c r="B87" s="72" t="s">
        <v>663</v>
      </c>
      <c r="C87" s="73"/>
      <c r="D87" s="74"/>
      <c r="E87" s="54"/>
      <c r="F87" s="54"/>
      <c r="G87" s="54"/>
      <c r="H87" s="54"/>
      <c r="I87" s="54"/>
      <c r="J87" s="54"/>
      <c r="K87" s="54"/>
      <c r="L87" s="234"/>
      <c r="M87" s="234"/>
      <c r="N87" s="314">
        <f t="shared" ref="N87:N100" si="19">SUM(O87:DK87)</f>
        <v>0</v>
      </c>
      <c r="O87" s="310"/>
      <c r="P87" s="315"/>
      <c r="Q87" s="315"/>
      <c r="R87" s="315"/>
      <c r="S87" s="31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c r="BQ87" s="55"/>
      <c r="BR87" s="55"/>
      <c r="BS87" s="55"/>
      <c r="BT87" s="55"/>
      <c r="BU87" s="55"/>
      <c r="BV87" s="55"/>
      <c r="BW87" s="55"/>
      <c r="BX87" s="55"/>
      <c r="BY87" s="55"/>
      <c r="BZ87" s="55"/>
      <c r="CA87" s="55"/>
      <c r="CB87" s="55"/>
      <c r="CC87" s="55"/>
      <c r="CD87" s="55"/>
      <c r="CE87" s="55"/>
      <c r="CF87" s="55"/>
      <c r="CG87" s="55"/>
      <c r="CH87" s="55"/>
      <c r="CI87" s="55"/>
      <c r="CJ87" s="55"/>
      <c r="CK87" s="55"/>
      <c r="CL87" s="55"/>
      <c r="CM87" s="55"/>
      <c r="CN87" s="55"/>
      <c r="CO87" s="55"/>
      <c r="CP87" s="55"/>
      <c r="CQ87" s="55"/>
      <c r="CR87" s="55"/>
      <c r="CS87" s="55"/>
      <c r="CT87" s="55"/>
      <c r="CU87" s="55"/>
      <c r="CV87" s="55"/>
      <c r="CW87" s="55"/>
      <c r="CX87" s="55"/>
      <c r="CY87" s="55"/>
      <c r="CZ87" s="55"/>
      <c r="DA87" s="55"/>
      <c r="DB87" s="55"/>
      <c r="DC87" s="55"/>
      <c r="DD87" s="55"/>
      <c r="DE87" s="55"/>
      <c r="DF87" s="55"/>
      <c r="DG87" s="55"/>
      <c r="DH87" s="55"/>
      <c r="DI87" s="55"/>
      <c r="DJ87" s="55"/>
    </row>
    <row r="88" spans="1:114" x14ac:dyDescent="0.25">
      <c r="A88" s="120">
        <v>1</v>
      </c>
      <c r="B88" s="79" t="s">
        <v>45</v>
      </c>
      <c r="C88" s="80">
        <v>1500</v>
      </c>
      <c r="D88" s="81">
        <v>79.569999999999993</v>
      </c>
      <c r="E88" s="43">
        <v>0</v>
      </c>
      <c r="F88" s="60"/>
      <c r="G88" s="56">
        <f t="shared" ref="G88:G102" si="20">+E88+F88</f>
        <v>0</v>
      </c>
      <c r="H88" s="55">
        <f>928-928</f>
        <v>0</v>
      </c>
      <c r="I88" s="56">
        <f t="shared" ref="I88:I102" si="21">+G88-H88</f>
        <v>0</v>
      </c>
      <c r="J88" s="56">
        <f t="shared" ref="J88:J102" si="22">I88*C88</f>
        <v>0</v>
      </c>
      <c r="K88" s="57">
        <f t="shared" ref="K88:K102" si="23">+D88*I88</f>
        <v>0</v>
      </c>
      <c r="L88" s="297"/>
      <c r="M88" s="297"/>
      <c r="N88" s="314">
        <f t="shared" si="19"/>
        <v>0</v>
      </c>
      <c r="O88" s="310"/>
      <c r="P88" s="315"/>
      <c r="Q88" s="315"/>
      <c r="R88" s="315"/>
      <c r="S88" s="315"/>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c r="BM88" s="55"/>
      <c r="BN88" s="55"/>
      <c r="BO88" s="55"/>
      <c r="BP88" s="55"/>
      <c r="BQ88" s="55"/>
      <c r="BR88" s="55"/>
      <c r="BS88" s="55"/>
      <c r="BT88" s="55"/>
      <c r="BU88" s="55"/>
      <c r="BV88" s="55"/>
      <c r="BW88" s="55"/>
      <c r="BX88" s="55"/>
      <c r="BY88" s="55"/>
      <c r="BZ88" s="55"/>
      <c r="CA88" s="55"/>
      <c r="CB88" s="55"/>
      <c r="CC88" s="55"/>
      <c r="CD88" s="55"/>
      <c r="CE88" s="55"/>
      <c r="CF88" s="55"/>
      <c r="CG88" s="55"/>
      <c r="CH88" s="55"/>
      <c r="CI88" s="55"/>
      <c r="CJ88" s="55"/>
      <c r="CK88" s="55"/>
      <c r="CL88" s="55"/>
      <c r="CM88" s="55"/>
      <c r="CN88" s="55"/>
      <c r="CO88" s="55"/>
      <c r="CP88" s="55"/>
      <c r="CQ88" s="55"/>
      <c r="CR88" s="55"/>
      <c r="CS88" s="55"/>
      <c r="CT88" s="55"/>
      <c r="CU88" s="55"/>
      <c r="CV88" s="55"/>
      <c r="CW88" s="55"/>
      <c r="CX88" s="55"/>
      <c r="CY88" s="55"/>
      <c r="CZ88" s="55"/>
      <c r="DA88" s="55"/>
      <c r="DB88" s="55"/>
      <c r="DC88" s="55"/>
      <c r="DD88" s="55"/>
      <c r="DE88" s="55"/>
      <c r="DF88" s="55"/>
      <c r="DG88" s="55"/>
      <c r="DH88" s="55"/>
      <c r="DI88" s="55"/>
      <c r="DJ88" s="55"/>
    </row>
    <row r="89" spans="1:114" x14ac:dyDescent="0.25">
      <c r="A89" s="120">
        <v>2</v>
      </c>
      <c r="B89" s="79" t="s">
        <v>46</v>
      </c>
      <c r="C89" s="80">
        <v>42000</v>
      </c>
      <c r="D89" s="87">
        <v>122.5</v>
      </c>
      <c r="E89" s="43">
        <v>0</v>
      </c>
      <c r="F89" s="60"/>
      <c r="G89" s="56">
        <f t="shared" si="20"/>
        <v>0</v>
      </c>
      <c r="H89" s="55"/>
      <c r="I89" s="56">
        <f t="shared" si="21"/>
        <v>0</v>
      </c>
      <c r="J89" s="56">
        <f t="shared" si="22"/>
        <v>0</v>
      </c>
      <c r="K89" s="57">
        <f t="shared" si="23"/>
        <v>0</v>
      </c>
      <c r="L89" s="297"/>
      <c r="M89" s="297"/>
      <c r="N89" s="314">
        <f t="shared" si="19"/>
        <v>0</v>
      </c>
      <c r="O89" s="310"/>
      <c r="P89" s="315"/>
      <c r="Q89" s="315"/>
      <c r="R89" s="315"/>
      <c r="S89" s="315"/>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c r="BM89" s="55"/>
      <c r="BN89" s="55"/>
      <c r="BO89" s="55"/>
      <c r="BP89" s="55"/>
      <c r="BQ89" s="55"/>
      <c r="BR89" s="55"/>
      <c r="BS89" s="55"/>
      <c r="BT89" s="55"/>
      <c r="BU89" s="55"/>
      <c r="BV89" s="55"/>
      <c r="BW89" s="55"/>
      <c r="BX89" s="55"/>
      <c r="BY89" s="55"/>
      <c r="BZ89" s="55"/>
      <c r="CA89" s="55"/>
      <c r="CB89" s="55"/>
      <c r="CC89" s="55"/>
      <c r="CD89" s="55"/>
      <c r="CE89" s="55"/>
      <c r="CF89" s="55"/>
      <c r="CG89" s="55"/>
      <c r="CH89" s="55"/>
      <c r="CI89" s="55"/>
      <c r="CJ89" s="55"/>
      <c r="CK89" s="55"/>
      <c r="CL89" s="55"/>
      <c r="CM89" s="55"/>
      <c r="CN89" s="55"/>
      <c r="CO89" s="55"/>
      <c r="CP89" s="55"/>
      <c r="CQ89" s="55"/>
      <c r="CR89" s="55"/>
      <c r="CS89" s="55"/>
      <c r="CT89" s="55"/>
      <c r="CU89" s="55"/>
      <c r="CV89" s="55"/>
      <c r="CW89" s="55"/>
      <c r="CX89" s="55"/>
      <c r="CY89" s="55"/>
      <c r="CZ89" s="55"/>
      <c r="DA89" s="55"/>
      <c r="DB89" s="55"/>
      <c r="DC89" s="55"/>
      <c r="DD89" s="55"/>
      <c r="DE89" s="55"/>
      <c r="DF89" s="55"/>
      <c r="DG89" s="55"/>
      <c r="DH89" s="55"/>
      <c r="DI89" s="55"/>
      <c r="DJ89" s="55"/>
    </row>
    <row r="90" spans="1:114" x14ac:dyDescent="0.25">
      <c r="A90" s="120">
        <v>3</v>
      </c>
      <c r="B90" s="79" t="s">
        <v>47</v>
      </c>
      <c r="C90" s="80">
        <v>2500</v>
      </c>
      <c r="D90" s="88">
        <v>539</v>
      </c>
      <c r="E90" s="43">
        <v>0</v>
      </c>
      <c r="F90" s="60"/>
      <c r="G90" s="56">
        <f t="shared" si="20"/>
        <v>0</v>
      </c>
      <c r="H90" s="55">
        <f>3744-3744</f>
        <v>0</v>
      </c>
      <c r="I90" s="56">
        <f t="shared" si="21"/>
        <v>0</v>
      </c>
      <c r="J90" s="56">
        <f t="shared" si="22"/>
        <v>0</v>
      </c>
      <c r="K90" s="57">
        <f t="shared" si="23"/>
        <v>0</v>
      </c>
      <c r="L90" s="297"/>
      <c r="M90" s="297"/>
      <c r="N90" s="314">
        <f t="shared" si="19"/>
        <v>0</v>
      </c>
      <c r="O90" s="310"/>
      <c r="P90" s="315"/>
      <c r="Q90" s="315"/>
      <c r="R90" s="315"/>
      <c r="S90" s="315"/>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c r="BM90" s="55"/>
      <c r="BN90" s="55"/>
      <c r="BO90" s="55"/>
      <c r="BP90" s="55"/>
      <c r="BQ90" s="55"/>
      <c r="BR90" s="55"/>
      <c r="BS90" s="55"/>
      <c r="BT90" s="55"/>
      <c r="BU90" s="55"/>
      <c r="BV90" s="55"/>
      <c r="BW90" s="55"/>
      <c r="BX90" s="55"/>
      <c r="BY90" s="55"/>
      <c r="BZ90" s="55"/>
      <c r="CA90" s="55"/>
      <c r="CB90" s="55"/>
      <c r="CC90" s="55"/>
      <c r="CD90" s="55"/>
      <c r="CE90" s="55"/>
      <c r="CF90" s="55"/>
      <c r="CG90" s="55"/>
      <c r="CH90" s="55"/>
      <c r="CI90" s="55"/>
      <c r="CJ90" s="55"/>
      <c r="CK90" s="55"/>
      <c r="CL90" s="55"/>
      <c r="CM90" s="55"/>
      <c r="CN90" s="55"/>
      <c r="CO90" s="55"/>
      <c r="CP90" s="55"/>
      <c r="CQ90" s="55"/>
      <c r="CR90" s="55"/>
      <c r="CS90" s="55"/>
      <c r="CT90" s="55"/>
      <c r="CU90" s="55"/>
      <c r="CV90" s="55"/>
      <c r="CW90" s="55"/>
      <c r="CX90" s="55"/>
      <c r="CY90" s="55"/>
      <c r="CZ90" s="55"/>
      <c r="DA90" s="55"/>
      <c r="DB90" s="55"/>
      <c r="DC90" s="55"/>
      <c r="DD90" s="55"/>
      <c r="DE90" s="55"/>
      <c r="DF90" s="55"/>
      <c r="DG90" s="55"/>
      <c r="DH90" s="55"/>
      <c r="DI90" s="55"/>
      <c r="DJ90" s="55"/>
    </row>
    <row r="91" spans="1:114" x14ac:dyDescent="0.25">
      <c r="A91" s="120">
        <v>4</v>
      </c>
      <c r="B91" s="79" t="s">
        <v>48</v>
      </c>
      <c r="C91" s="80">
        <v>10000</v>
      </c>
      <c r="D91" s="89">
        <v>539</v>
      </c>
      <c r="E91" s="43">
        <v>0</v>
      </c>
      <c r="F91" s="60"/>
      <c r="G91" s="56">
        <f t="shared" si="20"/>
        <v>0</v>
      </c>
      <c r="H91" s="55"/>
      <c r="I91" s="56">
        <f t="shared" si="21"/>
        <v>0</v>
      </c>
      <c r="J91" s="56">
        <f t="shared" si="22"/>
        <v>0</v>
      </c>
      <c r="K91" s="57">
        <f t="shared" si="23"/>
        <v>0</v>
      </c>
      <c r="L91" s="297"/>
      <c r="M91" s="297"/>
      <c r="N91" s="314">
        <f t="shared" si="19"/>
        <v>0</v>
      </c>
      <c r="O91" s="310"/>
      <c r="P91" s="315"/>
      <c r="Q91" s="315"/>
      <c r="R91" s="315"/>
      <c r="S91" s="315"/>
      <c r="T91" s="55"/>
      <c r="U91" s="55"/>
      <c r="V91" s="55"/>
      <c r="W91" s="55"/>
      <c r="X91" s="55"/>
      <c r="Y91" s="55"/>
      <c r="Z91" s="55"/>
      <c r="AA91" s="55"/>
      <c r="AB91" s="55"/>
      <c r="AC91" s="55"/>
      <c r="AD91" s="55"/>
      <c r="AE91" s="55"/>
      <c r="AF91" s="55"/>
      <c r="AG91" s="55"/>
      <c r="AH91" s="55"/>
      <c r="AI91" s="55"/>
      <c r="AJ91" s="55"/>
      <c r="AK91" s="55"/>
      <c r="AL91" s="55"/>
      <c r="AM91" s="55"/>
      <c r="AN91" s="55"/>
      <c r="AO91" s="55"/>
      <c r="AP91" s="55"/>
      <c r="AQ91" s="55"/>
      <c r="AR91" s="55"/>
      <c r="AS91" s="55"/>
      <c r="AT91" s="55"/>
      <c r="AU91" s="55"/>
      <c r="AV91" s="55"/>
      <c r="AW91" s="55"/>
      <c r="AX91" s="55"/>
      <c r="AY91" s="55"/>
      <c r="AZ91" s="55"/>
      <c r="BA91" s="55"/>
      <c r="BB91" s="55"/>
      <c r="BC91" s="55"/>
      <c r="BD91" s="55"/>
      <c r="BE91" s="55"/>
      <c r="BF91" s="55"/>
      <c r="BG91" s="55"/>
      <c r="BH91" s="55"/>
      <c r="BI91" s="55"/>
      <c r="BJ91" s="55"/>
      <c r="BK91" s="55"/>
      <c r="BL91" s="55"/>
      <c r="BM91" s="55"/>
      <c r="BN91" s="55"/>
      <c r="BO91" s="55"/>
      <c r="BP91" s="55"/>
      <c r="BQ91" s="55"/>
      <c r="BR91" s="55"/>
      <c r="BS91" s="55"/>
      <c r="BT91" s="55"/>
      <c r="BU91" s="55"/>
      <c r="BV91" s="55"/>
      <c r="BW91" s="55"/>
      <c r="BX91" s="55"/>
      <c r="BY91" s="55"/>
      <c r="BZ91" s="55"/>
      <c r="CA91" s="55"/>
      <c r="CB91" s="55"/>
      <c r="CC91" s="55"/>
      <c r="CD91" s="55"/>
      <c r="CE91" s="55"/>
      <c r="CF91" s="55"/>
      <c r="CG91" s="55"/>
      <c r="CH91" s="55"/>
      <c r="CI91" s="55"/>
      <c r="CJ91" s="55"/>
      <c r="CK91" s="55"/>
      <c r="CL91" s="55"/>
      <c r="CM91" s="55"/>
      <c r="CN91" s="55"/>
      <c r="CO91" s="55"/>
      <c r="CP91" s="55"/>
      <c r="CQ91" s="55"/>
      <c r="CR91" s="55"/>
      <c r="CS91" s="55"/>
      <c r="CT91" s="55"/>
      <c r="CU91" s="55"/>
      <c r="CV91" s="55"/>
      <c r="CW91" s="55"/>
      <c r="CX91" s="55"/>
      <c r="CY91" s="55"/>
      <c r="CZ91" s="55"/>
      <c r="DA91" s="55"/>
      <c r="DB91" s="55"/>
      <c r="DC91" s="55"/>
      <c r="DD91" s="55"/>
      <c r="DE91" s="55"/>
      <c r="DF91" s="55"/>
      <c r="DG91" s="55"/>
      <c r="DH91" s="55"/>
      <c r="DI91" s="55"/>
      <c r="DJ91" s="55"/>
    </row>
    <row r="92" spans="1:114" x14ac:dyDescent="0.25">
      <c r="A92" s="120">
        <v>5</v>
      </c>
      <c r="B92" s="79" t="s">
        <v>49</v>
      </c>
      <c r="C92" s="80">
        <v>40000</v>
      </c>
      <c r="D92" s="89">
        <v>2156</v>
      </c>
      <c r="E92" s="43">
        <v>0</v>
      </c>
      <c r="F92" s="60"/>
      <c r="G92" s="56">
        <f t="shared" si="20"/>
        <v>0</v>
      </c>
      <c r="H92" s="55"/>
      <c r="I92" s="56">
        <f t="shared" si="21"/>
        <v>0</v>
      </c>
      <c r="J92" s="56">
        <f t="shared" si="22"/>
        <v>0</v>
      </c>
      <c r="K92" s="57">
        <f t="shared" si="23"/>
        <v>0</v>
      </c>
      <c r="L92" s="297"/>
      <c r="M92" s="297"/>
      <c r="N92" s="314">
        <f t="shared" si="19"/>
        <v>0</v>
      </c>
      <c r="O92" s="310"/>
      <c r="P92" s="315"/>
      <c r="Q92" s="315"/>
      <c r="R92" s="315"/>
      <c r="S92" s="315"/>
      <c r="T92" s="55"/>
      <c r="U92" s="55"/>
      <c r="V92" s="55"/>
      <c r="W92" s="55"/>
      <c r="X92" s="55"/>
      <c r="Y92" s="55"/>
      <c r="Z92" s="55"/>
      <c r="AA92" s="55"/>
      <c r="AB92" s="55"/>
      <c r="AC92" s="55"/>
      <c r="AD92" s="55"/>
      <c r="AE92" s="55"/>
      <c r="AF92" s="55"/>
      <c r="AG92" s="55"/>
      <c r="AH92" s="55"/>
      <c r="AI92" s="55"/>
      <c r="AJ92" s="55"/>
      <c r="AK92" s="55"/>
      <c r="AL92" s="55"/>
      <c r="AM92" s="55"/>
      <c r="AN92" s="55"/>
      <c r="AO92" s="55"/>
      <c r="AP92" s="55"/>
      <c r="AQ92" s="55"/>
      <c r="AR92" s="55"/>
      <c r="AS92" s="55"/>
      <c r="AT92" s="55"/>
      <c r="AU92" s="55"/>
      <c r="AV92" s="55"/>
      <c r="AW92" s="55"/>
      <c r="AX92" s="55"/>
      <c r="AY92" s="55"/>
      <c r="AZ92" s="55"/>
      <c r="BA92" s="55"/>
      <c r="BB92" s="55"/>
      <c r="BC92" s="55"/>
      <c r="BD92" s="55"/>
      <c r="BE92" s="55"/>
      <c r="BF92" s="55"/>
      <c r="BG92" s="55"/>
      <c r="BH92" s="55"/>
      <c r="BI92" s="55"/>
      <c r="BJ92" s="55"/>
      <c r="BK92" s="55"/>
      <c r="BL92" s="55"/>
      <c r="BM92" s="55"/>
      <c r="BN92" s="55"/>
      <c r="BO92" s="55"/>
      <c r="BP92" s="55"/>
      <c r="BQ92" s="55"/>
      <c r="BR92" s="55"/>
      <c r="BS92" s="55"/>
      <c r="BT92" s="55"/>
      <c r="BU92" s="55"/>
      <c r="BV92" s="55"/>
      <c r="BW92" s="55"/>
      <c r="BX92" s="55"/>
      <c r="BY92" s="55"/>
      <c r="BZ92" s="55"/>
      <c r="CA92" s="55"/>
      <c r="CB92" s="55"/>
      <c r="CC92" s="55"/>
      <c r="CD92" s="55"/>
      <c r="CE92" s="55"/>
      <c r="CF92" s="55"/>
      <c r="CG92" s="55"/>
      <c r="CH92" s="55"/>
      <c r="CI92" s="55"/>
      <c r="CJ92" s="55"/>
      <c r="CK92" s="55"/>
      <c r="CL92" s="55"/>
      <c r="CM92" s="55"/>
      <c r="CN92" s="55"/>
      <c r="CO92" s="55"/>
      <c r="CP92" s="55"/>
      <c r="CQ92" s="55"/>
      <c r="CR92" s="55"/>
      <c r="CS92" s="55"/>
      <c r="CT92" s="55"/>
      <c r="CU92" s="55"/>
      <c r="CV92" s="55"/>
      <c r="CW92" s="55"/>
      <c r="CX92" s="55"/>
      <c r="CY92" s="55"/>
      <c r="CZ92" s="55"/>
      <c r="DA92" s="55"/>
      <c r="DB92" s="55"/>
      <c r="DC92" s="55"/>
      <c r="DD92" s="55"/>
      <c r="DE92" s="55"/>
      <c r="DF92" s="55"/>
      <c r="DG92" s="55"/>
      <c r="DH92" s="55"/>
      <c r="DI92" s="55"/>
      <c r="DJ92" s="55"/>
    </row>
    <row r="93" spans="1:114" x14ac:dyDescent="0.25">
      <c r="A93" s="120">
        <v>6</v>
      </c>
      <c r="B93" s="79" t="s">
        <v>50</v>
      </c>
      <c r="C93" s="80">
        <v>1500</v>
      </c>
      <c r="D93" s="81">
        <v>58.89</v>
      </c>
      <c r="E93" s="43">
        <v>0</v>
      </c>
      <c r="F93" s="60"/>
      <c r="G93" s="56">
        <f t="shared" si="20"/>
        <v>0</v>
      </c>
      <c r="H93" s="55"/>
      <c r="I93" s="56">
        <f t="shared" si="21"/>
        <v>0</v>
      </c>
      <c r="J93" s="56">
        <f t="shared" si="22"/>
        <v>0</v>
      </c>
      <c r="K93" s="57">
        <f t="shared" si="23"/>
        <v>0</v>
      </c>
      <c r="L93" s="297"/>
      <c r="M93" s="297"/>
      <c r="N93" s="314">
        <f t="shared" si="19"/>
        <v>0</v>
      </c>
      <c r="O93" s="310"/>
      <c r="P93" s="315"/>
      <c r="Q93" s="315"/>
      <c r="R93" s="315"/>
      <c r="S93" s="315"/>
      <c r="T93" s="55"/>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55"/>
      <c r="AX93" s="55"/>
      <c r="AY93" s="55"/>
      <c r="AZ93" s="55"/>
      <c r="BA93" s="55"/>
      <c r="BB93" s="55"/>
      <c r="BC93" s="55"/>
      <c r="BD93" s="55"/>
      <c r="BE93" s="55"/>
      <c r="BF93" s="55"/>
      <c r="BG93" s="55"/>
      <c r="BH93" s="55"/>
      <c r="BI93" s="55"/>
      <c r="BJ93" s="55"/>
      <c r="BK93" s="55"/>
      <c r="BL93" s="55"/>
      <c r="BM93" s="55"/>
      <c r="BN93" s="55"/>
      <c r="BO93" s="55"/>
      <c r="BP93" s="55"/>
      <c r="BQ93" s="55"/>
      <c r="BR93" s="55"/>
      <c r="BS93" s="55"/>
      <c r="BT93" s="55"/>
      <c r="BU93" s="55"/>
      <c r="BV93" s="55"/>
      <c r="BW93" s="55"/>
      <c r="BX93" s="55"/>
      <c r="BY93" s="55"/>
      <c r="BZ93" s="55"/>
      <c r="CA93" s="55"/>
      <c r="CB93" s="55"/>
      <c r="CC93" s="55"/>
      <c r="CD93" s="55"/>
      <c r="CE93" s="55"/>
      <c r="CF93" s="55"/>
      <c r="CG93" s="55"/>
      <c r="CH93" s="55"/>
      <c r="CI93" s="55"/>
      <c r="CJ93" s="55"/>
      <c r="CK93" s="55"/>
      <c r="CL93" s="55"/>
      <c r="CM93" s="55"/>
      <c r="CN93" s="55"/>
      <c r="CO93" s="55"/>
      <c r="CP93" s="55"/>
      <c r="CQ93" s="55"/>
      <c r="CR93" s="55"/>
      <c r="CS93" s="55"/>
      <c r="CT93" s="55"/>
      <c r="CU93" s="55"/>
      <c r="CV93" s="55"/>
      <c r="CW93" s="55"/>
      <c r="CX93" s="55"/>
      <c r="CY93" s="55"/>
      <c r="CZ93" s="55"/>
      <c r="DA93" s="55"/>
      <c r="DB93" s="55"/>
      <c r="DC93" s="55"/>
      <c r="DD93" s="55"/>
      <c r="DE93" s="55"/>
      <c r="DF93" s="55"/>
      <c r="DG93" s="55"/>
      <c r="DH93" s="55"/>
      <c r="DI93" s="55"/>
      <c r="DJ93" s="55"/>
    </row>
    <row r="94" spans="1:114" x14ac:dyDescent="0.25">
      <c r="A94" s="120">
        <v>7</v>
      </c>
      <c r="B94" s="79" t="s">
        <v>51</v>
      </c>
      <c r="C94" s="80">
        <v>1500</v>
      </c>
      <c r="D94" s="81">
        <v>64.84</v>
      </c>
      <c r="E94" s="43">
        <v>0</v>
      </c>
      <c r="F94" s="60"/>
      <c r="G94" s="56">
        <f t="shared" si="20"/>
        <v>0</v>
      </c>
      <c r="H94" s="55">
        <f>22000-22000</f>
        <v>0</v>
      </c>
      <c r="I94" s="56">
        <f t="shared" si="21"/>
        <v>0</v>
      </c>
      <c r="J94" s="56">
        <f t="shared" si="22"/>
        <v>0</v>
      </c>
      <c r="K94" s="57">
        <f t="shared" si="23"/>
        <v>0</v>
      </c>
      <c r="L94" s="297"/>
      <c r="M94" s="297"/>
      <c r="N94" s="314">
        <f t="shared" si="19"/>
        <v>0</v>
      </c>
      <c r="O94" s="310"/>
      <c r="P94" s="315"/>
      <c r="Q94" s="315"/>
      <c r="R94" s="315"/>
      <c r="S94" s="315"/>
      <c r="T94" s="55"/>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5"/>
      <c r="BA94" s="55"/>
      <c r="BB94" s="55"/>
      <c r="BC94" s="55"/>
      <c r="BD94" s="55"/>
      <c r="BE94" s="55"/>
      <c r="BF94" s="55"/>
      <c r="BG94" s="55"/>
      <c r="BH94" s="55"/>
      <c r="BI94" s="55"/>
      <c r="BJ94" s="55"/>
      <c r="BK94" s="55"/>
      <c r="BL94" s="55"/>
      <c r="BM94" s="55"/>
      <c r="BN94" s="55"/>
      <c r="BO94" s="55"/>
      <c r="BP94" s="55"/>
      <c r="BQ94" s="55"/>
      <c r="BR94" s="55"/>
      <c r="BS94" s="55"/>
      <c r="BT94" s="55"/>
      <c r="BU94" s="55"/>
      <c r="BV94" s="55"/>
      <c r="BW94" s="55"/>
      <c r="BX94" s="55"/>
      <c r="BY94" s="55"/>
      <c r="BZ94" s="55"/>
      <c r="CA94" s="55"/>
      <c r="CB94" s="55"/>
      <c r="CC94" s="55"/>
      <c r="CD94" s="55"/>
      <c r="CE94" s="55"/>
      <c r="CF94" s="55"/>
      <c r="CG94" s="55"/>
      <c r="CH94" s="55"/>
      <c r="CI94" s="55"/>
      <c r="CJ94" s="55"/>
      <c r="CK94" s="55"/>
      <c r="CL94" s="55"/>
      <c r="CM94" s="55"/>
      <c r="CN94" s="55"/>
      <c r="CO94" s="55"/>
      <c r="CP94" s="55"/>
      <c r="CQ94" s="55"/>
      <c r="CR94" s="55"/>
      <c r="CS94" s="55"/>
      <c r="CT94" s="55"/>
      <c r="CU94" s="55"/>
      <c r="CV94" s="55"/>
      <c r="CW94" s="55"/>
      <c r="CX94" s="55"/>
      <c r="CY94" s="55"/>
      <c r="CZ94" s="55"/>
      <c r="DA94" s="55"/>
      <c r="DB94" s="55"/>
      <c r="DC94" s="55"/>
      <c r="DD94" s="55"/>
      <c r="DE94" s="55"/>
      <c r="DF94" s="55"/>
      <c r="DG94" s="55"/>
      <c r="DH94" s="55"/>
      <c r="DI94" s="55"/>
      <c r="DJ94" s="55"/>
    </row>
    <row r="95" spans="1:114" x14ac:dyDescent="0.25">
      <c r="A95" s="120">
        <v>8</v>
      </c>
      <c r="B95" s="79" t="s">
        <v>52</v>
      </c>
      <c r="C95" s="80">
        <v>1500</v>
      </c>
      <c r="D95" s="81">
        <f>136.1/2</f>
        <v>68.05</v>
      </c>
      <c r="E95" s="43">
        <v>0</v>
      </c>
      <c r="F95" s="60"/>
      <c r="G95" s="56">
        <f t="shared" si="20"/>
        <v>0</v>
      </c>
      <c r="H95" s="55"/>
      <c r="I95" s="56">
        <f t="shared" si="21"/>
        <v>0</v>
      </c>
      <c r="J95" s="56">
        <f t="shared" si="22"/>
        <v>0</v>
      </c>
      <c r="K95" s="57">
        <f t="shared" si="23"/>
        <v>0</v>
      </c>
      <c r="L95" s="297"/>
      <c r="M95" s="297"/>
      <c r="N95" s="314">
        <f t="shared" si="19"/>
        <v>0</v>
      </c>
      <c r="O95" s="310"/>
      <c r="P95" s="315"/>
      <c r="Q95" s="315"/>
      <c r="R95" s="315"/>
      <c r="S95" s="315"/>
      <c r="T95" s="55"/>
      <c r="U95" s="55"/>
      <c r="V95" s="55"/>
      <c r="W95" s="55"/>
      <c r="X95" s="55"/>
      <c r="Y95" s="55"/>
      <c r="Z95" s="55"/>
      <c r="AA95" s="55"/>
      <c r="AB95" s="55"/>
      <c r="AC95" s="55"/>
      <c r="AD95" s="55"/>
      <c r="AE95" s="55"/>
      <c r="AF95" s="55"/>
      <c r="AG95" s="55"/>
      <c r="AH95" s="55"/>
      <c r="AI95" s="55"/>
      <c r="AJ95" s="55"/>
      <c r="AK95" s="55"/>
      <c r="AL95" s="55"/>
      <c r="AM95" s="55"/>
      <c r="AN95" s="55"/>
      <c r="AO95" s="55"/>
      <c r="AP95" s="55"/>
      <c r="AQ95" s="55"/>
      <c r="AR95" s="55"/>
      <c r="AS95" s="55"/>
      <c r="AT95" s="55"/>
      <c r="AU95" s="55"/>
      <c r="AV95" s="55"/>
      <c r="AW95" s="55"/>
      <c r="AX95" s="55"/>
      <c r="AY95" s="55"/>
      <c r="AZ95" s="55"/>
      <c r="BA95" s="55"/>
      <c r="BB95" s="55"/>
      <c r="BC95" s="55"/>
      <c r="BD95" s="55"/>
      <c r="BE95" s="55"/>
      <c r="BF95" s="55"/>
      <c r="BG95" s="55"/>
      <c r="BH95" s="55"/>
      <c r="BI95" s="55"/>
      <c r="BJ95" s="55"/>
      <c r="BK95" s="55"/>
      <c r="BL95" s="55"/>
      <c r="BM95" s="55"/>
      <c r="BN95" s="55"/>
      <c r="BO95" s="55"/>
      <c r="BP95" s="55"/>
      <c r="BQ95" s="55"/>
      <c r="BR95" s="55"/>
      <c r="BS95" s="55"/>
      <c r="BT95" s="55"/>
      <c r="BU95" s="55"/>
      <c r="BV95" s="55"/>
      <c r="BW95" s="55"/>
      <c r="BX95" s="55"/>
      <c r="BY95" s="55"/>
      <c r="BZ95" s="55"/>
      <c r="CA95" s="55"/>
      <c r="CB95" s="55"/>
      <c r="CC95" s="55"/>
      <c r="CD95" s="55"/>
      <c r="CE95" s="55"/>
      <c r="CF95" s="55"/>
      <c r="CG95" s="55"/>
      <c r="CH95" s="55"/>
      <c r="CI95" s="55"/>
      <c r="CJ95" s="55"/>
      <c r="CK95" s="55"/>
      <c r="CL95" s="55"/>
      <c r="CM95" s="55"/>
      <c r="CN95" s="55"/>
      <c r="CO95" s="55"/>
      <c r="CP95" s="55"/>
      <c r="CQ95" s="55"/>
      <c r="CR95" s="55"/>
      <c r="CS95" s="55"/>
      <c r="CT95" s="55"/>
      <c r="CU95" s="55"/>
      <c r="CV95" s="55"/>
      <c r="CW95" s="55"/>
      <c r="CX95" s="55"/>
      <c r="CY95" s="55"/>
      <c r="CZ95" s="55"/>
      <c r="DA95" s="55"/>
      <c r="DB95" s="55"/>
      <c r="DC95" s="55"/>
      <c r="DD95" s="55"/>
      <c r="DE95" s="55"/>
      <c r="DF95" s="55"/>
      <c r="DG95" s="55"/>
      <c r="DH95" s="55"/>
      <c r="DI95" s="55"/>
      <c r="DJ95" s="55"/>
    </row>
    <row r="96" spans="1:114" x14ac:dyDescent="0.25">
      <c r="A96" s="120">
        <v>9</v>
      </c>
      <c r="B96" s="79" t="s">
        <v>53</v>
      </c>
      <c r="C96" s="80">
        <v>1500</v>
      </c>
      <c r="D96" s="81">
        <f>170.12/4</f>
        <v>42.53</v>
      </c>
      <c r="E96" s="43">
        <v>0</v>
      </c>
      <c r="F96" s="60"/>
      <c r="G96" s="56">
        <f t="shared" si="20"/>
        <v>0</v>
      </c>
      <c r="H96" s="55"/>
      <c r="I96" s="56">
        <f t="shared" si="21"/>
        <v>0</v>
      </c>
      <c r="J96" s="56">
        <f t="shared" si="22"/>
        <v>0</v>
      </c>
      <c r="K96" s="57">
        <f t="shared" si="23"/>
        <v>0</v>
      </c>
      <c r="L96" s="297"/>
      <c r="M96" s="297"/>
      <c r="N96" s="314">
        <f t="shared" si="19"/>
        <v>0</v>
      </c>
      <c r="O96" s="310"/>
      <c r="P96" s="315"/>
      <c r="Q96" s="315"/>
      <c r="R96" s="315"/>
      <c r="S96" s="315"/>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c r="BM96" s="55"/>
      <c r="BN96" s="55"/>
      <c r="BO96" s="55"/>
      <c r="BP96" s="55"/>
      <c r="BQ96" s="55"/>
      <c r="BR96" s="55"/>
      <c r="BS96" s="55"/>
      <c r="BT96" s="55"/>
      <c r="BU96" s="55"/>
      <c r="BV96" s="55"/>
      <c r="BW96" s="55"/>
      <c r="BX96" s="55"/>
      <c r="BY96" s="55"/>
      <c r="BZ96" s="55"/>
      <c r="CA96" s="55"/>
      <c r="CB96" s="55"/>
      <c r="CC96" s="55"/>
      <c r="CD96" s="55"/>
      <c r="CE96" s="55"/>
      <c r="CF96" s="55"/>
      <c r="CG96" s="55"/>
      <c r="CH96" s="55"/>
      <c r="CI96" s="55"/>
      <c r="CJ96" s="55"/>
      <c r="CK96" s="55"/>
      <c r="CL96" s="55"/>
      <c r="CM96" s="55"/>
      <c r="CN96" s="55"/>
      <c r="CO96" s="55"/>
      <c r="CP96" s="55"/>
      <c r="CQ96" s="55"/>
      <c r="CR96" s="55"/>
      <c r="CS96" s="55"/>
      <c r="CT96" s="55"/>
      <c r="CU96" s="55"/>
      <c r="CV96" s="55"/>
      <c r="CW96" s="55"/>
      <c r="CX96" s="55"/>
      <c r="CY96" s="55"/>
      <c r="CZ96" s="55"/>
      <c r="DA96" s="55"/>
      <c r="DB96" s="55"/>
      <c r="DC96" s="55"/>
      <c r="DD96" s="55"/>
      <c r="DE96" s="55"/>
      <c r="DF96" s="55"/>
      <c r="DG96" s="55"/>
      <c r="DH96" s="55"/>
      <c r="DI96" s="55"/>
      <c r="DJ96" s="55"/>
    </row>
    <row r="97" spans="1:114" x14ac:dyDescent="0.25">
      <c r="A97" s="120">
        <v>10</v>
      </c>
      <c r="B97" s="79" t="s">
        <v>54</v>
      </c>
      <c r="C97" s="80">
        <v>1500</v>
      </c>
      <c r="D97" s="81">
        <f>788.59/16</f>
        <v>49.286875000000002</v>
      </c>
      <c r="E97" s="43">
        <v>0</v>
      </c>
      <c r="F97" s="60"/>
      <c r="G97" s="56">
        <f t="shared" si="20"/>
        <v>0</v>
      </c>
      <c r="H97" s="55"/>
      <c r="I97" s="56">
        <f t="shared" si="21"/>
        <v>0</v>
      </c>
      <c r="J97" s="56">
        <f t="shared" si="22"/>
        <v>0</v>
      </c>
      <c r="K97" s="57">
        <f t="shared" si="23"/>
        <v>0</v>
      </c>
      <c r="L97" s="297"/>
      <c r="M97" s="297"/>
      <c r="N97" s="314">
        <f t="shared" si="19"/>
        <v>0</v>
      </c>
      <c r="O97" s="310"/>
      <c r="P97" s="315"/>
      <c r="Q97" s="315"/>
      <c r="R97" s="315"/>
      <c r="S97" s="31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c r="BP97" s="55"/>
      <c r="BQ97" s="55"/>
      <c r="BR97" s="55"/>
      <c r="BS97" s="55"/>
      <c r="BT97" s="55"/>
      <c r="BU97" s="55"/>
      <c r="BV97" s="55"/>
      <c r="BW97" s="55"/>
      <c r="BX97" s="55"/>
      <c r="BY97" s="55"/>
      <c r="BZ97" s="55"/>
      <c r="CA97" s="55"/>
      <c r="CB97" s="55"/>
      <c r="CC97" s="55"/>
      <c r="CD97" s="55"/>
      <c r="CE97" s="55"/>
      <c r="CF97" s="55"/>
      <c r="CG97" s="55"/>
      <c r="CH97" s="55"/>
      <c r="CI97" s="55"/>
      <c r="CJ97" s="55"/>
      <c r="CK97" s="55"/>
      <c r="CL97" s="55"/>
      <c r="CM97" s="55"/>
      <c r="CN97" s="55"/>
      <c r="CO97" s="55"/>
      <c r="CP97" s="55"/>
      <c r="CQ97" s="55"/>
      <c r="CR97" s="55"/>
      <c r="CS97" s="55"/>
      <c r="CT97" s="55"/>
      <c r="CU97" s="55"/>
      <c r="CV97" s="55"/>
      <c r="CW97" s="55"/>
      <c r="CX97" s="55"/>
      <c r="CY97" s="55"/>
      <c r="CZ97" s="55"/>
      <c r="DA97" s="55"/>
      <c r="DB97" s="55"/>
      <c r="DC97" s="55"/>
      <c r="DD97" s="55"/>
      <c r="DE97" s="55"/>
      <c r="DF97" s="55"/>
      <c r="DG97" s="55"/>
      <c r="DH97" s="55"/>
      <c r="DI97" s="55"/>
      <c r="DJ97" s="55"/>
    </row>
    <row r="98" spans="1:114" x14ac:dyDescent="0.25">
      <c r="A98" s="120">
        <v>11</v>
      </c>
      <c r="B98" s="79" t="s">
        <v>55</v>
      </c>
      <c r="C98" s="80">
        <v>2500</v>
      </c>
      <c r="D98" s="81">
        <f>159.14/2</f>
        <v>79.569999999999993</v>
      </c>
      <c r="E98" s="43">
        <v>0</v>
      </c>
      <c r="F98" s="60"/>
      <c r="G98" s="56">
        <f t="shared" si="20"/>
        <v>0</v>
      </c>
      <c r="H98" s="55">
        <f>2036-2036</f>
        <v>0</v>
      </c>
      <c r="I98" s="56">
        <f t="shared" si="21"/>
        <v>0</v>
      </c>
      <c r="J98" s="56">
        <f t="shared" si="22"/>
        <v>0</v>
      </c>
      <c r="K98" s="57">
        <f t="shared" si="23"/>
        <v>0</v>
      </c>
      <c r="L98" s="297"/>
      <c r="M98" s="297"/>
      <c r="N98" s="314">
        <f t="shared" si="19"/>
        <v>0</v>
      </c>
      <c r="O98" s="310"/>
      <c r="P98" s="315"/>
      <c r="Q98" s="315"/>
      <c r="R98" s="315"/>
      <c r="S98" s="31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c r="BP98" s="55"/>
      <c r="BQ98" s="55"/>
      <c r="BR98" s="55"/>
      <c r="BS98" s="55"/>
      <c r="BT98" s="55"/>
      <c r="BU98" s="55"/>
      <c r="BV98" s="55"/>
      <c r="BW98" s="55"/>
      <c r="BX98" s="55"/>
      <c r="BY98" s="55"/>
      <c r="BZ98" s="55"/>
      <c r="CA98" s="55"/>
      <c r="CB98" s="55"/>
      <c r="CC98" s="55"/>
      <c r="CD98" s="55"/>
      <c r="CE98" s="55"/>
      <c r="CF98" s="55"/>
      <c r="CG98" s="55"/>
      <c r="CH98" s="55"/>
      <c r="CI98" s="55"/>
      <c r="CJ98" s="55"/>
      <c r="CK98" s="55"/>
      <c r="CL98" s="55"/>
      <c r="CM98" s="55"/>
      <c r="CN98" s="55"/>
      <c r="CO98" s="55"/>
      <c r="CP98" s="55"/>
      <c r="CQ98" s="55"/>
      <c r="CR98" s="55"/>
      <c r="CS98" s="55"/>
      <c r="CT98" s="55"/>
      <c r="CU98" s="55"/>
      <c r="CV98" s="55"/>
      <c r="CW98" s="55"/>
      <c r="CX98" s="55"/>
      <c r="CY98" s="55"/>
      <c r="CZ98" s="55"/>
      <c r="DA98" s="55"/>
      <c r="DB98" s="55"/>
      <c r="DC98" s="55"/>
      <c r="DD98" s="55"/>
      <c r="DE98" s="55"/>
      <c r="DF98" s="55"/>
      <c r="DG98" s="55"/>
      <c r="DH98" s="55"/>
      <c r="DI98" s="55"/>
      <c r="DJ98" s="55"/>
    </row>
    <row r="99" spans="1:114" x14ac:dyDescent="0.25">
      <c r="A99" s="120">
        <v>12</v>
      </c>
      <c r="B99" s="79" t="s">
        <v>56</v>
      </c>
      <c r="C99" s="80">
        <v>1500</v>
      </c>
      <c r="D99" s="81">
        <f>151.67/8</f>
        <v>18.958749999999998</v>
      </c>
      <c r="E99" s="43">
        <v>0</v>
      </c>
      <c r="F99" s="60"/>
      <c r="G99" s="56">
        <f t="shared" si="20"/>
        <v>0</v>
      </c>
      <c r="H99" s="55">
        <f>19824-19824</f>
        <v>0</v>
      </c>
      <c r="I99" s="56">
        <f t="shared" si="21"/>
        <v>0</v>
      </c>
      <c r="J99" s="56">
        <f t="shared" si="22"/>
        <v>0</v>
      </c>
      <c r="K99" s="57">
        <f t="shared" si="23"/>
        <v>0</v>
      </c>
      <c r="L99" s="297"/>
      <c r="M99" s="297"/>
      <c r="N99" s="314">
        <f t="shared" si="19"/>
        <v>0</v>
      </c>
      <c r="O99" s="310"/>
      <c r="P99" s="315"/>
      <c r="Q99" s="315"/>
      <c r="R99" s="315"/>
      <c r="S99" s="315"/>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c r="BM99" s="55"/>
      <c r="BN99" s="55"/>
      <c r="BO99" s="55"/>
      <c r="BP99" s="55"/>
      <c r="BQ99" s="55"/>
      <c r="BR99" s="55"/>
      <c r="BS99" s="55"/>
      <c r="BT99" s="55"/>
      <c r="BU99" s="55"/>
      <c r="BV99" s="55"/>
      <c r="BW99" s="55"/>
      <c r="BX99" s="55"/>
      <c r="BY99" s="55"/>
      <c r="BZ99" s="55"/>
      <c r="CA99" s="55"/>
      <c r="CB99" s="55"/>
      <c r="CC99" s="55"/>
      <c r="CD99" s="55"/>
      <c r="CE99" s="55"/>
      <c r="CF99" s="55"/>
      <c r="CG99" s="55"/>
      <c r="CH99" s="55"/>
      <c r="CI99" s="55"/>
      <c r="CJ99" s="55"/>
      <c r="CK99" s="55"/>
      <c r="CL99" s="55"/>
      <c r="CM99" s="55"/>
      <c r="CN99" s="55"/>
      <c r="CO99" s="55"/>
      <c r="CP99" s="55"/>
      <c r="CQ99" s="55"/>
      <c r="CR99" s="55"/>
      <c r="CS99" s="55"/>
      <c r="CT99" s="55"/>
      <c r="CU99" s="55"/>
      <c r="CV99" s="55"/>
      <c r="CW99" s="55"/>
      <c r="CX99" s="55"/>
      <c r="CY99" s="55"/>
      <c r="CZ99" s="55"/>
      <c r="DA99" s="55"/>
      <c r="DB99" s="55"/>
      <c r="DC99" s="55"/>
      <c r="DD99" s="55"/>
      <c r="DE99" s="55"/>
      <c r="DF99" s="55"/>
      <c r="DG99" s="55"/>
      <c r="DH99" s="55"/>
      <c r="DI99" s="55"/>
      <c r="DJ99" s="55"/>
    </row>
    <row r="100" spans="1:114" x14ac:dyDescent="0.25">
      <c r="A100" s="120">
        <v>13</v>
      </c>
      <c r="B100" s="79" t="s">
        <v>57</v>
      </c>
      <c r="C100" s="80">
        <v>15000</v>
      </c>
      <c r="D100" s="89">
        <v>15000</v>
      </c>
      <c r="E100" s="43">
        <v>0</v>
      </c>
      <c r="F100" s="60"/>
      <c r="G100" s="56">
        <f t="shared" si="20"/>
        <v>0</v>
      </c>
      <c r="H100" s="55"/>
      <c r="I100" s="56">
        <f t="shared" si="21"/>
        <v>0</v>
      </c>
      <c r="J100" s="56">
        <f t="shared" si="22"/>
        <v>0</v>
      </c>
      <c r="K100" s="57">
        <f t="shared" si="23"/>
        <v>0</v>
      </c>
      <c r="L100" s="297"/>
      <c r="M100" s="297"/>
      <c r="N100" s="314">
        <f t="shared" si="19"/>
        <v>0</v>
      </c>
      <c r="O100" s="310"/>
      <c r="P100" s="315"/>
      <c r="Q100" s="315"/>
      <c r="R100" s="315"/>
      <c r="S100" s="315"/>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c r="BM100" s="55"/>
      <c r="BN100" s="55"/>
      <c r="BO100" s="55"/>
      <c r="BP100" s="55"/>
      <c r="BQ100" s="55"/>
      <c r="BR100" s="55"/>
      <c r="BS100" s="55"/>
      <c r="BT100" s="55"/>
      <c r="BU100" s="55"/>
      <c r="BV100" s="55"/>
      <c r="BW100" s="55"/>
      <c r="BX100" s="55"/>
      <c r="BY100" s="55"/>
      <c r="BZ100" s="55"/>
      <c r="CA100" s="55"/>
      <c r="CB100" s="55"/>
      <c r="CC100" s="55"/>
      <c r="CD100" s="55"/>
      <c r="CE100" s="55"/>
      <c r="CF100" s="55"/>
      <c r="CG100" s="55"/>
      <c r="CH100" s="55"/>
      <c r="CI100" s="55"/>
      <c r="CJ100" s="55"/>
      <c r="CK100" s="55"/>
      <c r="CL100" s="55"/>
      <c r="CM100" s="55"/>
      <c r="CN100" s="55"/>
      <c r="CO100" s="55"/>
      <c r="CP100" s="55"/>
      <c r="CQ100" s="55"/>
      <c r="CR100" s="55"/>
      <c r="CS100" s="55"/>
      <c r="CT100" s="55"/>
      <c r="CU100" s="55"/>
      <c r="CV100" s="55"/>
      <c r="CW100" s="55"/>
      <c r="CX100" s="55"/>
      <c r="CY100" s="55"/>
      <c r="CZ100" s="55"/>
      <c r="DA100" s="55"/>
      <c r="DB100" s="55"/>
      <c r="DC100" s="55"/>
      <c r="DD100" s="55"/>
      <c r="DE100" s="55"/>
      <c r="DF100" s="55"/>
      <c r="DG100" s="55"/>
      <c r="DH100" s="55"/>
      <c r="DI100" s="55"/>
      <c r="DJ100" s="55"/>
    </row>
    <row r="101" spans="1:114" x14ac:dyDescent="0.25">
      <c r="A101" s="120">
        <v>14</v>
      </c>
      <c r="B101" s="79" t="s">
        <v>58</v>
      </c>
      <c r="C101" s="80">
        <v>1500</v>
      </c>
      <c r="D101" s="81">
        <v>88.42</v>
      </c>
      <c r="E101" s="43">
        <v>0</v>
      </c>
      <c r="F101" s="60"/>
      <c r="G101" s="56">
        <f t="shared" si="20"/>
        <v>0</v>
      </c>
      <c r="H101" s="55">
        <f>4432-4432</f>
        <v>0</v>
      </c>
      <c r="I101" s="56">
        <f t="shared" si="21"/>
        <v>0</v>
      </c>
      <c r="J101" s="56">
        <f t="shared" si="22"/>
        <v>0</v>
      </c>
      <c r="K101" s="57">
        <f t="shared" si="23"/>
        <v>0</v>
      </c>
      <c r="L101" s="297"/>
      <c r="M101" s="297"/>
      <c r="N101" s="314">
        <f t="shared" ref="N101:N103" si="24">SUM(O101:DK101)</f>
        <v>0</v>
      </c>
      <c r="O101" s="310"/>
      <c r="P101" s="315"/>
      <c r="Q101" s="315"/>
      <c r="R101" s="315"/>
      <c r="S101" s="315"/>
      <c r="T101" s="55"/>
      <c r="U101" s="55"/>
      <c r="V101" s="55"/>
      <c r="W101" s="55"/>
      <c r="X101" s="55"/>
      <c r="Y101" s="55"/>
      <c r="Z101" s="55"/>
      <c r="AA101" s="55"/>
      <c r="AB101" s="55"/>
      <c r="AC101" s="55"/>
      <c r="AD101" s="55"/>
      <c r="AE101" s="55"/>
      <c r="AF101" s="55"/>
      <c r="AG101" s="55"/>
      <c r="AH101" s="55"/>
      <c r="AI101" s="55"/>
      <c r="AJ101" s="55"/>
      <c r="AK101" s="55"/>
      <c r="AL101" s="55"/>
      <c r="AM101" s="55"/>
      <c r="AN101" s="55"/>
      <c r="AO101" s="55"/>
      <c r="AP101" s="55"/>
      <c r="AQ101" s="55"/>
      <c r="AR101" s="55"/>
      <c r="AS101" s="55"/>
      <c r="AT101" s="55"/>
      <c r="AU101" s="55"/>
      <c r="AV101" s="55"/>
      <c r="AW101" s="55"/>
      <c r="AX101" s="55"/>
      <c r="AY101" s="55"/>
      <c r="AZ101" s="55"/>
      <c r="BA101" s="55"/>
      <c r="BB101" s="55"/>
      <c r="BC101" s="55"/>
      <c r="BD101" s="55"/>
      <c r="BE101" s="55"/>
      <c r="BF101" s="55"/>
      <c r="BG101" s="55"/>
      <c r="BH101" s="55"/>
      <c r="BI101" s="55"/>
      <c r="BJ101" s="55"/>
      <c r="BK101" s="55"/>
      <c r="BL101" s="55"/>
      <c r="BM101" s="55"/>
      <c r="BN101" s="55"/>
      <c r="BO101" s="55"/>
      <c r="BP101" s="55"/>
      <c r="BQ101" s="55"/>
      <c r="BR101" s="55"/>
      <c r="BS101" s="55"/>
      <c r="BT101" s="55"/>
      <c r="BU101" s="55"/>
      <c r="BV101" s="55"/>
      <c r="BW101" s="55"/>
      <c r="BX101" s="55"/>
      <c r="BY101" s="55"/>
      <c r="BZ101" s="55"/>
      <c r="CA101" s="55"/>
      <c r="CB101" s="55"/>
      <c r="CC101" s="55"/>
      <c r="CD101" s="55"/>
      <c r="CE101" s="55"/>
      <c r="CF101" s="55"/>
      <c r="CG101" s="55"/>
      <c r="CH101" s="55"/>
      <c r="CI101" s="55"/>
      <c r="CJ101" s="55"/>
      <c r="CK101" s="55"/>
      <c r="CL101" s="55"/>
      <c r="CM101" s="55"/>
      <c r="CN101" s="55"/>
      <c r="CO101" s="55"/>
      <c r="CP101" s="55"/>
      <c r="CQ101" s="55"/>
      <c r="CR101" s="55"/>
      <c r="CS101" s="55"/>
      <c r="CT101" s="55"/>
      <c r="CU101" s="55"/>
      <c r="CV101" s="55"/>
      <c r="CW101" s="55"/>
      <c r="CX101" s="55"/>
      <c r="CY101" s="55"/>
      <c r="CZ101" s="55"/>
      <c r="DA101" s="55"/>
      <c r="DB101" s="55"/>
      <c r="DC101" s="55"/>
      <c r="DD101" s="55"/>
      <c r="DE101" s="55"/>
      <c r="DF101" s="55"/>
      <c r="DG101" s="55"/>
      <c r="DH101" s="55"/>
      <c r="DI101" s="55"/>
      <c r="DJ101" s="55"/>
    </row>
    <row r="102" spans="1:114" ht="15.75" thickBot="1" x14ac:dyDescent="0.3">
      <c r="A102" s="120">
        <v>15</v>
      </c>
      <c r="B102" s="115" t="s">
        <v>59</v>
      </c>
      <c r="C102" s="116">
        <v>1500</v>
      </c>
      <c r="D102" s="117">
        <v>82.68</v>
      </c>
      <c r="E102" s="122">
        <v>0</v>
      </c>
      <c r="F102" s="121"/>
      <c r="G102" s="109">
        <f t="shared" si="20"/>
        <v>0</v>
      </c>
      <c r="H102" s="108"/>
      <c r="I102" s="109">
        <f t="shared" si="21"/>
        <v>0</v>
      </c>
      <c r="J102" s="109">
        <f t="shared" si="22"/>
        <v>0</v>
      </c>
      <c r="K102" s="110">
        <f t="shared" si="23"/>
        <v>0</v>
      </c>
      <c r="L102" s="297"/>
      <c r="M102" s="297"/>
      <c r="N102" s="321">
        <f t="shared" si="24"/>
        <v>0</v>
      </c>
      <c r="O102" s="312"/>
      <c r="P102" s="318"/>
      <c r="Q102" s="318"/>
      <c r="R102" s="318"/>
      <c r="S102" s="318"/>
      <c r="T102" s="108"/>
      <c r="U102" s="108"/>
      <c r="V102" s="108"/>
      <c r="W102" s="108"/>
      <c r="X102" s="108"/>
      <c r="Y102" s="108"/>
      <c r="Z102" s="108"/>
      <c r="AA102" s="108"/>
      <c r="AB102" s="108"/>
      <c r="AC102" s="108"/>
      <c r="AD102" s="108"/>
      <c r="AE102" s="108"/>
      <c r="AF102" s="108"/>
      <c r="AG102" s="108"/>
      <c r="AH102" s="108"/>
      <c r="AI102" s="108"/>
      <c r="AJ102" s="108"/>
      <c r="AK102" s="108"/>
      <c r="AL102" s="108"/>
      <c r="AM102" s="108"/>
      <c r="AN102" s="108"/>
      <c r="AO102" s="108"/>
      <c r="AP102" s="108"/>
      <c r="AQ102" s="108"/>
      <c r="AR102" s="108"/>
      <c r="AS102" s="108"/>
      <c r="AT102" s="108"/>
      <c r="AU102" s="108"/>
      <c r="AV102" s="108"/>
      <c r="AW102" s="108"/>
      <c r="AX102" s="108"/>
      <c r="AY102" s="108"/>
      <c r="AZ102" s="108"/>
      <c r="BA102" s="108"/>
      <c r="BB102" s="108"/>
      <c r="BC102" s="108"/>
      <c r="BD102" s="108"/>
      <c r="BE102" s="108"/>
      <c r="BF102" s="108"/>
      <c r="BG102" s="108"/>
      <c r="BH102" s="108"/>
      <c r="BI102" s="108"/>
      <c r="BJ102" s="108"/>
      <c r="BK102" s="108"/>
      <c r="BL102" s="108"/>
      <c r="BM102" s="108"/>
      <c r="BN102" s="108"/>
      <c r="BO102" s="108"/>
      <c r="BP102" s="108"/>
      <c r="BQ102" s="108"/>
      <c r="BR102" s="108"/>
      <c r="BS102" s="108"/>
      <c r="BT102" s="108"/>
      <c r="BU102" s="108"/>
      <c r="BV102" s="108"/>
      <c r="BW102" s="108"/>
      <c r="BX102" s="108"/>
      <c r="BY102" s="108"/>
      <c r="BZ102" s="108"/>
      <c r="CA102" s="108"/>
      <c r="CB102" s="108"/>
      <c r="CC102" s="108"/>
      <c r="CD102" s="108"/>
      <c r="CE102" s="108"/>
      <c r="CF102" s="108"/>
      <c r="CG102" s="108"/>
      <c r="CH102" s="108"/>
      <c r="CI102" s="108"/>
      <c r="CJ102" s="108"/>
      <c r="CK102" s="108"/>
      <c r="CL102" s="108"/>
      <c r="CM102" s="108"/>
      <c r="CN102" s="108"/>
      <c r="CO102" s="108"/>
      <c r="CP102" s="108"/>
      <c r="CQ102" s="108"/>
      <c r="CR102" s="108"/>
      <c r="CS102" s="108"/>
      <c r="CT102" s="108"/>
      <c r="CU102" s="108"/>
      <c r="CV102" s="108"/>
      <c r="CW102" s="108"/>
      <c r="CX102" s="108"/>
      <c r="CY102" s="108"/>
      <c r="CZ102" s="108"/>
      <c r="DA102" s="108"/>
      <c r="DB102" s="108"/>
      <c r="DC102" s="108"/>
      <c r="DD102" s="108"/>
      <c r="DE102" s="108"/>
      <c r="DF102" s="108"/>
      <c r="DG102" s="108"/>
      <c r="DH102" s="108"/>
      <c r="DI102" s="108"/>
      <c r="DJ102" s="108"/>
    </row>
    <row r="103" spans="1:114" ht="15.75" thickBot="1" x14ac:dyDescent="0.3">
      <c r="A103" s="83"/>
      <c r="B103" s="119" t="s">
        <v>664</v>
      </c>
      <c r="C103" s="90"/>
      <c r="D103" s="86"/>
      <c r="E103" s="86">
        <f>SUM(E88:E102)</f>
        <v>0</v>
      </c>
      <c r="F103" s="86">
        <f>SUM(F88:F102)</f>
        <v>0</v>
      </c>
      <c r="G103" s="86">
        <f>SUM(G88:G102)</f>
        <v>0</v>
      </c>
      <c r="H103" s="86">
        <f>SUM(H88:H102)</f>
        <v>0</v>
      </c>
      <c r="I103" s="86">
        <f>SUM(I88:I102)</f>
        <v>0</v>
      </c>
      <c r="J103" s="86">
        <f t="shared" ref="J103:K103" si="25">SUM(J88:J102)</f>
        <v>0</v>
      </c>
      <c r="K103" s="85">
        <f t="shared" si="25"/>
        <v>0</v>
      </c>
      <c r="L103" s="163"/>
      <c r="M103" s="163"/>
      <c r="N103" s="322">
        <f t="shared" si="24"/>
        <v>0</v>
      </c>
      <c r="O103" s="325"/>
      <c r="P103" s="325"/>
      <c r="Q103" s="325"/>
      <c r="R103" s="325"/>
      <c r="S103" s="325"/>
      <c r="T103" s="324"/>
      <c r="U103" s="324"/>
      <c r="V103" s="324"/>
      <c r="W103" s="324"/>
      <c r="X103" s="324"/>
      <c r="Y103" s="324"/>
      <c r="Z103" s="324"/>
      <c r="AA103" s="324"/>
      <c r="AB103" s="324"/>
      <c r="AC103" s="324"/>
      <c r="AD103" s="324"/>
      <c r="AE103" s="324"/>
      <c r="AF103" s="324"/>
      <c r="AG103" s="324"/>
      <c r="AH103" s="324"/>
      <c r="AI103" s="324"/>
      <c r="AJ103" s="324"/>
      <c r="AK103" s="324"/>
      <c r="AL103" s="324"/>
      <c r="AM103" s="324"/>
      <c r="AN103" s="324"/>
      <c r="AO103" s="324"/>
      <c r="AP103" s="324"/>
      <c r="AQ103" s="324"/>
      <c r="AR103" s="324"/>
      <c r="AS103" s="324"/>
      <c r="AT103" s="324"/>
      <c r="AU103" s="324"/>
      <c r="AV103" s="324"/>
      <c r="AW103" s="324"/>
      <c r="AX103" s="324"/>
      <c r="AY103" s="324"/>
      <c r="AZ103" s="324"/>
      <c r="BA103" s="324"/>
      <c r="BB103" s="324"/>
      <c r="BC103" s="324"/>
      <c r="BD103" s="324"/>
      <c r="BE103" s="324"/>
      <c r="BF103" s="324"/>
      <c r="BG103" s="324"/>
      <c r="BH103" s="324"/>
      <c r="BI103" s="324"/>
      <c r="BJ103" s="324"/>
      <c r="BK103" s="324"/>
      <c r="BL103" s="324"/>
      <c r="BM103" s="324"/>
      <c r="BN103" s="324"/>
      <c r="BO103" s="324"/>
      <c r="BP103" s="324"/>
      <c r="BQ103" s="324"/>
      <c r="BR103" s="324"/>
      <c r="BS103" s="324"/>
      <c r="BT103" s="324"/>
      <c r="BU103" s="324"/>
      <c r="BV103" s="324"/>
      <c r="BW103" s="324"/>
      <c r="BX103" s="324"/>
      <c r="BY103" s="324"/>
      <c r="BZ103" s="324"/>
      <c r="CA103" s="324"/>
      <c r="CB103" s="324"/>
      <c r="CC103" s="324"/>
      <c r="CD103" s="324"/>
      <c r="CE103" s="324"/>
      <c r="CF103" s="324"/>
      <c r="CG103" s="324"/>
      <c r="CH103" s="324"/>
      <c r="CI103" s="324"/>
      <c r="CJ103" s="324"/>
      <c r="CK103" s="324"/>
      <c r="CL103" s="324"/>
      <c r="CM103" s="324"/>
      <c r="CN103" s="324"/>
      <c r="CO103" s="324"/>
      <c r="CP103" s="324"/>
      <c r="CQ103" s="324"/>
      <c r="CR103" s="324"/>
      <c r="CS103" s="324"/>
      <c r="CT103" s="324"/>
      <c r="CU103" s="324"/>
      <c r="CV103" s="324"/>
      <c r="CW103" s="324"/>
      <c r="CX103" s="324"/>
      <c r="CY103" s="324"/>
      <c r="CZ103" s="324"/>
      <c r="DA103" s="324"/>
      <c r="DB103" s="324"/>
      <c r="DC103" s="324"/>
      <c r="DD103" s="324"/>
      <c r="DE103" s="324"/>
      <c r="DF103" s="324"/>
      <c r="DG103" s="324"/>
      <c r="DH103" s="324"/>
      <c r="DI103" s="324"/>
      <c r="DJ103" s="324"/>
    </row>
    <row r="104" spans="1:114" ht="15.75" thickBot="1" x14ac:dyDescent="0.3">
      <c r="B104" s="93"/>
      <c r="C104" s="94"/>
      <c r="D104" s="95"/>
      <c r="E104" s="96"/>
      <c r="F104" s="62"/>
      <c r="G104" s="96"/>
      <c r="H104" s="96"/>
      <c r="I104" s="96"/>
      <c r="J104" s="96"/>
      <c r="K104" s="96"/>
      <c r="L104" s="164"/>
      <c r="M104" s="164"/>
      <c r="N104" s="295"/>
      <c r="O104" s="234"/>
      <c r="P104" s="234"/>
      <c r="Q104" s="234"/>
      <c r="R104" s="234"/>
      <c r="S104" s="234"/>
      <c r="T104" s="67"/>
      <c r="U104" s="67"/>
      <c r="V104" s="67"/>
    </row>
    <row r="105" spans="1:114" ht="15.75" thickBot="1" x14ac:dyDescent="0.3">
      <c r="A105" s="407" t="s">
        <v>657</v>
      </c>
      <c r="B105" s="414" t="s">
        <v>0</v>
      </c>
      <c r="C105" s="414" t="s">
        <v>1</v>
      </c>
      <c r="D105" s="415" t="s">
        <v>649</v>
      </c>
      <c r="E105" s="416" t="s">
        <v>19</v>
      </c>
      <c r="F105" s="416"/>
      <c r="G105" s="416"/>
      <c r="H105" s="416"/>
      <c r="I105" s="416"/>
      <c r="J105" s="410" t="s">
        <v>21</v>
      </c>
      <c r="K105" s="412" t="s">
        <v>602</v>
      </c>
      <c r="L105" s="295"/>
      <c r="M105" s="295"/>
      <c r="N105" s="403" t="s">
        <v>601</v>
      </c>
      <c r="O105" s="403" t="s">
        <v>924</v>
      </c>
      <c r="P105" s="403"/>
      <c r="Q105" s="403"/>
      <c r="R105" s="403"/>
      <c r="S105" s="403"/>
      <c r="T105" s="403"/>
      <c r="U105" s="403"/>
      <c r="V105" s="403"/>
      <c r="W105" s="403"/>
      <c r="X105" s="403"/>
      <c r="Y105" s="403"/>
      <c r="Z105" s="403"/>
      <c r="AA105" s="403"/>
      <c r="AB105" s="403"/>
      <c r="AC105" s="403"/>
      <c r="AD105" s="403"/>
      <c r="AE105" s="403"/>
      <c r="AF105" s="403"/>
      <c r="AG105" s="403"/>
      <c r="AH105" s="403"/>
      <c r="AI105" s="403"/>
      <c r="AJ105" s="403"/>
      <c r="AK105" s="403"/>
      <c r="AL105" s="403"/>
      <c r="AM105" s="403"/>
      <c r="AN105" s="403"/>
      <c r="AO105" s="403"/>
      <c r="AP105" s="403"/>
      <c r="AQ105" s="403"/>
      <c r="AR105" s="403"/>
      <c r="AS105" s="403"/>
      <c r="AT105" s="403"/>
      <c r="AU105" s="403"/>
      <c r="AV105" s="403"/>
      <c r="AW105" s="403"/>
      <c r="AX105" s="403"/>
      <c r="AY105" s="403"/>
      <c r="AZ105" s="403"/>
      <c r="BA105" s="403"/>
      <c r="BB105" s="403"/>
      <c r="BC105" s="403"/>
      <c r="BD105" s="403"/>
      <c r="BE105" s="403"/>
      <c r="BF105" s="403"/>
      <c r="BG105" s="403"/>
      <c r="BH105" s="403"/>
      <c r="BI105" s="403"/>
      <c r="BJ105" s="403"/>
      <c r="BK105" s="403"/>
      <c r="BL105" s="403"/>
      <c r="BM105" s="403"/>
      <c r="BN105" s="403"/>
      <c r="BO105" s="403"/>
      <c r="BP105" s="403"/>
      <c r="BQ105" s="403"/>
      <c r="BR105" s="403"/>
      <c r="BS105" s="403"/>
      <c r="BT105" s="403"/>
      <c r="BU105" s="403"/>
      <c r="BV105" s="403"/>
      <c r="BW105" s="403"/>
      <c r="BX105" s="403"/>
      <c r="BY105" s="403"/>
      <c r="BZ105" s="403"/>
      <c r="CA105" s="403"/>
      <c r="CB105" s="403"/>
      <c r="CC105" s="403"/>
      <c r="CD105" s="403"/>
      <c r="CE105" s="403"/>
      <c r="CF105" s="403"/>
      <c r="CG105" s="403"/>
      <c r="CH105" s="403"/>
      <c r="CI105" s="403"/>
      <c r="CJ105" s="403"/>
      <c r="CK105" s="403"/>
      <c r="CL105" s="403"/>
      <c r="CM105" s="403"/>
      <c r="CN105" s="403"/>
      <c r="CO105" s="403"/>
      <c r="CP105" s="403"/>
      <c r="CQ105" s="403"/>
      <c r="CR105" s="403"/>
      <c r="CS105" s="403"/>
      <c r="CT105" s="403"/>
      <c r="CU105" s="403"/>
      <c r="CV105" s="403"/>
      <c r="CW105" s="403"/>
      <c r="CX105" s="403"/>
      <c r="CY105" s="403"/>
      <c r="CZ105" s="403"/>
      <c r="DA105" s="403"/>
      <c r="DB105" s="403"/>
      <c r="DC105" s="403"/>
      <c r="DD105" s="403"/>
      <c r="DE105" s="403"/>
      <c r="DF105" s="403"/>
      <c r="DG105" s="403"/>
      <c r="DH105" s="403"/>
      <c r="DI105" s="403"/>
      <c r="DJ105" s="403"/>
    </row>
    <row r="106" spans="1:114" ht="15.75" thickBot="1" x14ac:dyDescent="0.3">
      <c r="A106" s="408"/>
      <c r="B106" s="414"/>
      <c r="C106" s="414"/>
      <c r="D106" s="415"/>
      <c r="E106" s="68" t="s">
        <v>22</v>
      </c>
      <c r="F106" s="68" t="s">
        <v>600</v>
      </c>
      <c r="G106" s="68" t="s">
        <v>601</v>
      </c>
      <c r="H106" s="68" t="s">
        <v>589</v>
      </c>
      <c r="I106" s="68" t="s">
        <v>601</v>
      </c>
      <c r="J106" s="411"/>
      <c r="K106" s="413"/>
      <c r="L106" s="295"/>
      <c r="M106" s="295"/>
      <c r="N106" s="403"/>
      <c r="O106" s="400" t="s">
        <v>925</v>
      </c>
      <c r="P106" s="400" t="s">
        <v>926</v>
      </c>
      <c r="Q106" s="400"/>
      <c r="R106" s="400"/>
      <c r="S106" s="400"/>
      <c r="T106" s="398"/>
      <c r="U106" s="398"/>
      <c r="V106" s="398"/>
      <c r="W106" s="398"/>
      <c r="X106" s="398"/>
      <c r="Y106" s="398"/>
      <c r="Z106" s="398"/>
      <c r="AA106" s="398"/>
      <c r="AB106" s="398"/>
      <c r="AC106" s="398"/>
      <c r="AD106" s="398"/>
      <c r="AE106" s="398"/>
      <c r="AF106" s="398"/>
      <c r="AG106" s="398"/>
      <c r="AH106" s="398"/>
      <c r="AI106" s="398"/>
      <c r="AJ106" s="398"/>
      <c r="AK106" s="398"/>
      <c r="AL106" s="398"/>
      <c r="AM106" s="398"/>
      <c r="AN106" s="398"/>
      <c r="AO106" s="398"/>
      <c r="AP106" s="398"/>
      <c r="AQ106" s="398"/>
      <c r="AR106" s="398"/>
      <c r="AS106" s="398"/>
      <c r="AT106" s="398"/>
      <c r="AU106" s="398"/>
      <c r="AV106" s="398"/>
      <c r="AW106" s="398"/>
      <c r="AX106" s="398"/>
      <c r="AY106" s="398"/>
      <c r="AZ106" s="398"/>
      <c r="BA106" s="398"/>
      <c r="BB106" s="398"/>
      <c r="BC106" s="398"/>
      <c r="BD106" s="398"/>
      <c r="BE106" s="398"/>
      <c r="BF106" s="398"/>
      <c r="BG106" s="398"/>
      <c r="BH106" s="398"/>
      <c r="BI106" s="398"/>
      <c r="BJ106" s="398"/>
      <c r="BK106" s="398"/>
      <c r="BL106" s="398"/>
      <c r="BM106" s="398"/>
      <c r="BN106" s="398"/>
      <c r="BO106" s="398"/>
      <c r="BP106" s="398"/>
      <c r="BQ106" s="398"/>
      <c r="BR106" s="398"/>
      <c r="BS106" s="398"/>
      <c r="BT106" s="398"/>
      <c r="BU106" s="398"/>
      <c r="BV106" s="398"/>
      <c r="BW106" s="398"/>
      <c r="BX106" s="398"/>
      <c r="BY106" s="398"/>
      <c r="BZ106" s="398"/>
      <c r="CA106" s="398"/>
      <c r="CB106" s="398"/>
      <c r="CC106" s="398"/>
      <c r="CD106" s="398"/>
      <c r="CE106" s="398"/>
      <c r="CF106" s="398"/>
      <c r="CG106" s="398"/>
      <c r="CH106" s="398"/>
      <c r="CI106" s="398"/>
      <c r="CJ106" s="398"/>
      <c r="CK106" s="398"/>
      <c r="CL106" s="398"/>
      <c r="CM106" s="398"/>
      <c r="CN106" s="398"/>
      <c r="CO106" s="398"/>
      <c r="CP106" s="398"/>
      <c r="CQ106" s="398"/>
      <c r="CR106" s="398"/>
      <c r="CS106" s="398"/>
      <c r="CT106" s="398"/>
      <c r="CU106" s="398"/>
      <c r="CV106" s="398"/>
      <c r="CW106" s="398"/>
      <c r="CX106" s="398"/>
      <c r="CY106" s="398"/>
      <c r="CZ106" s="398"/>
      <c r="DA106" s="398"/>
      <c r="DB106" s="398"/>
      <c r="DC106" s="398"/>
      <c r="DD106" s="398"/>
      <c r="DE106" s="398"/>
      <c r="DF106" s="398"/>
      <c r="DG106" s="398"/>
      <c r="DH106" s="398"/>
      <c r="DI106" s="398"/>
      <c r="DJ106" s="398"/>
    </row>
    <row r="107" spans="1:114" ht="15.75" thickBot="1" x14ac:dyDescent="0.3">
      <c r="A107" s="409"/>
      <c r="B107" s="69">
        <v>1</v>
      </c>
      <c r="C107" s="69">
        <v>2</v>
      </c>
      <c r="D107" s="69">
        <v>3</v>
      </c>
      <c r="E107" s="70">
        <v>4</v>
      </c>
      <c r="F107" s="70">
        <f>+E107+1</f>
        <v>5</v>
      </c>
      <c r="G107" s="70" t="s">
        <v>652</v>
      </c>
      <c r="H107" s="70">
        <v>7</v>
      </c>
      <c r="I107" s="71" t="s">
        <v>651</v>
      </c>
      <c r="J107" s="42" t="s">
        <v>650</v>
      </c>
      <c r="K107" s="303" t="s">
        <v>653</v>
      </c>
      <c r="L107" s="296"/>
      <c r="M107" s="296"/>
      <c r="N107" s="403"/>
      <c r="O107" s="402"/>
      <c r="P107" s="402"/>
      <c r="Q107" s="402"/>
      <c r="R107" s="402"/>
      <c r="S107" s="402"/>
      <c r="T107" s="399"/>
      <c r="U107" s="399"/>
      <c r="V107" s="399"/>
      <c r="W107" s="399"/>
      <c r="X107" s="399"/>
      <c r="Y107" s="399"/>
      <c r="Z107" s="399"/>
      <c r="AA107" s="399"/>
      <c r="AB107" s="399"/>
      <c r="AC107" s="399"/>
      <c r="AD107" s="399"/>
      <c r="AE107" s="399"/>
      <c r="AF107" s="399"/>
      <c r="AG107" s="399"/>
      <c r="AH107" s="399"/>
      <c r="AI107" s="399"/>
      <c r="AJ107" s="399"/>
      <c r="AK107" s="399"/>
      <c r="AL107" s="399"/>
      <c r="AM107" s="399"/>
      <c r="AN107" s="399"/>
      <c r="AO107" s="399"/>
      <c r="AP107" s="399"/>
      <c r="AQ107" s="399"/>
      <c r="AR107" s="399"/>
      <c r="AS107" s="399"/>
      <c r="AT107" s="399"/>
      <c r="AU107" s="399"/>
      <c r="AV107" s="399"/>
      <c r="AW107" s="399"/>
      <c r="AX107" s="399"/>
      <c r="AY107" s="399"/>
      <c r="AZ107" s="399"/>
      <c r="BA107" s="399"/>
      <c r="BB107" s="399"/>
      <c r="BC107" s="399"/>
      <c r="BD107" s="399"/>
      <c r="BE107" s="399"/>
      <c r="BF107" s="399"/>
      <c r="BG107" s="399"/>
      <c r="BH107" s="399"/>
      <c r="BI107" s="399"/>
      <c r="BJ107" s="399"/>
      <c r="BK107" s="399"/>
      <c r="BL107" s="399"/>
      <c r="BM107" s="399"/>
      <c r="BN107" s="399"/>
      <c r="BO107" s="399"/>
      <c r="BP107" s="399"/>
      <c r="BQ107" s="399"/>
      <c r="BR107" s="399"/>
      <c r="BS107" s="399"/>
      <c r="BT107" s="399"/>
      <c r="BU107" s="399"/>
      <c r="BV107" s="399"/>
      <c r="BW107" s="399"/>
      <c r="BX107" s="399"/>
      <c r="BY107" s="399"/>
      <c r="BZ107" s="399"/>
      <c r="CA107" s="399"/>
      <c r="CB107" s="399"/>
      <c r="CC107" s="399"/>
      <c r="CD107" s="399"/>
      <c r="CE107" s="399"/>
      <c r="CF107" s="399"/>
      <c r="CG107" s="399"/>
      <c r="CH107" s="399"/>
      <c r="CI107" s="399"/>
      <c r="CJ107" s="399"/>
      <c r="CK107" s="399"/>
      <c r="CL107" s="399"/>
      <c r="CM107" s="399"/>
      <c r="CN107" s="399"/>
      <c r="CO107" s="399"/>
      <c r="CP107" s="399"/>
      <c r="CQ107" s="399"/>
      <c r="CR107" s="399"/>
      <c r="CS107" s="399"/>
      <c r="CT107" s="399"/>
      <c r="CU107" s="399"/>
      <c r="CV107" s="399"/>
      <c r="CW107" s="399"/>
      <c r="CX107" s="399"/>
      <c r="CY107" s="399"/>
      <c r="CZ107" s="399"/>
      <c r="DA107" s="399"/>
      <c r="DB107" s="399"/>
      <c r="DC107" s="399"/>
      <c r="DD107" s="399"/>
      <c r="DE107" s="399"/>
      <c r="DF107" s="399"/>
      <c r="DG107" s="399"/>
      <c r="DH107" s="399"/>
      <c r="DI107" s="399"/>
      <c r="DJ107" s="399"/>
    </row>
    <row r="108" spans="1:114" x14ac:dyDescent="0.25">
      <c r="A108" s="72"/>
      <c r="B108" s="72" t="s">
        <v>665</v>
      </c>
      <c r="C108" s="73"/>
      <c r="D108" s="74"/>
      <c r="E108" s="54"/>
      <c r="F108" s="54"/>
      <c r="G108" s="54"/>
      <c r="H108" s="54"/>
      <c r="I108" s="54"/>
      <c r="J108" s="54"/>
      <c r="K108" s="54"/>
      <c r="L108" s="234"/>
      <c r="M108" s="234"/>
      <c r="N108" s="314">
        <f t="shared" ref="N108:N129" si="26">SUM(O108:DK108)</f>
        <v>0</v>
      </c>
      <c r="O108" s="310"/>
      <c r="P108" s="315"/>
      <c r="Q108" s="315"/>
      <c r="R108" s="315"/>
      <c r="S108" s="315"/>
      <c r="T108" s="55"/>
      <c r="U108" s="55"/>
      <c r="V108" s="55"/>
      <c r="W108" s="55"/>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c r="BM108" s="55"/>
      <c r="BN108" s="55"/>
      <c r="BO108" s="55"/>
      <c r="BP108" s="55"/>
      <c r="BQ108" s="55"/>
      <c r="BR108" s="55"/>
      <c r="BS108" s="55"/>
      <c r="BT108" s="55"/>
      <c r="BU108" s="55"/>
      <c r="BV108" s="55"/>
      <c r="BW108" s="55"/>
      <c r="BX108" s="55"/>
      <c r="BY108" s="55"/>
      <c r="BZ108" s="55"/>
      <c r="CA108" s="55"/>
      <c r="CB108" s="55"/>
      <c r="CC108" s="55"/>
      <c r="CD108" s="55"/>
      <c r="CE108" s="55"/>
      <c r="CF108" s="55"/>
      <c r="CG108" s="55"/>
      <c r="CH108" s="55"/>
      <c r="CI108" s="55"/>
      <c r="CJ108" s="55"/>
      <c r="CK108" s="55"/>
      <c r="CL108" s="55"/>
      <c r="CM108" s="55"/>
      <c r="CN108" s="55"/>
      <c r="CO108" s="55"/>
      <c r="CP108" s="55"/>
      <c r="CQ108" s="55"/>
      <c r="CR108" s="55"/>
      <c r="CS108" s="55"/>
      <c r="CT108" s="55"/>
      <c r="CU108" s="55"/>
      <c r="CV108" s="55"/>
      <c r="CW108" s="55"/>
      <c r="CX108" s="55"/>
      <c r="CY108" s="55"/>
      <c r="CZ108" s="55"/>
      <c r="DA108" s="55"/>
      <c r="DB108" s="55"/>
      <c r="DC108" s="55"/>
      <c r="DD108" s="55"/>
      <c r="DE108" s="55"/>
      <c r="DF108" s="55"/>
      <c r="DG108" s="55"/>
      <c r="DH108" s="55"/>
      <c r="DI108" s="55"/>
      <c r="DJ108" s="55"/>
    </row>
    <row r="109" spans="1:114" x14ac:dyDescent="0.25">
      <c r="A109" s="120">
        <v>1</v>
      </c>
      <c r="B109" s="79" t="s">
        <v>60</v>
      </c>
      <c r="C109" s="80">
        <v>1500</v>
      </c>
      <c r="D109" s="81">
        <v>88.42</v>
      </c>
      <c r="E109" s="59">
        <v>0</v>
      </c>
      <c r="F109" s="59"/>
      <c r="G109" s="56">
        <f t="shared" ref="G109:G134" si="27">+E109+F109</f>
        <v>0</v>
      </c>
      <c r="H109" s="55">
        <f>50+218-268</f>
        <v>0</v>
      </c>
      <c r="I109" s="56">
        <f t="shared" ref="I109:I134" si="28">+G109-H109</f>
        <v>0</v>
      </c>
      <c r="J109" s="56">
        <f t="shared" ref="J109:J134" si="29">I109*C109</f>
        <v>0</v>
      </c>
      <c r="K109" s="57">
        <f t="shared" ref="K109:K134" si="30">+D109*I109</f>
        <v>0</v>
      </c>
      <c r="L109" s="297"/>
      <c r="M109" s="297"/>
      <c r="N109" s="314">
        <f t="shared" si="26"/>
        <v>0</v>
      </c>
      <c r="O109" s="310"/>
      <c r="P109" s="315"/>
      <c r="Q109" s="315"/>
      <c r="R109" s="315"/>
      <c r="S109" s="315"/>
      <c r="T109" s="55"/>
      <c r="U109" s="55"/>
      <c r="V109" s="55"/>
      <c r="W109" s="55"/>
      <c r="X109" s="55"/>
      <c r="Y109" s="55"/>
      <c r="Z109" s="55"/>
      <c r="AA109" s="55"/>
      <c r="AB109" s="55"/>
      <c r="AC109" s="55"/>
      <c r="AD109" s="55"/>
      <c r="AE109" s="55"/>
      <c r="AF109" s="55"/>
      <c r="AG109" s="55"/>
      <c r="AH109" s="55"/>
      <c r="AI109" s="55"/>
      <c r="AJ109" s="55"/>
      <c r="AK109" s="55"/>
      <c r="AL109" s="55"/>
      <c r="AM109" s="55"/>
      <c r="AN109" s="55"/>
      <c r="AO109" s="55"/>
      <c r="AP109" s="55"/>
      <c r="AQ109" s="55"/>
      <c r="AR109" s="55"/>
      <c r="AS109" s="55"/>
      <c r="AT109" s="55"/>
      <c r="AU109" s="55"/>
      <c r="AV109" s="55"/>
      <c r="AW109" s="55"/>
      <c r="AX109" s="55"/>
      <c r="AY109" s="55"/>
      <c r="AZ109" s="55"/>
      <c r="BA109" s="55"/>
      <c r="BB109" s="55"/>
      <c r="BC109" s="55"/>
      <c r="BD109" s="55"/>
      <c r="BE109" s="55"/>
      <c r="BF109" s="55"/>
      <c r="BG109" s="55"/>
      <c r="BH109" s="55"/>
      <c r="BI109" s="55"/>
      <c r="BJ109" s="55"/>
      <c r="BK109" s="55"/>
      <c r="BL109" s="55"/>
      <c r="BM109" s="55"/>
      <c r="BN109" s="55"/>
      <c r="BO109" s="55"/>
      <c r="BP109" s="55"/>
      <c r="BQ109" s="55"/>
      <c r="BR109" s="55"/>
      <c r="BS109" s="55"/>
      <c r="BT109" s="55"/>
      <c r="BU109" s="55"/>
      <c r="BV109" s="55"/>
      <c r="BW109" s="55"/>
      <c r="BX109" s="55"/>
      <c r="BY109" s="55"/>
      <c r="BZ109" s="55"/>
      <c r="CA109" s="55"/>
      <c r="CB109" s="55"/>
      <c r="CC109" s="55"/>
      <c r="CD109" s="55"/>
      <c r="CE109" s="55"/>
      <c r="CF109" s="55"/>
      <c r="CG109" s="55"/>
      <c r="CH109" s="55"/>
      <c r="CI109" s="55"/>
      <c r="CJ109" s="55"/>
      <c r="CK109" s="55"/>
      <c r="CL109" s="55"/>
      <c r="CM109" s="55"/>
      <c r="CN109" s="55"/>
      <c r="CO109" s="55"/>
      <c r="CP109" s="55"/>
      <c r="CQ109" s="55"/>
      <c r="CR109" s="55"/>
      <c r="CS109" s="55"/>
      <c r="CT109" s="55"/>
      <c r="CU109" s="55"/>
      <c r="CV109" s="55"/>
      <c r="CW109" s="55"/>
      <c r="CX109" s="55"/>
      <c r="CY109" s="55"/>
      <c r="CZ109" s="55"/>
      <c r="DA109" s="55"/>
      <c r="DB109" s="55"/>
      <c r="DC109" s="55"/>
      <c r="DD109" s="55"/>
      <c r="DE109" s="55"/>
      <c r="DF109" s="55"/>
      <c r="DG109" s="55"/>
      <c r="DH109" s="55"/>
      <c r="DI109" s="55"/>
      <c r="DJ109" s="55"/>
    </row>
    <row r="110" spans="1:114" x14ac:dyDescent="0.25">
      <c r="A110" s="120">
        <v>2</v>
      </c>
      <c r="B110" s="79" t="s">
        <v>61</v>
      </c>
      <c r="C110" s="80">
        <v>2500</v>
      </c>
      <c r="D110" s="81">
        <v>88.42</v>
      </c>
      <c r="E110" s="59">
        <v>0</v>
      </c>
      <c r="F110" s="59"/>
      <c r="G110" s="56">
        <f t="shared" si="27"/>
        <v>0</v>
      </c>
      <c r="H110" s="55"/>
      <c r="I110" s="56">
        <f t="shared" si="28"/>
        <v>0</v>
      </c>
      <c r="J110" s="56">
        <f t="shared" si="29"/>
        <v>0</v>
      </c>
      <c r="K110" s="57">
        <f t="shared" si="30"/>
        <v>0</v>
      </c>
      <c r="L110" s="297"/>
      <c r="M110" s="297"/>
      <c r="N110" s="314">
        <f t="shared" si="26"/>
        <v>0</v>
      </c>
      <c r="O110" s="310"/>
      <c r="P110" s="315"/>
      <c r="Q110" s="315"/>
      <c r="R110" s="315"/>
      <c r="S110" s="315"/>
      <c r="T110" s="55"/>
      <c r="U110" s="55"/>
      <c r="V110" s="55"/>
      <c r="W110" s="55"/>
      <c r="X110" s="55"/>
      <c r="Y110" s="55"/>
      <c r="Z110" s="55"/>
      <c r="AA110" s="55"/>
      <c r="AB110" s="55"/>
      <c r="AC110" s="55"/>
      <c r="AD110" s="55"/>
      <c r="AE110" s="55"/>
      <c r="AF110" s="55"/>
      <c r="AG110" s="55"/>
      <c r="AH110" s="55"/>
      <c r="AI110" s="55"/>
      <c r="AJ110" s="55"/>
      <c r="AK110" s="55"/>
      <c r="AL110" s="55"/>
      <c r="AM110" s="55"/>
      <c r="AN110" s="55"/>
      <c r="AO110" s="55"/>
      <c r="AP110" s="55"/>
      <c r="AQ110" s="55"/>
      <c r="AR110" s="55"/>
      <c r="AS110" s="55"/>
      <c r="AT110" s="55"/>
      <c r="AU110" s="55"/>
      <c r="AV110" s="55"/>
      <c r="AW110" s="55"/>
      <c r="AX110" s="55"/>
      <c r="AY110" s="55"/>
      <c r="AZ110" s="55"/>
      <c r="BA110" s="55"/>
      <c r="BB110" s="55"/>
      <c r="BC110" s="55"/>
      <c r="BD110" s="55"/>
      <c r="BE110" s="55"/>
      <c r="BF110" s="55"/>
      <c r="BG110" s="55"/>
      <c r="BH110" s="55"/>
      <c r="BI110" s="55"/>
      <c r="BJ110" s="55"/>
      <c r="BK110" s="55"/>
      <c r="BL110" s="55"/>
      <c r="BM110" s="55"/>
      <c r="BN110" s="55"/>
      <c r="BO110" s="55"/>
      <c r="BP110" s="55"/>
      <c r="BQ110" s="55"/>
      <c r="BR110" s="55"/>
      <c r="BS110" s="55"/>
      <c r="BT110" s="55"/>
      <c r="BU110" s="55"/>
      <c r="BV110" s="55"/>
      <c r="BW110" s="55"/>
      <c r="BX110" s="55"/>
      <c r="BY110" s="55"/>
      <c r="BZ110" s="55"/>
      <c r="CA110" s="55"/>
      <c r="CB110" s="55"/>
      <c r="CC110" s="55"/>
      <c r="CD110" s="55"/>
      <c r="CE110" s="55"/>
      <c r="CF110" s="55"/>
      <c r="CG110" s="55"/>
      <c r="CH110" s="55"/>
      <c r="CI110" s="55"/>
      <c r="CJ110" s="55"/>
      <c r="CK110" s="55"/>
      <c r="CL110" s="55"/>
      <c r="CM110" s="55"/>
      <c r="CN110" s="55"/>
      <c r="CO110" s="55"/>
      <c r="CP110" s="55"/>
      <c r="CQ110" s="55"/>
      <c r="CR110" s="55"/>
      <c r="CS110" s="55"/>
      <c r="CT110" s="55"/>
      <c r="CU110" s="55"/>
      <c r="CV110" s="55"/>
      <c r="CW110" s="55"/>
      <c r="CX110" s="55"/>
      <c r="CY110" s="55"/>
      <c r="CZ110" s="55"/>
      <c r="DA110" s="55"/>
      <c r="DB110" s="55"/>
      <c r="DC110" s="55"/>
      <c r="DD110" s="55"/>
      <c r="DE110" s="55"/>
      <c r="DF110" s="55"/>
      <c r="DG110" s="55"/>
      <c r="DH110" s="55"/>
      <c r="DI110" s="55"/>
      <c r="DJ110" s="55"/>
    </row>
    <row r="111" spans="1:114" x14ac:dyDescent="0.25">
      <c r="A111" s="120">
        <v>3</v>
      </c>
      <c r="B111" s="79" t="s">
        <v>62</v>
      </c>
      <c r="C111" s="80">
        <v>1500</v>
      </c>
      <c r="D111" s="81">
        <v>88.42</v>
      </c>
      <c r="E111" s="59">
        <v>0</v>
      </c>
      <c r="F111" s="59"/>
      <c r="G111" s="56">
        <f t="shared" si="27"/>
        <v>0</v>
      </c>
      <c r="H111" s="55">
        <f>5932-5932</f>
        <v>0</v>
      </c>
      <c r="I111" s="56">
        <f t="shared" si="28"/>
        <v>0</v>
      </c>
      <c r="J111" s="56">
        <f t="shared" si="29"/>
        <v>0</v>
      </c>
      <c r="K111" s="57">
        <f t="shared" si="30"/>
        <v>0</v>
      </c>
      <c r="L111" s="297"/>
      <c r="M111" s="297"/>
      <c r="N111" s="314">
        <f t="shared" si="26"/>
        <v>0</v>
      </c>
      <c r="O111" s="310"/>
      <c r="P111" s="315"/>
      <c r="Q111" s="315"/>
      <c r="R111" s="315"/>
      <c r="S111" s="315"/>
      <c r="T111" s="55"/>
      <c r="U111" s="55"/>
      <c r="V111" s="55"/>
      <c r="W111" s="55"/>
      <c r="X111" s="55"/>
      <c r="Y111" s="55"/>
      <c r="Z111" s="55"/>
      <c r="AA111" s="55"/>
      <c r="AB111" s="55"/>
      <c r="AC111" s="55"/>
      <c r="AD111" s="55"/>
      <c r="AE111" s="55"/>
      <c r="AF111" s="55"/>
      <c r="AG111" s="55"/>
      <c r="AH111" s="55"/>
      <c r="AI111" s="55"/>
      <c r="AJ111" s="55"/>
      <c r="AK111" s="55"/>
      <c r="AL111" s="55"/>
      <c r="AM111" s="55"/>
      <c r="AN111" s="55"/>
      <c r="AO111" s="55"/>
      <c r="AP111" s="55"/>
      <c r="AQ111" s="55"/>
      <c r="AR111" s="55"/>
      <c r="AS111" s="55"/>
      <c r="AT111" s="55"/>
      <c r="AU111" s="55"/>
      <c r="AV111" s="55"/>
      <c r="AW111" s="55"/>
      <c r="AX111" s="55"/>
      <c r="AY111" s="55"/>
      <c r="AZ111" s="55"/>
      <c r="BA111" s="55"/>
      <c r="BB111" s="55"/>
      <c r="BC111" s="55"/>
      <c r="BD111" s="55"/>
      <c r="BE111" s="55"/>
      <c r="BF111" s="55"/>
      <c r="BG111" s="55"/>
      <c r="BH111" s="55"/>
      <c r="BI111" s="55"/>
      <c r="BJ111" s="55"/>
      <c r="BK111" s="55"/>
      <c r="BL111" s="55"/>
      <c r="BM111" s="55"/>
      <c r="BN111" s="55"/>
      <c r="BO111" s="55"/>
      <c r="BP111" s="55"/>
      <c r="BQ111" s="55"/>
      <c r="BR111" s="55"/>
      <c r="BS111" s="55"/>
      <c r="BT111" s="55"/>
      <c r="BU111" s="55"/>
      <c r="BV111" s="55"/>
      <c r="BW111" s="55"/>
      <c r="BX111" s="55"/>
      <c r="BY111" s="55"/>
      <c r="BZ111" s="55"/>
      <c r="CA111" s="55"/>
      <c r="CB111" s="55"/>
      <c r="CC111" s="55"/>
      <c r="CD111" s="55"/>
      <c r="CE111" s="55"/>
      <c r="CF111" s="55"/>
      <c r="CG111" s="55"/>
      <c r="CH111" s="55"/>
      <c r="CI111" s="55"/>
      <c r="CJ111" s="55"/>
      <c r="CK111" s="55"/>
      <c r="CL111" s="55"/>
      <c r="CM111" s="55"/>
      <c r="CN111" s="55"/>
      <c r="CO111" s="55"/>
      <c r="CP111" s="55"/>
      <c r="CQ111" s="55"/>
      <c r="CR111" s="55"/>
      <c r="CS111" s="55"/>
      <c r="CT111" s="55"/>
      <c r="CU111" s="55"/>
      <c r="CV111" s="55"/>
      <c r="CW111" s="55"/>
      <c r="CX111" s="55"/>
      <c r="CY111" s="55"/>
      <c r="CZ111" s="55"/>
      <c r="DA111" s="55"/>
      <c r="DB111" s="55"/>
      <c r="DC111" s="55"/>
      <c r="DD111" s="55"/>
      <c r="DE111" s="55"/>
      <c r="DF111" s="55"/>
      <c r="DG111" s="55"/>
      <c r="DH111" s="55"/>
      <c r="DI111" s="55"/>
      <c r="DJ111" s="55"/>
    </row>
    <row r="112" spans="1:114" x14ac:dyDescent="0.25">
      <c r="A112" s="120">
        <v>4</v>
      </c>
      <c r="B112" s="79" t="s">
        <v>63</v>
      </c>
      <c r="C112" s="80">
        <v>1500</v>
      </c>
      <c r="D112" s="81">
        <v>88.42</v>
      </c>
      <c r="E112" s="59">
        <v>0</v>
      </c>
      <c r="F112" s="59"/>
      <c r="G112" s="56">
        <f t="shared" si="27"/>
        <v>0</v>
      </c>
      <c r="H112" s="55"/>
      <c r="I112" s="56">
        <f t="shared" si="28"/>
        <v>0</v>
      </c>
      <c r="J112" s="56">
        <f t="shared" si="29"/>
        <v>0</v>
      </c>
      <c r="K112" s="57">
        <f t="shared" si="30"/>
        <v>0</v>
      </c>
      <c r="L112" s="297"/>
      <c r="M112" s="297"/>
      <c r="N112" s="314">
        <f t="shared" si="26"/>
        <v>0</v>
      </c>
      <c r="O112" s="310"/>
      <c r="P112" s="315"/>
      <c r="Q112" s="315"/>
      <c r="R112" s="315"/>
      <c r="S112" s="315"/>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c r="BM112" s="55"/>
      <c r="BN112" s="55"/>
      <c r="BO112" s="55"/>
      <c r="BP112" s="55"/>
      <c r="BQ112" s="55"/>
      <c r="BR112" s="55"/>
      <c r="BS112" s="55"/>
      <c r="BT112" s="55"/>
      <c r="BU112" s="55"/>
      <c r="BV112" s="55"/>
      <c r="BW112" s="55"/>
      <c r="BX112" s="55"/>
      <c r="BY112" s="55"/>
      <c r="BZ112" s="55"/>
      <c r="CA112" s="55"/>
      <c r="CB112" s="55"/>
      <c r="CC112" s="55"/>
      <c r="CD112" s="55"/>
      <c r="CE112" s="55"/>
      <c r="CF112" s="55"/>
      <c r="CG112" s="55"/>
      <c r="CH112" s="55"/>
      <c r="CI112" s="55"/>
      <c r="CJ112" s="55"/>
      <c r="CK112" s="55"/>
      <c r="CL112" s="55"/>
      <c r="CM112" s="55"/>
      <c r="CN112" s="55"/>
      <c r="CO112" s="55"/>
      <c r="CP112" s="55"/>
      <c r="CQ112" s="55"/>
      <c r="CR112" s="55"/>
      <c r="CS112" s="55"/>
      <c r="CT112" s="55"/>
      <c r="CU112" s="55"/>
      <c r="CV112" s="55"/>
      <c r="CW112" s="55"/>
      <c r="CX112" s="55"/>
      <c r="CY112" s="55"/>
      <c r="CZ112" s="55"/>
      <c r="DA112" s="55"/>
      <c r="DB112" s="55"/>
      <c r="DC112" s="55"/>
      <c r="DD112" s="55"/>
      <c r="DE112" s="55"/>
      <c r="DF112" s="55"/>
      <c r="DG112" s="55"/>
      <c r="DH112" s="55"/>
      <c r="DI112" s="55"/>
      <c r="DJ112" s="55"/>
    </row>
    <row r="113" spans="1:114" x14ac:dyDescent="0.25">
      <c r="A113" s="339"/>
      <c r="B113" s="340"/>
      <c r="C113" s="341"/>
      <c r="D113" s="342"/>
      <c r="E113" s="343"/>
      <c r="F113" s="343"/>
      <c r="G113" s="345"/>
      <c r="H113" s="346"/>
      <c r="I113" s="345"/>
      <c r="J113" s="345"/>
      <c r="K113" s="347"/>
      <c r="L113" s="297"/>
      <c r="M113" s="297"/>
      <c r="N113" s="348"/>
      <c r="O113" s="310" t="s">
        <v>1009</v>
      </c>
      <c r="P113" s="349"/>
      <c r="Q113" s="349"/>
      <c r="R113" s="349"/>
      <c r="S113" s="349"/>
      <c r="T113" s="346"/>
      <c r="U113" s="346"/>
      <c r="V113" s="346"/>
      <c r="W113" s="346"/>
      <c r="X113" s="346"/>
      <c r="Y113" s="346"/>
      <c r="Z113" s="346"/>
      <c r="AA113" s="346"/>
      <c r="AB113" s="346"/>
      <c r="AC113" s="346"/>
      <c r="AD113" s="346"/>
      <c r="AE113" s="346"/>
      <c r="AF113" s="346"/>
      <c r="AG113" s="346"/>
      <c r="AH113" s="346"/>
      <c r="AI113" s="346"/>
      <c r="AJ113" s="346"/>
      <c r="AK113" s="346"/>
      <c r="AL113" s="346"/>
      <c r="AM113" s="346"/>
      <c r="AN113" s="346"/>
      <c r="AO113" s="346"/>
      <c r="AP113" s="346"/>
      <c r="AQ113" s="346"/>
      <c r="AR113" s="346"/>
      <c r="AS113" s="346"/>
      <c r="AT113" s="346"/>
      <c r="AU113" s="346"/>
      <c r="AV113" s="346"/>
      <c r="AW113" s="346"/>
      <c r="AX113" s="346"/>
      <c r="AY113" s="346"/>
      <c r="AZ113" s="346"/>
      <c r="BA113" s="346"/>
      <c r="BB113" s="346"/>
      <c r="BC113" s="346"/>
      <c r="BD113" s="346"/>
      <c r="BE113" s="346"/>
      <c r="BF113" s="346"/>
      <c r="BG113" s="346"/>
      <c r="BH113" s="346"/>
      <c r="BI113" s="346"/>
      <c r="BJ113" s="346"/>
      <c r="BK113" s="346"/>
      <c r="BL113" s="346"/>
      <c r="BM113" s="346"/>
      <c r="BN113" s="346"/>
      <c r="BO113" s="346"/>
      <c r="BP113" s="346"/>
      <c r="BQ113" s="346"/>
      <c r="BR113" s="346"/>
      <c r="BS113" s="346"/>
      <c r="BT113" s="346"/>
      <c r="BU113" s="346"/>
      <c r="BV113" s="346"/>
      <c r="BW113" s="346"/>
      <c r="BX113" s="346"/>
      <c r="BY113" s="346"/>
      <c r="BZ113" s="346"/>
      <c r="CA113" s="346"/>
      <c r="CB113" s="346"/>
      <c r="CC113" s="346"/>
      <c r="CD113" s="346"/>
      <c r="CE113" s="346"/>
      <c r="CF113" s="346"/>
      <c r="CG113" s="346"/>
      <c r="CH113" s="346"/>
      <c r="CI113" s="346"/>
      <c r="CJ113" s="346"/>
      <c r="CK113" s="346"/>
      <c r="CL113" s="346"/>
      <c r="CM113" s="346"/>
      <c r="CN113" s="346"/>
      <c r="CO113" s="346"/>
      <c r="CP113" s="346"/>
      <c r="CQ113" s="346"/>
      <c r="CR113" s="346"/>
      <c r="CS113" s="346"/>
      <c r="CT113" s="346"/>
      <c r="CU113" s="346"/>
      <c r="CV113" s="346"/>
      <c r="CW113" s="346"/>
      <c r="CX113" s="346"/>
      <c r="CY113" s="346"/>
      <c r="CZ113" s="346"/>
      <c r="DA113" s="346"/>
      <c r="DB113" s="346"/>
      <c r="DC113" s="346"/>
      <c r="DD113" s="346"/>
      <c r="DE113" s="346"/>
      <c r="DF113" s="346"/>
      <c r="DG113" s="346"/>
      <c r="DH113" s="346"/>
      <c r="DI113" s="346"/>
      <c r="DJ113" s="346"/>
    </row>
    <row r="114" spans="1:114" x14ac:dyDescent="0.25">
      <c r="A114" s="120">
        <v>5</v>
      </c>
      <c r="B114" s="79" t="s">
        <v>50</v>
      </c>
      <c r="C114" s="80">
        <v>1500</v>
      </c>
      <c r="D114" s="81">
        <v>64.78</v>
      </c>
      <c r="E114" s="59">
        <v>0</v>
      </c>
      <c r="F114" s="59"/>
      <c r="G114" s="56">
        <f t="shared" si="27"/>
        <v>0</v>
      </c>
      <c r="H114" s="55"/>
      <c r="I114" s="56">
        <f t="shared" si="28"/>
        <v>0</v>
      </c>
      <c r="J114" s="56">
        <f t="shared" si="29"/>
        <v>0</v>
      </c>
      <c r="K114" s="57">
        <f t="shared" si="30"/>
        <v>0</v>
      </c>
      <c r="L114" s="297"/>
      <c r="M114" s="297"/>
      <c r="N114" s="314">
        <f t="shared" si="26"/>
        <v>780</v>
      </c>
      <c r="O114" s="310">
        <v>780</v>
      </c>
      <c r="P114" s="315"/>
      <c r="Q114" s="315"/>
      <c r="R114" s="315"/>
      <c r="S114" s="315"/>
      <c r="T114" s="55"/>
      <c r="U114" s="55"/>
      <c r="V114" s="55"/>
      <c r="W114" s="55"/>
      <c r="X114" s="55"/>
      <c r="Y114" s="55"/>
      <c r="Z114" s="55"/>
      <c r="AA114" s="55"/>
      <c r="AB114" s="55"/>
      <c r="AC114" s="55"/>
      <c r="AD114" s="55"/>
      <c r="AE114" s="55"/>
      <c r="AF114" s="55"/>
      <c r="AG114" s="55"/>
      <c r="AH114" s="55"/>
      <c r="AI114" s="55"/>
      <c r="AJ114" s="55"/>
      <c r="AK114" s="55"/>
      <c r="AL114" s="55"/>
      <c r="AM114" s="55"/>
      <c r="AN114" s="55"/>
      <c r="AO114" s="55"/>
      <c r="AP114" s="55"/>
      <c r="AQ114" s="55"/>
      <c r="AR114" s="55"/>
      <c r="AS114" s="55"/>
      <c r="AT114" s="55"/>
      <c r="AU114" s="55"/>
      <c r="AV114" s="55"/>
      <c r="AW114" s="55"/>
      <c r="AX114" s="55"/>
      <c r="AY114" s="55"/>
      <c r="AZ114" s="55"/>
      <c r="BA114" s="55"/>
      <c r="BB114" s="55"/>
      <c r="BC114" s="55"/>
      <c r="BD114" s="55"/>
      <c r="BE114" s="55"/>
      <c r="BF114" s="55"/>
      <c r="BG114" s="55"/>
      <c r="BH114" s="55"/>
      <c r="BI114" s="55"/>
      <c r="BJ114" s="55"/>
      <c r="BK114" s="55"/>
      <c r="BL114" s="55"/>
      <c r="BM114" s="55"/>
      <c r="BN114" s="55"/>
      <c r="BO114" s="55"/>
      <c r="BP114" s="55"/>
      <c r="BQ114" s="55"/>
      <c r="BR114" s="55"/>
      <c r="BS114" s="55"/>
      <c r="BT114" s="55"/>
      <c r="BU114" s="55"/>
      <c r="BV114" s="55"/>
      <c r="BW114" s="55"/>
      <c r="BX114" s="55"/>
      <c r="BY114" s="55"/>
      <c r="BZ114" s="55"/>
      <c r="CA114" s="55"/>
      <c r="CB114" s="55"/>
      <c r="CC114" s="55"/>
      <c r="CD114" s="55"/>
      <c r="CE114" s="55"/>
      <c r="CF114" s="55"/>
      <c r="CG114" s="55"/>
      <c r="CH114" s="55"/>
      <c r="CI114" s="55"/>
      <c r="CJ114" s="55"/>
      <c r="CK114" s="55"/>
      <c r="CL114" s="55"/>
      <c r="CM114" s="55"/>
      <c r="CN114" s="55"/>
      <c r="CO114" s="55"/>
      <c r="CP114" s="55"/>
      <c r="CQ114" s="55"/>
      <c r="CR114" s="55"/>
      <c r="CS114" s="55"/>
      <c r="CT114" s="55"/>
      <c r="CU114" s="55"/>
      <c r="CV114" s="55"/>
      <c r="CW114" s="55"/>
      <c r="CX114" s="55"/>
      <c r="CY114" s="55"/>
      <c r="CZ114" s="55"/>
      <c r="DA114" s="55"/>
      <c r="DB114" s="55"/>
      <c r="DC114" s="55"/>
      <c r="DD114" s="55"/>
      <c r="DE114" s="55"/>
      <c r="DF114" s="55"/>
      <c r="DG114" s="55"/>
      <c r="DH114" s="55"/>
      <c r="DI114" s="55"/>
      <c r="DJ114" s="55"/>
    </row>
    <row r="115" spans="1:114" x14ac:dyDescent="0.25">
      <c r="A115" s="339"/>
      <c r="B115" s="340"/>
      <c r="C115" s="341"/>
      <c r="D115" s="342"/>
      <c r="E115" s="343"/>
      <c r="F115" s="343"/>
      <c r="G115" s="345"/>
      <c r="H115" s="346"/>
      <c r="I115" s="345"/>
      <c r="J115" s="345"/>
      <c r="K115" s="347"/>
      <c r="L115" s="297"/>
      <c r="M115" s="297"/>
      <c r="N115" s="348"/>
      <c r="O115" s="310" t="s">
        <v>1009</v>
      </c>
      <c r="P115" s="349"/>
      <c r="Q115" s="349"/>
      <c r="R115" s="349"/>
      <c r="S115" s="349"/>
      <c r="T115" s="346"/>
      <c r="U115" s="346"/>
      <c r="V115" s="346"/>
      <c r="W115" s="346"/>
      <c r="X115" s="346"/>
      <c r="Y115" s="346"/>
      <c r="Z115" s="346"/>
      <c r="AA115" s="346"/>
      <c r="AB115" s="346"/>
      <c r="AC115" s="346"/>
      <c r="AD115" s="346"/>
      <c r="AE115" s="346"/>
      <c r="AF115" s="346"/>
      <c r="AG115" s="346"/>
      <c r="AH115" s="346"/>
      <c r="AI115" s="346"/>
      <c r="AJ115" s="346"/>
      <c r="AK115" s="346"/>
      <c r="AL115" s="346"/>
      <c r="AM115" s="346"/>
      <c r="AN115" s="346"/>
      <c r="AO115" s="346"/>
      <c r="AP115" s="346"/>
      <c r="AQ115" s="346"/>
      <c r="AR115" s="346"/>
      <c r="AS115" s="346"/>
      <c r="AT115" s="346"/>
      <c r="AU115" s="346"/>
      <c r="AV115" s="346"/>
      <c r="AW115" s="346"/>
      <c r="AX115" s="346"/>
      <c r="AY115" s="346"/>
      <c r="AZ115" s="346"/>
      <c r="BA115" s="346"/>
      <c r="BB115" s="346"/>
      <c r="BC115" s="346"/>
      <c r="BD115" s="346"/>
      <c r="BE115" s="346"/>
      <c r="BF115" s="346"/>
      <c r="BG115" s="346"/>
      <c r="BH115" s="346"/>
      <c r="BI115" s="346"/>
      <c r="BJ115" s="346"/>
      <c r="BK115" s="346"/>
      <c r="BL115" s="346"/>
      <c r="BM115" s="346"/>
      <c r="BN115" s="346"/>
      <c r="BO115" s="346"/>
      <c r="BP115" s="346"/>
      <c r="BQ115" s="346"/>
      <c r="BR115" s="346"/>
      <c r="BS115" s="346"/>
      <c r="BT115" s="346"/>
      <c r="BU115" s="346"/>
      <c r="BV115" s="346"/>
      <c r="BW115" s="346"/>
      <c r="BX115" s="346"/>
      <c r="BY115" s="346"/>
      <c r="BZ115" s="346"/>
      <c r="CA115" s="346"/>
      <c r="CB115" s="346"/>
      <c r="CC115" s="346"/>
      <c r="CD115" s="346"/>
      <c r="CE115" s="346"/>
      <c r="CF115" s="346"/>
      <c r="CG115" s="346"/>
      <c r="CH115" s="346"/>
      <c r="CI115" s="346"/>
      <c r="CJ115" s="346"/>
      <c r="CK115" s="346"/>
      <c r="CL115" s="346"/>
      <c r="CM115" s="346"/>
      <c r="CN115" s="346"/>
      <c r="CO115" s="346"/>
      <c r="CP115" s="346"/>
      <c r="CQ115" s="346"/>
      <c r="CR115" s="346"/>
      <c r="CS115" s="346"/>
      <c r="CT115" s="346"/>
      <c r="CU115" s="346"/>
      <c r="CV115" s="346"/>
      <c r="CW115" s="346"/>
      <c r="CX115" s="346"/>
      <c r="CY115" s="346"/>
      <c r="CZ115" s="346"/>
      <c r="DA115" s="346"/>
      <c r="DB115" s="346"/>
      <c r="DC115" s="346"/>
      <c r="DD115" s="346"/>
      <c r="DE115" s="346"/>
      <c r="DF115" s="346"/>
      <c r="DG115" s="346"/>
      <c r="DH115" s="346"/>
      <c r="DI115" s="346"/>
      <c r="DJ115" s="346"/>
    </row>
    <row r="116" spans="1:114" x14ac:dyDescent="0.25">
      <c r="A116" s="120">
        <v>6</v>
      </c>
      <c r="B116" s="79" t="s">
        <v>64</v>
      </c>
      <c r="C116" s="80">
        <v>1500</v>
      </c>
      <c r="D116" s="81">
        <v>64.78</v>
      </c>
      <c r="E116" s="59">
        <v>0</v>
      </c>
      <c r="F116" s="59"/>
      <c r="G116" s="56">
        <f t="shared" si="27"/>
        <v>0</v>
      </c>
      <c r="H116" s="55"/>
      <c r="I116" s="56">
        <f t="shared" si="28"/>
        <v>0</v>
      </c>
      <c r="J116" s="56">
        <f t="shared" si="29"/>
        <v>0</v>
      </c>
      <c r="K116" s="57">
        <f t="shared" si="30"/>
        <v>0</v>
      </c>
      <c r="L116" s="297"/>
      <c r="M116" s="297"/>
      <c r="N116" s="314">
        <f t="shared" si="26"/>
        <v>190</v>
      </c>
      <c r="O116" s="310">
        <v>190</v>
      </c>
      <c r="P116" s="315"/>
      <c r="Q116" s="315"/>
      <c r="R116" s="315"/>
      <c r="S116" s="315"/>
      <c r="T116" s="55"/>
      <c r="U116" s="55"/>
      <c r="V116" s="55"/>
      <c r="W116" s="55"/>
      <c r="X116" s="55"/>
      <c r="Y116" s="55"/>
      <c r="Z116" s="55"/>
      <c r="AA116" s="55"/>
      <c r="AB116" s="55"/>
      <c r="AC116" s="55"/>
      <c r="AD116" s="55"/>
      <c r="AE116" s="55"/>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55"/>
      <c r="BB116" s="55"/>
      <c r="BC116" s="55"/>
      <c r="BD116" s="55"/>
      <c r="BE116" s="55"/>
      <c r="BF116" s="55"/>
      <c r="BG116" s="55"/>
      <c r="BH116" s="55"/>
      <c r="BI116" s="55"/>
      <c r="BJ116" s="55"/>
      <c r="BK116" s="55"/>
      <c r="BL116" s="55"/>
      <c r="BM116" s="55"/>
      <c r="BN116" s="55"/>
      <c r="BO116" s="55"/>
      <c r="BP116" s="55"/>
      <c r="BQ116" s="55"/>
      <c r="BR116" s="55"/>
      <c r="BS116" s="55"/>
      <c r="BT116" s="55"/>
      <c r="BU116" s="55"/>
      <c r="BV116" s="55"/>
      <c r="BW116" s="55"/>
      <c r="BX116" s="55"/>
      <c r="BY116" s="55"/>
      <c r="BZ116" s="55"/>
      <c r="CA116" s="55"/>
      <c r="CB116" s="55"/>
      <c r="CC116" s="55"/>
      <c r="CD116" s="55"/>
      <c r="CE116" s="55"/>
      <c r="CF116" s="55"/>
      <c r="CG116" s="55"/>
      <c r="CH116" s="55"/>
      <c r="CI116" s="55"/>
      <c r="CJ116" s="55"/>
      <c r="CK116" s="55"/>
      <c r="CL116" s="55"/>
      <c r="CM116" s="55"/>
      <c r="CN116" s="55"/>
      <c r="CO116" s="55"/>
      <c r="CP116" s="55"/>
      <c r="CQ116" s="55"/>
      <c r="CR116" s="55"/>
      <c r="CS116" s="55"/>
      <c r="CT116" s="55"/>
      <c r="CU116" s="55"/>
      <c r="CV116" s="55"/>
      <c r="CW116" s="55"/>
      <c r="CX116" s="55"/>
      <c r="CY116" s="55"/>
      <c r="CZ116" s="55"/>
      <c r="DA116" s="55"/>
      <c r="DB116" s="55"/>
      <c r="DC116" s="55"/>
      <c r="DD116" s="55"/>
      <c r="DE116" s="55"/>
      <c r="DF116" s="55"/>
      <c r="DG116" s="55"/>
      <c r="DH116" s="55"/>
      <c r="DI116" s="55"/>
      <c r="DJ116" s="55"/>
    </row>
    <row r="117" spans="1:114" x14ac:dyDescent="0.25">
      <c r="A117" s="339"/>
      <c r="B117" s="340"/>
      <c r="C117" s="341"/>
      <c r="D117" s="342"/>
      <c r="E117" s="343"/>
      <c r="F117" s="343"/>
      <c r="G117" s="345"/>
      <c r="H117" s="346"/>
      <c r="I117" s="345"/>
      <c r="J117" s="345"/>
      <c r="K117" s="347"/>
      <c r="L117" s="297"/>
      <c r="M117" s="297"/>
      <c r="N117" s="348"/>
      <c r="O117" s="310" t="s">
        <v>1009</v>
      </c>
      <c r="P117" s="349"/>
      <c r="Q117" s="349"/>
      <c r="R117" s="349"/>
      <c r="S117" s="349"/>
      <c r="T117" s="346"/>
      <c r="U117" s="346"/>
      <c r="V117" s="346"/>
      <c r="W117" s="346"/>
      <c r="X117" s="346"/>
      <c r="Y117" s="346"/>
      <c r="Z117" s="346"/>
      <c r="AA117" s="346"/>
      <c r="AB117" s="346"/>
      <c r="AC117" s="346"/>
      <c r="AD117" s="346"/>
      <c r="AE117" s="346"/>
      <c r="AF117" s="346"/>
      <c r="AG117" s="346"/>
      <c r="AH117" s="346"/>
      <c r="AI117" s="346"/>
      <c r="AJ117" s="346"/>
      <c r="AK117" s="346"/>
      <c r="AL117" s="346"/>
      <c r="AM117" s="346"/>
      <c r="AN117" s="346"/>
      <c r="AO117" s="346"/>
      <c r="AP117" s="346"/>
      <c r="AQ117" s="346"/>
      <c r="AR117" s="346"/>
      <c r="AS117" s="346"/>
      <c r="AT117" s="346"/>
      <c r="AU117" s="346"/>
      <c r="AV117" s="346"/>
      <c r="AW117" s="346"/>
      <c r="AX117" s="346"/>
      <c r="AY117" s="346"/>
      <c r="AZ117" s="346"/>
      <c r="BA117" s="346"/>
      <c r="BB117" s="346"/>
      <c r="BC117" s="346"/>
      <c r="BD117" s="346"/>
      <c r="BE117" s="346"/>
      <c r="BF117" s="346"/>
      <c r="BG117" s="346"/>
      <c r="BH117" s="346"/>
      <c r="BI117" s="346"/>
      <c r="BJ117" s="346"/>
      <c r="BK117" s="346"/>
      <c r="BL117" s="346"/>
      <c r="BM117" s="346"/>
      <c r="BN117" s="346"/>
      <c r="BO117" s="346"/>
      <c r="BP117" s="346"/>
      <c r="BQ117" s="346"/>
      <c r="BR117" s="346"/>
      <c r="BS117" s="346"/>
      <c r="BT117" s="346"/>
      <c r="BU117" s="346"/>
      <c r="BV117" s="346"/>
      <c r="BW117" s="346"/>
      <c r="BX117" s="346"/>
      <c r="BY117" s="346"/>
      <c r="BZ117" s="346"/>
      <c r="CA117" s="346"/>
      <c r="CB117" s="346"/>
      <c r="CC117" s="346"/>
      <c r="CD117" s="346"/>
      <c r="CE117" s="346"/>
      <c r="CF117" s="346"/>
      <c r="CG117" s="346"/>
      <c r="CH117" s="346"/>
      <c r="CI117" s="346"/>
      <c r="CJ117" s="346"/>
      <c r="CK117" s="346"/>
      <c r="CL117" s="346"/>
      <c r="CM117" s="346"/>
      <c r="CN117" s="346"/>
      <c r="CO117" s="346"/>
      <c r="CP117" s="346"/>
      <c r="CQ117" s="346"/>
      <c r="CR117" s="346"/>
      <c r="CS117" s="346"/>
      <c r="CT117" s="346"/>
      <c r="CU117" s="346"/>
      <c r="CV117" s="346"/>
      <c r="CW117" s="346"/>
      <c r="CX117" s="346"/>
      <c r="CY117" s="346"/>
      <c r="CZ117" s="346"/>
      <c r="DA117" s="346"/>
      <c r="DB117" s="346"/>
      <c r="DC117" s="346"/>
      <c r="DD117" s="346"/>
      <c r="DE117" s="346"/>
      <c r="DF117" s="346"/>
      <c r="DG117" s="346"/>
      <c r="DH117" s="346"/>
      <c r="DI117" s="346"/>
      <c r="DJ117" s="346"/>
    </row>
    <row r="118" spans="1:114" x14ac:dyDescent="0.25">
      <c r="A118" s="120">
        <v>7</v>
      </c>
      <c r="B118" s="79" t="s">
        <v>51</v>
      </c>
      <c r="C118" s="80">
        <v>1500</v>
      </c>
      <c r="D118" s="81">
        <v>64.78</v>
      </c>
      <c r="E118" s="59">
        <v>0</v>
      </c>
      <c r="F118" s="59"/>
      <c r="G118" s="56">
        <f t="shared" si="27"/>
        <v>0</v>
      </c>
      <c r="H118" s="55"/>
      <c r="I118" s="56">
        <f t="shared" si="28"/>
        <v>0</v>
      </c>
      <c r="J118" s="56">
        <f t="shared" si="29"/>
        <v>0</v>
      </c>
      <c r="K118" s="57">
        <f t="shared" si="30"/>
        <v>0</v>
      </c>
      <c r="L118" s="297"/>
      <c r="M118" s="297"/>
      <c r="N118" s="314">
        <f t="shared" si="26"/>
        <v>760</v>
      </c>
      <c r="O118" s="310">
        <v>760</v>
      </c>
      <c r="P118" s="315"/>
      <c r="Q118" s="315"/>
      <c r="R118" s="315"/>
      <c r="S118" s="315"/>
      <c r="T118" s="55"/>
      <c r="U118" s="55"/>
      <c r="V118" s="55"/>
      <c r="W118" s="55"/>
      <c r="X118" s="55"/>
      <c r="Y118" s="55"/>
      <c r="Z118" s="55"/>
      <c r="AA118" s="55"/>
      <c r="AB118" s="55"/>
      <c r="AC118" s="55"/>
      <c r="AD118" s="55"/>
      <c r="AE118" s="55"/>
      <c r="AF118" s="55"/>
      <c r="AG118" s="55"/>
      <c r="AH118" s="55"/>
      <c r="AI118" s="55"/>
      <c r="AJ118" s="55"/>
      <c r="AK118" s="55"/>
      <c r="AL118" s="55"/>
      <c r="AM118" s="55"/>
      <c r="AN118" s="55"/>
      <c r="AO118" s="55"/>
      <c r="AP118" s="55"/>
      <c r="AQ118" s="55"/>
      <c r="AR118" s="55"/>
      <c r="AS118" s="55"/>
      <c r="AT118" s="55"/>
      <c r="AU118" s="55"/>
      <c r="AV118" s="55"/>
      <c r="AW118" s="55"/>
      <c r="AX118" s="55"/>
      <c r="AY118" s="55"/>
      <c r="AZ118" s="55"/>
      <c r="BA118" s="55"/>
      <c r="BB118" s="55"/>
      <c r="BC118" s="55"/>
      <c r="BD118" s="55"/>
      <c r="BE118" s="55"/>
      <c r="BF118" s="55"/>
      <c r="BG118" s="55"/>
      <c r="BH118" s="55"/>
      <c r="BI118" s="55"/>
      <c r="BJ118" s="55"/>
      <c r="BK118" s="55"/>
      <c r="BL118" s="55"/>
      <c r="BM118" s="55"/>
      <c r="BN118" s="55"/>
      <c r="BO118" s="55"/>
      <c r="BP118" s="55"/>
      <c r="BQ118" s="55"/>
      <c r="BR118" s="55"/>
      <c r="BS118" s="55"/>
      <c r="BT118" s="55"/>
      <c r="BU118" s="55"/>
      <c r="BV118" s="55"/>
      <c r="BW118" s="55"/>
      <c r="BX118" s="55"/>
      <c r="BY118" s="55"/>
      <c r="BZ118" s="55"/>
      <c r="CA118" s="55"/>
      <c r="CB118" s="55"/>
      <c r="CC118" s="55"/>
      <c r="CD118" s="55"/>
      <c r="CE118" s="55"/>
      <c r="CF118" s="55"/>
      <c r="CG118" s="55"/>
      <c r="CH118" s="55"/>
      <c r="CI118" s="55"/>
      <c r="CJ118" s="55"/>
      <c r="CK118" s="55"/>
      <c r="CL118" s="55"/>
      <c r="CM118" s="55"/>
      <c r="CN118" s="55"/>
      <c r="CO118" s="55"/>
      <c r="CP118" s="55"/>
      <c r="CQ118" s="55"/>
      <c r="CR118" s="55"/>
      <c r="CS118" s="55"/>
      <c r="CT118" s="55"/>
      <c r="CU118" s="55"/>
      <c r="CV118" s="55"/>
      <c r="CW118" s="55"/>
      <c r="CX118" s="55"/>
      <c r="CY118" s="55"/>
      <c r="CZ118" s="55"/>
      <c r="DA118" s="55"/>
      <c r="DB118" s="55"/>
      <c r="DC118" s="55"/>
      <c r="DD118" s="55"/>
      <c r="DE118" s="55"/>
      <c r="DF118" s="55"/>
      <c r="DG118" s="55"/>
      <c r="DH118" s="55"/>
      <c r="DI118" s="55"/>
      <c r="DJ118" s="55"/>
    </row>
    <row r="119" spans="1:114" x14ac:dyDescent="0.25">
      <c r="A119" s="339"/>
      <c r="B119" s="340"/>
      <c r="C119" s="341"/>
      <c r="D119" s="342"/>
      <c r="E119" s="343"/>
      <c r="F119" s="343"/>
      <c r="G119" s="345"/>
      <c r="H119" s="346"/>
      <c r="I119" s="345"/>
      <c r="J119" s="345"/>
      <c r="K119" s="347"/>
      <c r="L119" s="297"/>
      <c r="M119" s="297"/>
      <c r="N119" s="348"/>
      <c r="O119" s="310" t="s">
        <v>1009</v>
      </c>
      <c r="P119" s="349"/>
      <c r="Q119" s="349"/>
      <c r="R119" s="349"/>
      <c r="S119" s="349"/>
      <c r="T119" s="346"/>
      <c r="U119" s="346"/>
      <c r="V119" s="346"/>
      <c r="W119" s="346"/>
      <c r="X119" s="346"/>
      <c r="Y119" s="346"/>
      <c r="Z119" s="346"/>
      <c r="AA119" s="346"/>
      <c r="AB119" s="346"/>
      <c r="AC119" s="346"/>
      <c r="AD119" s="346"/>
      <c r="AE119" s="346"/>
      <c r="AF119" s="346"/>
      <c r="AG119" s="346"/>
      <c r="AH119" s="346"/>
      <c r="AI119" s="346"/>
      <c r="AJ119" s="346"/>
      <c r="AK119" s="346"/>
      <c r="AL119" s="346"/>
      <c r="AM119" s="346"/>
      <c r="AN119" s="346"/>
      <c r="AO119" s="346"/>
      <c r="AP119" s="346"/>
      <c r="AQ119" s="346"/>
      <c r="AR119" s="346"/>
      <c r="AS119" s="346"/>
      <c r="AT119" s="346"/>
      <c r="AU119" s="346"/>
      <c r="AV119" s="346"/>
      <c r="AW119" s="346"/>
      <c r="AX119" s="346"/>
      <c r="AY119" s="346"/>
      <c r="AZ119" s="346"/>
      <c r="BA119" s="346"/>
      <c r="BB119" s="346"/>
      <c r="BC119" s="346"/>
      <c r="BD119" s="346"/>
      <c r="BE119" s="346"/>
      <c r="BF119" s="346"/>
      <c r="BG119" s="346"/>
      <c r="BH119" s="346"/>
      <c r="BI119" s="346"/>
      <c r="BJ119" s="346"/>
      <c r="BK119" s="346"/>
      <c r="BL119" s="346"/>
      <c r="BM119" s="346"/>
      <c r="BN119" s="346"/>
      <c r="BO119" s="346"/>
      <c r="BP119" s="346"/>
      <c r="BQ119" s="346"/>
      <c r="BR119" s="346"/>
      <c r="BS119" s="346"/>
      <c r="BT119" s="346"/>
      <c r="BU119" s="346"/>
      <c r="BV119" s="346"/>
      <c r="BW119" s="346"/>
      <c r="BX119" s="346"/>
      <c r="BY119" s="346"/>
      <c r="BZ119" s="346"/>
      <c r="CA119" s="346"/>
      <c r="CB119" s="346"/>
      <c r="CC119" s="346"/>
      <c r="CD119" s="346"/>
      <c r="CE119" s="346"/>
      <c r="CF119" s="346"/>
      <c r="CG119" s="346"/>
      <c r="CH119" s="346"/>
      <c r="CI119" s="346"/>
      <c r="CJ119" s="346"/>
      <c r="CK119" s="346"/>
      <c r="CL119" s="346"/>
      <c r="CM119" s="346"/>
      <c r="CN119" s="346"/>
      <c r="CO119" s="346"/>
      <c r="CP119" s="346"/>
      <c r="CQ119" s="346"/>
      <c r="CR119" s="346"/>
      <c r="CS119" s="346"/>
      <c r="CT119" s="346"/>
      <c r="CU119" s="346"/>
      <c r="CV119" s="346"/>
      <c r="CW119" s="346"/>
      <c r="CX119" s="346"/>
      <c r="CY119" s="346"/>
      <c r="CZ119" s="346"/>
      <c r="DA119" s="346"/>
      <c r="DB119" s="346"/>
      <c r="DC119" s="346"/>
      <c r="DD119" s="346"/>
      <c r="DE119" s="346"/>
      <c r="DF119" s="346"/>
      <c r="DG119" s="346"/>
      <c r="DH119" s="346"/>
      <c r="DI119" s="346"/>
      <c r="DJ119" s="346"/>
    </row>
    <row r="120" spans="1:114" x14ac:dyDescent="0.25">
      <c r="A120" s="120">
        <v>8</v>
      </c>
      <c r="B120" s="79" t="s">
        <v>65</v>
      </c>
      <c r="C120" s="80">
        <v>2500</v>
      </c>
      <c r="D120" s="81">
        <v>32.39</v>
      </c>
      <c r="E120" s="59">
        <v>0</v>
      </c>
      <c r="F120" s="59"/>
      <c r="G120" s="56">
        <f t="shared" si="27"/>
        <v>0</v>
      </c>
      <c r="H120" s="55">
        <f>12-12</f>
        <v>0</v>
      </c>
      <c r="I120" s="56">
        <f t="shared" si="28"/>
        <v>0</v>
      </c>
      <c r="J120" s="56">
        <f t="shared" si="29"/>
        <v>0</v>
      </c>
      <c r="K120" s="57">
        <f t="shared" si="30"/>
        <v>0</v>
      </c>
      <c r="L120" s="297"/>
      <c r="M120" s="297"/>
      <c r="N120" s="314">
        <f t="shared" si="26"/>
        <v>400</v>
      </c>
      <c r="O120" s="310">
        <v>400</v>
      </c>
      <c r="P120" s="315"/>
      <c r="Q120" s="315"/>
      <c r="R120" s="315"/>
      <c r="S120" s="315"/>
      <c r="T120" s="55"/>
      <c r="U120" s="55"/>
      <c r="V120" s="55"/>
      <c r="W120" s="55"/>
      <c r="X120" s="55"/>
      <c r="Y120" s="55"/>
      <c r="Z120" s="55"/>
      <c r="AA120" s="55"/>
      <c r="AB120" s="55"/>
      <c r="AC120" s="55"/>
      <c r="AD120" s="55"/>
      <c r="AE120" s="55"/>
      <c r="AF120" s="55"/>
      <c r="AG120" s="55"/>
      <c r="AH120" s="55"/>
      <c r="AI120" s="55"/>
      <c r="AJ120" s="55"/>
      <c r="AK120" s="55"/>
      <c r="AL120" s="55"/>
      <c r="AM120" s="55"/>
      <c r="AN120" s="55"/>
      <c r="AO120" s="55"/>
      <c r="AP120" s="55"/>
      <c r="AQ120" s="55"/>
      <c r="AR120" s="55"/>
      <c r="AS120" s="55"/>
      <c r="AT120" s="55"/>
      <c r="AU120" s="55"/>
      <c r="AV120" s="55"/>
      <c r="AW120" s="55"/>
      <c r="AX120" s="55"/>
      <c r="AY120" s="55"/>
      <c r="AZ120" s="55"/>
      <c r="BA120" s="55"/>
      <c r="BB120" s="55"/>
      <c r="BC120" s="55"/>
      <c r="BD120" s="55"/>
      <c r="BE120" s="55"/>
      <c r="BF120" s="55"/>
      <c r="BG120" s="55"/>
      <c r="BH120" s="55"/>
      <c r="BI120" s="55"/>
      <c r="BJ120" s="55"/>
      <c r="BK120" s="55"/>
      <c r="BL120" s="55"/>
      <c r="BM120" s="55"/>
      <c r="BN120" s="55"/>
      <c r="BO120" s="55"/>
      <c r="BP120" s="55"/>
      <c r="BQ120" s="55"/>
      <c r="BR120" s="55"/>
      <c r="BS120" s="55"/>
      <c r="BT120" s="55"/>
      <c r="BU120" s="55"/>
      <c r="BV120" s="55"/>
      <c r="BW120" s="55"/>
      <c r="BX120" s="55"/>
      <c r="BY120" s="55"/>
      <c r="BZ120" s="55"/>
      <c r="CA120" s="55"/>
      <c r="CB120" s="55"/>
      <c r="CC120" s="55"/>
      <c r="CD120" s="55"/>
      <c r="CE120" s="55"/>
      <c r="CF120" s="55"/>
      <c r="CG120" s="55"/>
      <c r="CH120" s="55"/>
      <c r="CI120" s="55"/>
      <c r="CJ120" s="55"/>
      <c r="CK120" s="55"/>
      <c r="CL120" s="55"/>
      <c r="CM120" s="55"/>
      <c r="CN120" s="55"/>
      <c r="CO120" s="55"/>
      <c r="CP120" s="55"/>
      <c r="CQ120" s="55"/>
      <c r="CR120" s="55"/>
      <c r="CS120" s="55"/>
      <c r="CT120" s="55"/>
      <c r="CU120" s="55"/>
      <c r="CV120" s="55"/>
      <c r="CW120" s="55"/>
      <c r="CX120" s="55"/>
      <c r="CY120" s="55"/>
      <c r="CZ120" s="55"/>
      <c r="DA120" s="55"/>
      <c r="DB120" s="55"/>
      <c r="DC120" s="55"/>
      <c r="DD120" s="55"/>
      <c r="DE120" s="55"/>
      <c r="DF120" s="55"/>
      <c r="DG120" s="55"/>
      <c r="DH120" s="55"/>
      <c r="DI120" s="55"/>
      <c r="DJ120" s="55"/>
    </row>
    <row r="121" spans="1:114" x14ac:dyDescent="0.25">
      <c r="A121" s="120">
        <v>9</v>
      </c>
      <c r="B121" s="79" t="s">
        <v>66</v>
      </c>
      <c r="C121" s="80">
        <v>15000</v>
      </c>
      <c r="D121" s="81">
        <v>194.34</v>
      </c>
      <c r="E121" s="59">
        <v>0</v>
      </c>
      <c r="F121" s="59"/>
      <c r="G121" s="56">
        <f t="shared" si="27"/>
        <v>0</v>
      </c>
      <c r="H121" s="55"/>
      <c r="I121" s="56">
        <f t="shared" si="28"/>
        <v>0</v>
      </c>
      <c r="J121" s="56">
        <f t="shared" si="29"/>
        <v>0</v>
      </c>
      <c r="K121" s="57">
        <f t="shared" si="30"/>
        <v>0</v>
      </c>
      <c r="L121" s="297"/>
      <c r="M121" s="297"/>
      <c r="N121" s="314">
        <f t="shared" si="26"/>
        <v>0</v>
      </c>
      <c r="O121" s="310"/>
      <c r="P121" s="315"/>
      <c r="Q121" s="315"/>
      <c r="R121" s="315"/>
      <c r="S121" s="315"/>
      <c r="T121" s="55"/>
      <c r="U121" s="55"/>
      <c r="V121" s="55"/>
      <c r="W121" s="55"/>
      <c r="X121" s="55"/>
      <c r="Y121" s="55"/>
      <c r="Z121" s="55"/>
      <c r="AA121" s="55"/>
      <c r="AB121" s="55"/>
      <c r="AC121" s="55"/>
      <c r="AD121" s="55"/>
      <c r="AE121" s="55"/>
      <c r="AF121" s="55"/>
      <c r="AG121" s="55"/>
      <c r="AH121" s="55"/>
      <c r="AI121" s="55"/>
      <c r="AJ121" s="55"/>
      <c r="AK121" s="55"/>
      <c r="AL121" s="55"/>
      <c r="AM121" s="55"/>
      <c r="AN121" s="55"/>
      <c r="AO121" s="55"/>
      <c r="AP121" s="55"/>
      <c r="AQ121" s="55"/>
      <c r="AR121" s="55"/>
      <c r="AS121" s="55"/>
      <c r="AT121" s="55"/>
      <c r="AU121" s="55"/>
      <c r="AV121" s="55"/>
      <c r="AW121" s="55"/>
      <c r="AX121" s="55"/>
      <c r="AY121" s="55"/>
      <c r="AZ121" s="55"/>
      <c r="BA121" s="55"/>
      <c r="BB121" s="55"/>
      <c r="BC121" s="55"/>
      <c r="BD121" s="55"/>
      <c r="BE121" s="55"/>
      <c r="BF121" s="55"/>
      <c r="BG121" s="55"/>
      <c r="BH121" s="55"/>
      <c r="BI121" s="55"/>
      <c r="BJ121" s="55"/>
      <c r="BK121" s="55"/>
      <c r="BL121" s="55"/>
      <c r="BM121" s="55"/>
      <c r="BN121" s="55"/>
      <c r="BO121" s="55"/>
      <c r="BP121" s="55"/>
      <c r="BQ121" s="55"/>
      <c r="BR121" s="55"/>
      <c r="BS121" s="55"/>
      <c r="BT121" s="55"/>
      <c r="BU121" s="55"/>
      <c r="BV121" s="55"/>
      <c r="BW121" s="55"/>
      <c r="BX121" s="55"/>
      <c r="BY121" s="55"/>
      <c r="BZ121" s="55"/>
      <c r="CA121" s="55"/>
      <c r="CB121" s="55"/>
      <c r="CC121" s="55"/>
      <c r="CD121" s="55"/>
      <c r="CE121" s="55"/>
      <c r="CF121" s="55"/>
      <c r="CG121" s="55"/>
      <c r="CH121" s="55"/>
      <c r="CI121" s="55"/>
      <c r="CJ121" s="55"/>
      <c r="CK121" s="55"/>
      <c r="CL121" s="55"/>
      <c r="CM121" s="55"/>
      <c r="CN121" s="55"/>
      <c r="CO121" s="55"/>
      <c r="CP121" s="55"/>
      <c r="CQ121" s="55"/>
      <c r="CR121" s="55"/>
      <c r="CS121" s="55"/>
      <c r="CT121" s="55"/>
      <c r="CU121" s="55"/>
      <c r="CV121" s="55"/>
      <c r="CW121" s="55"/>
      <c r="CX121" s="55"/>
      <c r="CY121" s="55"/>
      <c r="CZ121" s="55"/>
      <c r="DA121" s="55"/>
      <c r="DB121" s="55"/>
      <c r="DC121" s="55"/>
      <c r="DD121" s="55"/>
      <c r="DE121" s="55"/>
      <c r="DF121" s="55"/>
      <c r="DG121" s="55"/>
      <c r="DH121" s="55"/>
      <c r="DI121" s="55"/>
      <c r="DJ121" s="55"/>
    </row>
    <row r="122" spans="1:114" x14ac:dyDescent="0.25">
      <c r="A122" s="339"/>
      <c r="B122" s="340"/>
      <c r="C122" s="341"/>
      <c r="D122" s="342"/>
      <c r="E122" s="343"/>
      <c r="F122" s="343"/>
      <c r="G122" s="345"/>
      <c r="H122" s="346"/>
      <c r="I122" s="345"/>
      <c r="J122" s="345"/>
      <c r="K122" s="347"/>
      <c r="L122" s="297"/>
      <c r="M122" s="297"/>
      <c r="N122" s="348"/>
      <c r="O122" s="310"/>
      <c r="P122" s="349"/>
      <c r="Q122" s="349"/>
      <c r="R122" s="349"/>
      <c r="S122" s="349"/>
      <c r="T122" s="346"/>
      <c r="U122" s="346"/>
      <c r="V122" s="346"/>
      <c r="W122" s="346"/>
      <c r="X122" s="346"/>
      <c r="Y122" s="346"/>
      <c r="Z122" s="346"/>
      <c r="AA122" s="346"/>
      <c r="AB122" s="346"/>
      <c r="AC122" s="346"/>
      <c r="AD122" s="346"/>
      <c r="AE122" s="346"/>
      <c r="AF122" s="346"/>
      <c r="AG122" s="346"/>
      <c r="AH122" s="346"/>
      <c r="AI122" s="346"/>
      <c r="AJ122" s="346"/>
      <c r="AK122" s="346"/>
      <c r="AL122" s="346"/>
      <c r="AM122" s="346"/>
      <c r="AN122" s="346"/>
      <c r="AO122" s="346"/>
      <c r="AP122" s="346"/>
      <c r="AQ122" s="346"/>
      <c r="AR122" s="346"/>
      <c r="AS122" s="346"/>
      <c r="AT122" s="346"/>
      <c r="AU122" s="346"/>
      <c r="AV122" s="346"/>
      <c r="AW122" s="346"/>
      <c r="AX122" s="346"/>
      <c r="AY122" s="346"/>
      <c r="AZ122" s="346"/>
      <c r="BA122" s="346"/>
      <c r="BB122" s="346"/>
      <c r="BC122" s="346"/>
      <c r="BD122" s="346"/>
      <c r="BE122" s="346"/>
      <c r="BF122" s="346"/>
      <c r="BG122" s="346"/>
      <c r="BH122" s="346"/>
      <c r="BI122" s="346"/>
      <c r="BJ122" s="346"/>
      <c r="BK122" s="346"/>
      <c r="BL122" s="346"/>
      <c r="BM122" s="346"/>
      <c r="BN122" s="346"/>
      <c r="BO122" s="346"/>
      <c r="BP122" s="346"/>
      <c r="BQ122" s="346"/>
      <c r="BR122" s="346"/>
      <c r="BS122" s="346"/>
      <c r="BT122" s="346"/>
      <c r="BU122" s="346"/>
      <c r="BV122" s="346"/>
      <c r="BW122" s="346"/>
      <c r="BX122" s="346"/>
      <c r="BY122" s="346"/>
      <c r="BZ122" s="346"/>
      <c r="CA122" s="346"/>
      <c r="CB122" s="346"/>
      <c r="CC122" s="346"/>
      <c r="CD122" s="346"/>
      <c r="CE122" s="346"/>
      <c r="CF122" s="346"/>
      <c r="CG122" s="346"/>
      <c r="CH122" s="346"/>
      <c r="CI122" s="346"/>
      <c r="CJ122" s="346"/>
      <c r="CK122" s="346"/>
      <c r="CL122" s="346"/>
      <c r="CM122" s="346"/>
      <c r="CN122" s="346"/>
      <c r="CO122" s="346"/>
      <c r="CP122" s="346"/>
      <c r="CQ122" s="346"/>
      <c r="CR122" s="346"/>
      <c r="CS122" s="346"/>
      <c r="CT122" s="346"/>
      <c r="CU122" s="346"/>
      <c r="CV122" s="346"/>
      <c r="CW122" s="346"/>
      <c r="CX122" s="346"/>
      <c r="CY122" s="346"/>
      <c r="CZ122" s="346"/>
      <c r="DA122" s="346"/>
      <c r="DB122" s="346"/>
      <c r="DC122" s="346"/>
      <c r="DD122" s="346"/>
      <c r="DE122" s="346"/>
      <c r="DF122" s="346"/>
      <c r="DG122" s="346"/>
      <c r="DH122" s="346"/>
      <c r="DI122" s="346"/>
      <c r="DJ122" s="346"/>
    </row>
    <row r="123" spans="1:114" x14ac:dyDescent="0.25">
      <c r="A123" s="120">
        <v>10</v>
      </c>
      <c r="B123" s="79" t="s">
        <v>67</v>
      </c>
      <c r="C123" s="80">
        <v>1500</v>
      </c>
      <c r="D123" s="81">
        <v>64.78</v>
      </c>
      <c r="E123" s="59">
        <v>0</v>
      </c>
      <c r="F123" s="59"/>
      <c r="G123" s="56">
        <f t="shared" si="27"/>
        <v>0</v>
      </c>
      <c r="H123" s="55"/>
      <c r="I123" s="56">
        <f t="shared" si="28"/>
        <v>0</v>
      </c>
      <c r="J123" s="56">
        <f t="shared" si="29"/>
        <v>0</v>
      </c>
      <c r="K123" s="57">
        <f t="shared" si="30"/>
        <v>0</v>
      </c>
      <c r="L123" s="297"/>
      <c r="M123" s="297"/>
      <c r="N123" s="314">
        <f t="shared" si="26"/>
        <v>0</v>
      </c>
      <c r="O123" s="310"/>
      <c r="P123" s="315"/>
      <c r="Q123" s="315"/>
      <c r="R123" s="315"/>
      <c r="S123" s="315"/>
      <c r="T123" s="55"/>
      <c r="U123" s="55"/>
      <c r="V123" s="55"/>
      <c r="W123" s="55"/>
      <c r="X123" s="55"/>
      <c r="Y123" s="55"/>
      <c r="Z123" s="55"/>
      <c r="AA123" s="55"/>
      <c r="AB123" s="55"/>
      <c r="AC123" s="55"/>
      <c r="AD123" s="55"/>
      <c r="AE123" s="55"/>
      <c r="AF123" s="55"/>
      <c r="AG123" s="55"/>
      <c r="AH123" s="55"/>
      <c r="AI123" s="55"/>
      <c r="AJ123" s="55"/>
      <c r="AK123" s="55"/>
      <c r="AL123" s="55"/>
      <c r="AM123" s="55"/>
      <c r="AN123" s="55"/>
      <c r="AO123" s="55"/>
      <c r="AP123" s="55"/>
      <c r="AQ123" s="55"/>
      <c r="AR123" s="55"/>
      <c r="AS123" s="55"/>
      <c r="AT123" s="55"/>
      <c r="AU123" s="55"/>
      <c r="AV123" s="55"/>
      <c r="AW123" s="55"/>
      <c r="AX123" s="55"/>
      <c r="AY123" s="55"/>
      <c r="AZ123" s="55"/>
      <c r="BA123" s="55"/>
      <c r="BB123" s="55"/>
      <c r="BC123" s="55"/>
      <c r="BD123" s="55"/>
      <c r="BE123" s="55"/>
      <c r="BF123" s="55"/>
      <c r="BG123" s="55"/>
      <c r="BH123" s="55"/>
      <c r="BI123" s="55"/>
      <c r="BJ123" s="55"/>
      <c r="BK123" s="55"/>
      <c r="BL123" s="55"/>
      <c r="BM123" s="55"/>
      <c r="BN123" s="55"/>
      <c r="BO123" s="55"/>
      <c r="BP123" s="55"/>
      <c r="BQ123" s="55"/>
      <c r="BR123" s="55"/>
      <c r="BS123" s="55"/>
      <c r="BT123" s="55"/>
      <c r="BU123" s="55"/>
      <c r="BV123" s="55"/>
      <c r="BW123" s="55"/>
      <c r="BX123" s="55"/>
      <c r="BY123" s="55"/>
      <c r="BZ123" s="55"/>
      <c r="CA123" s="55"/>
      <c r="CB123" s="55"/>
      <c r="CC123" s="55"/>
      <c r="CD123" s="55"/>
      <c r="CE123" s="55"/>
      <c r="CF123" s="55"/>
      <c r="CG123" s="55"/>
      <c r="CH123" s="55"/>
      <c r="CI123" s="55"/>
      <c r="CJ123" s="55"/>
      <c r="CK123" s="55"/>
      <c r="CL123" s="55"/>
      <c r="CM123" s="55"/>
      <c r="CN123" s="55"/>
      <c r="CO123" s="55"/>
      <c r="CP123" s="55"/>
      <c r="CQ123" s="55"/>
      <c r="CR123" s="55"/>
      <c r="CS123" s="55"/>
      <c r="CT123" s="55"/>
      <c r="CU123" s="55"/>
      <c r="CV123" s="55"/>
      <c r="CW123" s="55"/>
      <c r="CX123" s="55"/>
      <c r="CY123" s="55"/>
      <c r="CZ123" s="55"/>
      <c r="DA123" s="55"/>
      <c r="DB123" s="55"/>
      <c r="DC123" s="55"/>
      <c r="DD123" s="55"/>
      <c r="DE123" s="55"/>
      <c r="DF123" s="55"/>
      <c r="DG123" s="55"/>
      <c r="DH123" s="55"/>
      <c r="DI123" s="55"/>
      <c r="DJ123" s="55"/>
    </row>
    <row r="124" spans="1:114" x14ac:dyDescent="0.25">
      <c r="A124" s="339"/>
      <c r="B124" s="340"/>
      <c r="C124" s="341"/>
      <c r="D124" s="342"/>
      <c r="E124" s="343"/>
      <c r="F124" s="343"/>
      <c r="G124" s="345"/>
      <c r="H124" s="346"/>
      <c r="I124" s="345"/>
      <c r="J124" s="345"/>
      <c r="K124" s="347"/>
      <c r="L124" s="297"/>
      <c r="M124" s="297"/>
      <c r="N124" s="348"/>
      <c r="O124" s="310" t="s">
        <v>1009</v>
      </c>
      <c r="P124" s="349"/>
      <c r="Q124" s="349"/>
      <c r="R124" s="349"/>
      <c r="S124" s="349"/>
      <c r="T124" s="346"/>
      <c r="U124" s="346"/>
      <c r="V124" s="346"/>
      <c r="W124" s="346"/>
      <c r="X124" s="346"/>
      <c r="Y124" s="346"/>
      <c r="Z124" s="346"/>
      <c r="AA124" s="346"/>
      <c r="AB124" s="346"/>
      <c r="AC124" s="346"/>
      <c r="AD124" s="346"/>
      <c r="AE124" s="346"/>
      <c r="AF124" s="346"/>
      <c r="AG124" s="346"/>
      <c r="AH124" s="346"/>
      <c r="AI124" s="346"/>
      <c r="AJ124" s="346"/>
      <c r="AK124" s="346"/>
      <c r="AL124" s="346"/>
      <c r="AM124" s="346"/>
      <c r="AN124" s="346"/>
      <c r="AO124" s="346"/>
      <c r="AP124" s="346"/>
      <c r="AQ124" s="346"/>
      <c r="AR124" s="346"/>
      <c r="AS124" s="346"/>
      <c r="AT124" s="346"/>
      <c r="AU124" s="346"/>
      <c r="AV124" s="346"/>
      <c r="AW124" s="346"/>
      <c r="AX124" s="346"/>
      <c r="AY124" s="346"/>
      <c r="AZ124" s="346"/>
      <c r="BA124" s="346"/>
      <c r="BB124" s="346"/>
      <c r="BC124" s="346"/>
      <c r="BD124" s="346"/>
      <c r="BE124" s="346"/>
      <c r="BF124" s="346"/>
      <c r="BG124" s="346"/>
      <c r="BH124" s="346"/>
      <c r="BI124" s="346"/>
      <c r="BJ124" s="346"/>
      <c r="BK124" s="346"/>
      <c r="BL124" s="346"/>
      <c r="BM124" s="346"/>
      <c r="BN124" s="346"/>
      <c r="BO124" s="346"/>
      <c r="BP124" s="346"/>
      <c r="BQ124" s="346"/>
      <c r="BR124" s="346"/>
      <c r="BS124" s="346"/>
      <c r="BT124" s="346"/>
      <c r="BU124" s="346"/>
      <c r="BV124" s="346"/>
      <c r="BW124" s="346"/>
      <c r="BX124" s="346"/>
      <c r="BY124" s="346"/>
      <c r="BZ124" s="346"/>
      <c r="CA124" s="346"/>
      <c r="CB124" s="346"/>
      <c r="CC124" s="346"/>
      <c r="CD124" s="346"/>
      <c r="CE124" s="346"/>
      <c r="CF124" s="346"/>
      <c r="CG124" s="346"/>
      <c r="CH124" s="346"/>
      <c r="CI124" s="346"/>
      <c r="CJ124" s="346"/>
      <c r="CK124" s="346"/>
      <c r="CL124" s="346"/>
      <c r="CM124" s="346"/>
      <c r="CN124" s="346"/>
      <c r="CO124" s="346"/>
      <c r="CP124" s="346"/>
      <c r="CQ124" s="346"/>
      <c r="CR124" s="346"/>
      <c r="CS124" s="346"/>
      <c r="CT124" s="346"/>
      <c r="CU124" s="346"/>
      <c r="CV124" s="346"/>
      <c r="CW124" s="346"/>
      <c r="CX124" s="346"/>
      <c r="CY124" s="346"/>
      <c r="CZ124" s="346"/>
      <c r="DA124" s="346"/>
      <c r="DB124" s="346"/>
      <c r="DC124" s="346"/>
      <c r="DD124" s="346"/>
      <c r="DE124" s="346"/>
      <c r="DF124" s="346"/>
      <c r="DG124" s="346"/>
      <c r="DH124" s="346"/>
      <c r="DI124" s="346"/>
      <c r="DJ124" s="346"/>
    </row>
    <row r="125" spans="1:114" x14ac:dyDescent="0.25">
      <c r="A125" s="120">
        <v>11</v>
      </c>
      <c r="B125" s="79" t="s">
        <v>68</v>
      </c>
      <c r="C125" s="80">
        <v>1500</v>
      </c>
      <c r="D125" s="81">
        <v>70.77</v>
      </c>
      <c r="E125" s="59">
        <v>0</v>
      </c>
      <c r="F125" s="59"/>
      <c r="G125" s="56">
        <f t="shared" si="27"/>
        <v>0</v>
      </c>
      <c r="H125" s="55"/>
      <c r="I125" s="56">
        <f t="shared" si="28"/>
        <v>0</v>
      </c>
      <c r="J125" s="56">
        <f t="shared" si="29"/>
        <v>0</v>
      </c>
      <c r="K125" s="57">
        <f t="shared" si="30"/>
        <v>0</v>
      </c>
      <c r="L125" s="297"/>
      <c r="M125" s="297"/>
      <c r="N125" s="314">
        <f t="shared" si="26"/>
        <v>200</v>
      </c>
      <c r="O125" s="310">
        <v>200</v>
      </c>
      <c r="P125" s="315"/>
      <c r="Q125" s="315"/>
      <c r="R125" s="315"/>
      <c r="S125" s="315"/>
      <c r="T125" s="55"/>
      <c r="U125" s="55"/>
      <c r="V125" s="55"/>
      <c r="W125" s="55"/>
      <c r="X125" s="55"/>
      <c r="Y125" s="55"/>
      <c r="Z125" s="55"/>
      <c r="AA125" s="55"/>
      <c r="AB125" s="55"/>
      <c r="AC125" s="55"/>
      <c r="AD125" s="55"/>
      <c r="AE125" s="55"/>
      <c r="AF125" s="55"/>
      <c r="AG125" s="55"/>
      <c r="AH125" s="55"/>
      <c r="AI125" s="55"/>
      <c r="AJ125" s="55"/>
      <c r="AK125" s="55"/>
      <c r="AL125" s="55"/>
      <c r="AM125" s="55"/>
      <c r="AN125" s="55"/>
      <c r="AO125" s="55"/>
      <c r="AP125" s="55"/>
      <c r="AQ125" s="55"/>
      <c r="AR125" s="55"/>
      <c r="AS125" s="55"/>
      <c r="AT125" s="55"/>
      <c r="AU125" s="55"/>
      <c r="AV125" s="55"/>
      <c r="AW125" s="55"/>
      <c r="AX125" s="55"/>
      <c r="AY125" s="55"/>
      <c r="AZ125" s="55"/>
      <c r="BA125" s="55"/>
      <c r="BB125" s="55"/>
      <c r="BC125" s="55"/>
      <c r="BD125" s="55"/>
      <c r="BE125" s="55"/>
      <c r="BF125" s="55"/>
      <c r="BG125" s="55"/>
      <c r="BH125" s="55"/>
      <c r="BI125" s="55"/>
      <c r="BJ125" s="55"/>
      <c r="BK125" s="55"/>
      <c r="BL125" s="55"/>
      <c r="BM125" s="55"/>
      <c r="BN125" s="55"/>
      <c r="BO125" s="55"/>
      <c r="BP125" s="55"/>
      <c r="BQ125" s="55"/>
      <c r="BR125" s="55"/>
      <c r="BS125" s="55"/>
      <c r="BT125" s="55"/>
      <c r="BU125" s="55"/>
      <c r="BV125" s="55"/>
      <c r="BW125" s="55"/>
      <c r="BX125" s="55"/>
      <c r="BY125" s="55"/>
      <c r="BZ125" s="55"/>
      <c r="CA125" s="55"/>
      <c r="CB125" s="55"/>
      <c r="CC125" s="55"/>
      <c r="CD125" s="55"/>
      <c r="CE125" s="55"/>
      <c r="CF125" s="55"/>
      <c r="CG125" s="55"/>
      <c r="CH125" s="55"/>
      <c r="CI125" s="55"/>
      <c r="CJ125" s="55"/>
      <c r="CK125" s="55"/>
      <c r="CL125" s="55"/>
      <c r="CM125" s="55"/>
      <c r="CN125" s="55"/>
      <c r="CO125" s="55"/>
      <c r="CP125" s="55"/>
      <c r="CQ125" s="55"/>
      <c r="CR125" s="55"/>
      <c r="CS125" s="55"/>
      <c r="CT125" s="55"/>
      <c r="CU125" s="55"/>
      <c r="CV125" s="55"/>
      <c r="CW125" s="55"/>
      <c r="CX125" s="55"/>
      <c r="CY125" s="55"/>
      <c r="CZ125" s="55"/>
      <c r="DA125" s="55"/>
      <c r="DB125" s="55"/>
      <c r="DC125" s="55"/>
      <c r="DD125" s="55"/>
      <c r="DE125" s="55"/>
      <c r="DF125" s="55"/>
      <c r="DG125" s="55"/>
      <c r="DH125" s="55"/>
      <c r="DI125" s="55"/>
      <c r="DJ125" s="55"/>
    </row>
    <row r="126" spans="1:114" x14ac:dyDescent="0.25">
      <c r="A126" s="339"/>
      <c r="B126" s="340"/>
      <c r="C126" s="341"/>
      <c r="D126" s="342"/>
      <c r="E126" s="343"/>
      <c r="F126" s="343"/>
      <c r="G126" s="345"/>
      <c r="H126" s="346"/>
      <c r="I126" s="345"/>
      <c r="J126" s="345"/>
      <c r="K126" s="347"/>
      <c r="L126" s="297"/>
      <c r="M126" s="297"/>
      <c r="N126" s="348"/>
      <c r="O126" s="310" t="s">
        <v>1009</v>
      </c>
      <c r="P126" s="349"/>
      <c r="Q126" s="349"/>
      <c r="R126" s="349"/>
      <c r="S126" s="349"/>
      <c r="T126" s="346"/>
      <c r="U126" s="346"/>
      <c r="V126" s="346"/>
      <c r="W126" s="346"/>
      <c r="X126" s="346"/>
      <c r="Y126" s="346"/>
      <c r="Z126" s="346"/>
      <c r="AA126" s="346"/>
      <c r="AB126" s="346"/>
      <c r="AC126" s="346"/>
      <c r="AD126" s="346"/>
      <c r="AE126" s="346"/>
      <c r="AF126" s="346"/>
      <c r="AG126" s="346"/>
      <c r="AH126" s="346"/>
      <c r="AI126" s="346"/>
      <c r="AJ126" s="346"/>
      <c r="AK126" s="346"/>
      <c r="AL126" s="346"/>
      <c r="AM126" s="346"/>
      <c r="AN126" s="346"/>
      <c r="AO126" s="346"/>
      <c r="AP126" s="346"/>
      <c r="AQ126" s="346"/>
      <c r="AR126" s="346"/>
      <c r="AS126" s="346"/>
      <c r="AT126" s="346"/>
      <c r="AU126" s="346"/>
      <c r="AV126" s="346"/>
      <c r="AW126" s="346"/>
      <c r="AX126" s="346"/>
      <c r="AY126" s="346"/>
      <c r="AZ126" s="346"/>
      <c r="BA126" s="346"/>
      <c r="BB126" s="346"/>
      <c r="BC126" s="346"/>
      <c r="BD126" s="346"/>
      <c r="BE126" s="346"/>
      <c r="BF126" s="346"/>
      <c r="BG126" s="346"/>
      <c r="BH126" s="346"/>
      <c r="BI126" s="346"/>
      <c r="BJ126" s="346"/>
      <c r="BK126" s="346"/>
      <c r="BL126" s="346"/>
      <c r="BM126" s="346"/>
      <c r="BN126" s="346"/>
      <c r="BO126" s="346"/>
      <c r="BP126" s="346"/>
      <c r="BQ126" s="346"/>
      <c r="BR126" s="346"/>
      <c r="BS126" s="346"/>
      <c r="BT126" s="346"/>
      <c r="BU126" s="346"/>
      <c r="BV126" s="346"/>
      <c r="BW126" s="346"/>
      <c r="BX126" s="346"/>
      <c r="BY126" s="346"/>
      <c r="BZ126" s="346"/>
      <c r="CA126" s="346"/>
      <c r="CB126" s="346"/>
      <c r="CC126" s="346"/>
      <c r="CD126" s="346"/>
      <c r="CE126" s="346"/>
      <c r="CF126" s="346"/>
      <c r="CG126" s="346"/>
      <c r="CH126" s="346"/>
      <c r="CI126" s="346"/>
      <c r="CJ126" s="346"/>
      <c r="CK126" s="346"/>
      <c r="CL126" s="346"/>
      <c r="CM126" s="346"/>
      <c r="CN126" s="346"/>
      <c r="CO126" s="346"/>
      <c r="CP126" s="346"/>
      <c r="CQ126" s="346"/>
      <c r="CR126" s="346"/>
      <c r="CS126" s="346"/>
      <c r="CT126" s="346"/>
      <c r="CU126" s="346"/>
      <c r="CV126" s="346"/>
      <c r="CW126" s="346"/>
      <c r="CX126" s="346"/>
      <c r="CY126" s="346"/>
      <c r="CZ126" s="346"/>
      <c r="DA126" s="346"/>
      <c r="DB126" s="346"/>
      <c r="DC126" s="346"/>
      <c r="DD126" s="346"/>
      <c r="DE126" s="346"/>
      <c r="DF126" s="346"/>
      <c r="DG126" s="346"/>
      <c r="DH126" s="346"/>
      <c r="DI126" s="346"/>
      <c r="DJ126" s="346"/>
    </row>
    <row r="127" spans="1:114" x14ac:dyDescent="0.25">
      <c r="A127" s="120">
        <v>12</v>
      </c>
      <c r="B127" s="79" t="s">
        <v>69</v>
      </c>
      <c r="C127" s="80">
        <v>1500</v>
      </c>
      <c r="D127" s="81">
        <v>88.72</v>
      </c>
      <c r="E127" s="59">
        <v>0</v>
      </c>
      <c r="F127" s="59"/>
      <c r="G127" s="56">
        <f t="shared" si="27"/>
        <v>0</v>
      </c>
      <c r="H127" s="55"/>
      <c r="I127" s="56">
        <f t="shared" si="28"/>
        <v>0</v>
      </c>
      <c r="J127" s="56">
        <f t="shared" si="29"/>
        <v>0</v>
      </c>
      <c r="K127" s="57">
        <f t="shared" si="30"/>
        <v>0</v>
      </c>
      <c r="L127" s="297"/>
      <c r="M127" s="297"/>
      <c r="N127" s="314">
        <f t="shared" si="26"/>
        <v>640</v>
      </c>
      <c r="O127" s="310">
        <v>640</v>
      </c>
      <c r="P127" s="315"/>
      <c r="Q127" s="315"/>
      <c r="R127" s="315"/>
      <c r="S127" s="315"/>
      <c r="T127" s="55"/>
      <c r="U127" s="55"/>
      <c r="V127" s="55"/>
      <c r="W127" s="55"/>
      <c r="X127" s="55"/>
      <c r="Y127" s="55"/>
      <c r="Z127" s="55"/>
      <c r="AA127" s="55"/>
      <c r="AB127" s="55"/>
      <c r="AC127" s="55"/>
      <c r="AD127" s="55"/>
      <c r="AE127" s="55"/>
      <c r="AF127" s="55"/>
      <c r="AG127" s="55"/>
      <c r="AH127" s="55"/>
      <c r="AI127" s="55"/>
      <c r="AJ127" s="55"/>
      <c r="AK127" s="55"/>
      <c r="AL127" s="55"/>
      <c r="AM127" s="55"/>
      <c r="AN127" s="55"/>
      <c r="AO127" s="55"/>
      <c r="AP127" s="55"/>
      <c r="AQ127" s="55"/>
      <c r="AR127" s="55"/>
      <c r="AS127" s="55"/>
      <c r="AT127" s="55"/>
      <c r="AU127" s="55"/>
      <c r="AV127" s="55"/>
      <c r="AW127" s="55"/>
      <c r="AX127" s="55"/>
      <c r="AY127" s="55"/>
      <c r="AZ127" s="55"/>
      <c r="BA127" s="55"/>
      <c r="BB127" s="55"/>
      <c r="BC127" s="55"/>
      <c r="BD127" s="55"/>
      <c r="BE127" s="55"/>
      <c r="BF127" s="55"/>
      <c r="BG127" s="55"/>
      <c r="BH127" s="55"/>
      <c r="BI127" s="55"/>
      <c r="BJ127" s="55"/>
      <c r="BK127" s="55"/>
      <c r="BL127" s="55"/>
      <c r="BM127" s="55"/>
      <c r="BN127" s="55"/>
      <c r="BO127" s="55"/>
      <c r="BP127" s="55"/>
      <c r="BQ127" s="55"/>
      <c r="BR127" s="55"/>
      <c r="BS127" s="55"/>
      <c r="BT127" s="55"/>
      <c r="BU127" s="55"/>
      <c r="BV127" s="55"/>
      <c r="BW127" s="55"/>
      <c r="BX127" s="55"/>
      <c r="BY127" s="55"/>
      <c r="BZ127" s="55"/>
      <c r="CA127" s="55"/>
      <c r="CB127" s="55"/>
      <c r="CC127" s="55"/>
      <c r="CD127" s="55"/>
      <c r="CE127" s="55"/>
      <c r="CF127" s="55"/>
      <c r="CG127" s="55"/>
      <c r="CH127" s="55"/>
      <c r="CI127" s="55"/>
      <c r="CJ127" s="55"/>
      <c r="CK127" s="55"/>
      <c r="CL127" s="55"/>
      <c r="CM127" s="55"/>
      <c r="CN127" s="55"/>
      <c r="CO127" s="55"/>
      <c r="CP127" s="55"/>
      <c r="CQ127" s="55"/>
      <c r="CR127" s="55"/>
      <c r="CS127" s="55"/>
      <c r="CT127" s="55"/>
      <c r="CU127" s="55"/>
      <c r="CV127" s="55"/>
      <c r="CW127" s="55"/>
      <c r="CX127" s="55"/>
      <c r="CY127" s="55"/>
      <c r="CZ127" s="55"/>
      <c r="DA127" s="55"/>
      <c r="DB127" s="55"/>
      <c r="DC127" s="55"/>
      <c r="DD127" s="55"/>
      <c r="DE127" s="55"/>
      <c r="DF127" s="55"/>
      <c r="DG127" s="55"/>
      <c r="DH127" s="55"/>
      <c r="DI127" s="55"/>
      <c r="DJ127" s="55"/>
    </row>
    <row r="128" spans="1:114" x14ac:dyDescent="0.25">
      <c r="A128" s="339"/>
      <c r="B128" s="340"/>
      <c r="C128" s="341"/>
      <c r="D128" s="342"/>
      <c r="E128" s="343"/>
      <c r="F128" s="343"/>
      <c r="G128" s="345"/>
      <c r="H128" s="346"/>
      <c r="I128" s="345"/>
      <c r="J128" s="345"/>
      <c r="K128" s="347"/>
      <c r="L128" s="297"/>
      <c r="M128" s="297"/>
      <c r="N128" s="348"/>
      <c r="O128" s="310" t="s">
        <v>1009</v>
      </c>
      <c r="P128" s="349"/>
      <c r="Q128" s="349"/>
      <c r="R128" s="349"/>
      <c r="S128" s="349"/>
      <c r="T128" s="346"/>
      <c r="U128" s="346"/>
      <c r="V128" s="346"/>
      <c r="W128" s="346"/>
      <c r="X128" s="346"/>
      <c r="Y128" s="346"/>
      <c r="Z128" s="346"/>
      <c r="AA128" s="346"/>
      <c r="AB128" s="346"/>
      <c r="AC128" s="346"/>
      <c r="AD128" s="346"/>
      <c r="AE128" s="346"/>
      <c r="AF128" s="346"/>
      <c r="AG128" s="346"/>
      <c r="AH128" s="346"/>
      <c r="AI128" s="346"/>
      <c r="AJ128" s="346"/>
      <c r="AK128" s="346"/>
      <c r="AL128" s="346"/>
      <c r="AM128" s="346"/>
      <c r="AN128" s="346"/>
      <c r="AO128" s="346"/>
      <c r="AP128" s="346"/>
      <c r="AQ128" s="346"/>
      <c r="AR128" s="346"/>
      <c r="AS128" s="346"/>
      <c r="AT128" s="346"/>
      <c r="AU128" s="346"/>
      <c r="AV128" s="346"/>
      <c r="AW128" s="346"/>
      <c r="AX128" s="346"/>
      <c r="AY128" s="346"/>
      <c r="AZ128" s="346"/>
      <c r="BA128" s="346"/>
      <c r="BB128" s="346"/>
      <c r="BC128" s="346"/>
      <c r="BD128" s="346"/>
      <c r="BE128" s="346"/>
      <c r="BF128" s="346"/>
      <c r="BG128" s="346"/>
      <c r="BH128" s="346"/>
      <c r="BI128" s="346"/>
      <c r="BJ128" s="346"/>
      <c r="BK128" s="346"/>
      <c r="BL128" s="346"/>
      <c r="BM128" s="346"/>
      <c r="BN128" s="346"/>
      <c r="BO128" s="346"/>
      <c r="BP128" s="346"/>
      <c r="BQ128" s="346"/>
      <c r="BR128" s="346"/>
      <c r="BS128" s="346"/>
      <c r="BT128" s="346"/>
      <c r="BU128" s="346"/>
      <c r="BV128" s="346"/>
      <c r="BW128" s="346"/>
      <c r="BX128" s="346"/>
      <c r="BY128" s="346"/>
      <c r="BZ128" s="346"/>
      <c r="CA128" s="346"/>
      <c r="CB128" s="346"/>
      <c r="CC128" s="346"/>
      <c r="CD128" s="346"/>
      <c r="CE128" s="346"/>
      <c r="CF128" s="346"/>
      <c r="CG128" s="346"/>
      <c r="CH128" s="346"/>
      <c r="CI128" s="346"/>
      <c r="CJ128" s="346"/>
      <c r="CK128" s="346"/>
      <c r="CL128" s="346"/>
      <c r="CM128" s="346"/>
      <c r="CN128" s="346"/>
      <c r="CO128" s="346"/>
      <c r="CP128" s="346"/>
      <c r="CQ128" s="346"/>
      <c r="CR128" s="346"/>
      <c r="CS128" s="346"/>
      <c r="CT128" s="346"/>
      <c r="CU128" s="346"/>
      <c r="CV128" s="346"/>
      <c r="CW128" s="346"/>
      <c r="CX128" s="346"/>
      <c r="CY128" s="346"/>
      <c r="CZ128" s="346"/>
      <c r="DA128" s="346"/>
      <c r="DB128" s="346"/>
      <c r="DC128" s="346"/>
      <c r="DD128" s="346"/>
      <c r="DE128" s="346"/>
      <c r="DF128" s="346"/>
      <c r="DG128" s="346"/>
      <c r="DH128" s="346"/>
      <c r="DI128" s="346"/>
      <c r="DJ128" s="346"/>
    </row>
    <row r="129" spans="1:114" x14ac:dyDescent="0.25">
      <c r="A129" s="120">
        <v>13</v>
      </c>
      <c r="B129" s="79" t="s">
        <v>70</v>
      </c>
      <c r="C129" s="80">
        <v>1500</v>
      </c>
      <c r="D129" s="81">
        <v>70.77</v>
      </c>
      <c r="E129" s="59">
        <v>0</v>
      </c>
      <c r="F129" s="59"/>
      <c r="G129" s="56">
        <f t="shared" si="27"/>
        <v>0</v>
      </c>
      <c r="H129" s="55"/>
      <c r="I129" s="56">
        <f t="shared" si="28"/>
        <v>0</v>
      </c>
      <c r="J129" s="56">
        <f t="shared" si="29"/>
        <v>0</v>
      </c>
      <c r="K129" s="57">
        <f t="shared" si="30"/>
        <v>0</v>
      </c>
      <c r="L129" s="297"/>
      <c r="M129" s="297"/>
      <c r="N129" s="314">
        <f t="shared" si="26"/>
        <v>1368</v>
      </c>
      <c r="O129" s="310">
        <v>1368</v>
      </c>
      <c r="P129" s="315"/>
      <c r="Q129" s="315"/>
      <c r="R129" s="315"/>
      <c r="S129" s="315"/>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c r="AT129" s="55"/>
      <c r="AU129" s="55"/>
      <c r="AV129" s="55"/>
      <c r="AW129" s="55"/>
      <c r="AX129" s="55"/>
      <c r="AY129" s="55"/>
      <c r="AZ129" s="55"/>
      <c r="BA129" s="55"/>
      <c r="BB129" s="55"/>
      <c r="BC129" s="55"/>
      <c r="BD129" s="55"/>
      <c r="BE129" s="55"/>
      <c r="BF129" s="55"/>
      <c r="BG129" s="55"/>
      <c r="BH129" s="55"/>
      <c r="BI129" s="55"/>
      <c r="BJ129" s="55"/>
      <c r="BK129" s="55"/>
      <c r="BL129" s="55"/>
      <c r="BM129" s="55"/>
      <c r="BN129" s="55"/>
      <c r="BO129" s="55"/>
      <c r="BP129" s="55"/>
      <c r="BQ129" s="55"/>
      <c r="BR129" s="55"/>
      <c r="BS129" s="55"/>
      <c r="BT129" s="55"/>
      <c r="BU129" s="55"/>
      <c r="BV129" s="55"/>
      <c r="BW129" s="55"/>
      <c r="BX129" s="55"/>
      <c r="BY129" s="55"/>
      <c r="BZ129" s="55"/>
      <c r="CA129" s="55"/>
      <c r="CB129" s="55"/>
      <c r="CC129" s="55"/>
      <c r="CD129" s="55"/>
      <c r="CE129" s="55"/>
      <c r="CF129" s="55"/>
      <c r="CG129" s="55"/>
      <c r="CH129" s="55"/>
      <c r="CI129" s="55"/>
      <c r="CJ129" s="55"/>
      <c r="CK129" s="55"/>
      <c r="CL129" s="55"/>
      <c r="CM129" s="55"/>
      <c r="CN129" s="55"/>
      <c r="CO129" s="55"/>
      <c r="CP129" s="55"/>
      <c r="CQ129" s="55"/>
      <c r="CR129" s="55"/>
      <c r="CS129" s="55"/>
      <c r="CT129" s="55"/>
      <c r="CU129" s="55"/>
      <c r="CV129" s="55"/>
      <c r="CW129" s="55"/>
      <c r="CX129" s="55"/>
      <c r="CY129" s="55"/>
      <c r="CZ129" s="55"/>
      <c r="DA129" s="55"/>
      <c r="DB129" s="55"/>
      <c r="DC129" s="55"/>
      <c r="DD129" s="55"/>
      <c r="DE129" s="55"/>
      <c r="DF129" s="55"/>
      <c r="DG129" s="55"/>
      <c r="DH129" s="55"/>
      <c r="DI129" s="55"/>
      <c r="DJ129" s="55"/>
    </row>
    <row r="130" spans="1:114" x14ac:dyDescent="0.25">
      <c r="A130" s="339"/>
      <c r="B130" s="340"/>
      <c r="C130" s="341"/>
      <c r="D130" s="342"/>
      <c r="E130" s="343"/>
      <c r="F130" s="343"/>
      <c r="G130" s="345"/>
      <c r="H130" s="346"/>
      <c r="I130" s="345"/>
      <c r="J130" s="345"/>
      <c r="K130" s="347"/>
      <c r="L130" s="297"/>
      <c r="M130" s="297"/>
      <c r="N130" s="348"/>
      <c r="O130" s="310" t="s">
        <v>1009</v>
      </c>
      <c r="P130" s="349"/>
      <c r="Q130" s="349"/>
      <c r="R130" s="349"/>
      <c r="S130" s="349"/>
      <c r="T130" s="346"/>
      <c r="U130" s="346"/>
      <c r="V130" s="346"/>
      <c r="W130" s="346"/>
      <c r="X130" s="346"/>
      <c r="Y130" s="346"/>
      <c r="Z130" s="346"/>
      <c r="AA130" s="346"/>
      <c r="AB130" s="346"/>
      <c r="AC130" s="346"/>
      <c r="AD130" s="346"/>
      <c r="AE130" s="346"/>
      <c r="AF130" s="346"/>
      <c r="AG130" s="346"/>
      <c r="AH130" s="346"/>
      <c r="AI130" s="346"/>
      <c r="AJ130" s="346"/>
      <c r="AK130" s="346"/>
      <c r="AL130" s="346"/>
      <c r="AM130" s="346"/>
      <c r="AN130" s="346"/>
      <c r="AO130" s="346"/>
      <c r="AP130" s="346"/>
      <c r="AQ130" s="346"/>
      <c r="AR130" s="346"/>
      <c r="AS130" s="346"/>
      <c r="AT130" s="346"/>
      <c r="AU130" s="346"/>
      <c r="AV130" s="346"/>
      <c r="AW130" s="346"/>
      <c r="AX130" s="346"/>
      <c r="AY130" s="346"/>
      <c r="AZ130" s="346"/>
      <c r="BA130" s="346"/>
      <c r="BB130" s="346"/>
      <c r="BC130" s="346"/>
      <c r="BD130" s="346"/>
      <c r="BE130" s="346"/>
      <c r="BF130" s="346"/>
      <c r="BG130" s="346"/>
      <c r="BH130" s="346"/>
      <c r="BI130" s="346"/>
      <c r="BJ130" s="346"/>
      <c r="BK130" s="346"/>
      <c r="BL130" s="346"/>
      <c r="BM130" s="346"/>
      <c r="BN130" s="346"/>
      <c r="BO130" s="346"/>
      <c r="BP130" s="346"/>
      <c r="BQ130" s="346"/>
      <c r="BR130" s="346"/>
      <c r="BS130" s="346"/>
      <c r="BT130" s="346"/>
      <c r="BU130" s="346"/>
      <c r="BV130" s="346"/>
      <c r="BW130" s="346"/>
      <c r="BX130" s="346"/>
      <c r="BY130" s="346"/>
      <c r="BZ130" s="346"/>
      <c r="CA130" s="346"/>
      <c r="CB130" s="346"/>
      <c r="CC130" s="346"/>
      <c r="CD130" s="346"/>
      <c r="CE130" s="346"/>
      <c r="CF130" s="346"/>
      <c r="CG130" s="346"/>
      <c r="CH130" s="346"/>
      <c r="CI130" s="346"/>
      <c r="CJ130" s="346"/>
      <c r="CK130" s="346"/>
      <c r="CL130" s="346"/>
      <c r="CM130" s="346"/>
      <c r="CN130" s="346"/>
      <c r="CO130" s="346"/>
      <c r="CP130" s="346"/>
      <c r="CQ130" s="346"/>
      <c r="CR130" s="346"/>
      <c r="CS130" s="346"/>
      <c r="CT130" s="346"/>
      <c r="CU130" s="346"/>
      <c r="CV130" s="346"/>
      <c r="CW130" s="346"/>
      <c r="CX130" s="346"/>
      <c r="CY130" s="346"/>
      <c r="CZ130" s="346"/>
      <c r="DA130" s="346"/>
      <c r="DB130" s="346"/>
      <c r="DC130" s="346"/>
      <c r="DD130" s="346"/>
      <c r="DE130" s="346"/>
      <c r="DF130" s="346"/>
      <c r="DG130" s="346"/>
      <c r="DH130" s="346"/>
      <c r="DI130" s="346"/>
      <c r="DJ130" s="346"/>
    </row>
    <row r="131" spans="1:114" x14ac:dyDescent="0.25">
      <c r="A131" s="120">
        <v>14</v>
      </c>
      <c r="B131" s="79" t="s">
        <v>71</v>
      </c>
      <c r="C131" s="80">
        <v>2500</v>
      </c>
      <c r="D131" s="81">
        <v>70.77</v>
      </c>
      <c r="E131" s="59">
        <v>0</v>
      </c>
      <c r="F131" s="59"/>
      <c r="G131" s="56">
        <f t="shared" si="27"/>
        <v>0</v>
      </c>
      <c r="H131" s="55"/>
      <c r="I131" s="56">
        <f t="shared" si="28"/>
        <v>0</v>
      </c>
      <c r="J131" s="56">
        <f t="shared" si="29"/>
        <v>0</v>
      </c>
      <c r="K131" s="57">
        <f t="shared" si="30"/>
        <v>0</v>
      </c>
      <c r="L131" s="297"/>
      <c r="M131" s="297"/>
      <c r="N131" s="314">
        <f t="shared" ref="N131:N135" si="31">SUM(O131:DK131)</f>
        <v>352</v>
      </c>
      <c r="O131" s="310">
        <v>352</v>
      </c>
      <c r="P131" s="315"/>
      <c r="Q131" s="315"/>
      <c r="R131" s="315"/>
      <c r="S131" s="315"/>
      <c r="T131" s="55"/>
      <c r="U131" s="55"/>
      <c r="V131" s="55"/>
      <c r="W131" s="55"/>
      <c r="X131" s="55"/>
      <c r="Y131" s="55"/>
      <c r="Z131" s="55"/>
      <c r="AA131" s="55"/>
      <c r="AB131" s="55"/>
      <c r="AC131" s="55"/>
      <c r="AD131" s="55"/>
      <c r="AE131" s="55"/>
      <c r="AF131" s="55"/>
      <c r="AG131" s="55"/>
      <c r="AH131" s="55"/>
      <c r="AI131" s="55"/>
      <c r="AJ131" s="55"/>
      <c r="AK131" s="55"/>
      <c r="AL131" s="55"/>
      <c r="AM131" s="55"/>
      <c r="AN131" s="55"/>
      <c r="AO131" s="55"/>
      <c r="AP131" s="55"/>
      <c r="AQ131" s="55"/>
      <c r="AR131" s="55"/>
      <c r="AS131" s="55"/>
      <c r="AT131" s="55"/>
      <c r="AU131" s="55"/>
      <c r="AV131" s="55"/>
      <c r="AW131" s="55"/>
      <c r="AX131" s="55"/>
      <c r="AY131" s="55"/>
      <c r="AZ131" s="55"/>
      <c r="BA131" s="55"/>
      <c r="BB131" s="55"/>
      <c r="BC131" s="55"/>
      <c r="BD131" s="55"/>
      <c r="BE131" s="55"/>
      <c r="BF131" s="55"/>
      <c r="BG131" s="55"/>
      <c r="BH131" s="55"/>
      <c r="BI131" s="55"/>
      <c r="BJ131" s="55"/>
      <c r="BK131" s="55"/>
      <c r="BL131" s="55"/>
      <c r="BM131" s="55"/>
      <c r="BN131" s="55"/>
      <c r="BO131" s="55"/>
      <c r="BP131" s="55"/>
      <c r="BQ131" s="55"/>
      <c r="BR131" s="55"/>
      <c r="BS131" s="55"/>
      <c r="BT131" s="55"/>
      <c r="BU131" s="55"/>
      <c r="BV131" s="55"/>
      <c r="BW131" s="55"/>
      <c r="BX131" s="55"/>
      <c r="BY131" s="55"/>
      <c r="BZ131" s="55"/>
      <c r="CA131" s="55"/>
      <c r="CB131" s="55"/>
      <c r="CC131" s="55"/>
      <c r="CD131" s="55"/>
      <c r="CE131" s="55"/>
      <c r="CF131" s="55"/>
      <c r="CG131" s="55"/>
      <c r="CH131" s="55"/>
      <c r="CI131" s="55"/>
      <c r="CJ131" s="55"/>
      <c r="CK131" s="55"/>
      <c r="CL131" s="55"/>
      <c r="CM131" s="55"/>
      <c r="CN131" s="55"/>
      <c r="CO131" s="55"/>
      <c r="CP131" s="55"/>
      <c r="CQ131" s="55"/>
      <c r="CR131" s="55"/>
      <c r="CS131" s="55"/>
      <c r="CT131" s="55"/>
      <c r="CU131" s="55"/>
      <c r="CV131" s="55"/>
      <c r="CW131" s="55"/>
      <c r="CX131" s="55"/>
      <c r="CY131" s="55"/>
      <c r="CZ131" s="55"/>
      <c r="DA131" s="55"/>
      <c r="DB131" s="55"/>
      <c r="DC131" s="55"/>
      <c r="DD131" s="55"/>
      <c r="DE131" s="55"/>
      <c r="DF131" s="55"/>
      <c r="DG131" s="55"/>
      <c r="DH131" s="55"/>
      <c r="DI131" s="55"/>
      <c r="DJ131" s="55"/>
    </row>
    <row r="132" spans="1:114" x14ac:dyDescent="0.25">
      <c r="A132" s="339"/>
      <c r="B132" s="340"/>
      <c r="C132" s="341"/>
      <c r="D132" s="342"/>
      <c r="E132" s="343"/>
      <c r="F132" s="343"/>
      <c r="G132" s="345"/>
      <c r="H132" s="346"/>
      <c r="I132" s="345"/>
      <c r="J132" s="345"/>
      <c r="K132" s="347"/>
      <c r="L132" s="297"/>
      <c r="M132" s="297"/>
      <c r="N132" s="348"/>
      <c r="O132" s="310" t="s">
        <v>1009</v>
      </c>
      <c r="P132" s="349"/>
      <c r="Q132" s="349"/>
      <c r="R132" s="349"/>
      <c r="S132" s="349"/>
      <c r="T132" s="346"/>
      <c r="U132" s="346"/>
      <c r="V132" s="346"/>
      <c r="W132" s="346"/>
      <c r="X132" s="346"/>
      <c r="Y132" s="346"/>
      <c r="Z132" s="346"/>
      <c r="AA132" s="346"/>
      <c r="AB132" s="346"/>
      <c r="AC132" s="346"/>
      <c r="AD132" s="346"/>
      <c r="AE132" s="346"/>
      <c r="AF132" s="346"/>
      <c r="AG132" s="346"/>
      <c r="AH132" s="346"/>
      <c r="AI132" s="346"/>
      <c r="AJ132" s="346"/>
      <c r="AK132" s="346"/>
      <c r="AL132" s="346"/>
      <c r="AM132" s="346"/>
      <c r="AN132" s="346"/>
      <c r="AO132" s="346"/>
      <c r="AP132" s="346"/>
      <c r="AQ132" s="346"/>
      <c r="AR132" s="346"/>
      <c r="AS132" s="346"/>
      <c r="AT132" s="346"/>
      <c r="AU132" s="346"/>
      <c r="AV132" s="346"/>
      <c r="AW132" s="346"/>
      <c r="AX132" s="346"/>
      <c r="AY132" s="346"/>
      <c r="AZ132" s="346"/>
      <c r="BA132" s="346"/>
      <c r="BB132" s="346"/>
      <c r="BC132" s="346"/>
      <c r="BD132" s="346"/>
      <c r="BE132" s="346"/>
      <c r="BF132" s="346"/>
      <c r="BG132" s="346"/>
      <c r="BH132" s="346"/>
      <c r="BI132" s="346"/>
      <c r="BJ132" s="346"/>
      <c r="BK132" s="346"/>
      <c r="BL132" s="346"/>
      <c r="BM132" s="346"/>
      <c r="BN132" s="346"/>
      <c r="BO132" s="346"/>
      <c r="BP132" s="346"/>
      <c r="BQ132" s="346"/>
      <c r="BR132" s="346"/>
      <c r="BS132" s="346"/>
      <c r="BT132" s="346"/>
      <c r="BU132" s="346"/>
      <c r="BV132" s="346"/>
      <c r="BW132" s="346"/>
      <c r="BX132" s="346"/>
      <c r="BY132" s="346"/>
      <c r="BZ132" s="346"/>
      <c r="CA132" s="346"/>
      <c r="CB132" s="346"/>
      <c r="CC132" s="346"/>
      <c r="CD132" s="346"/>
      <c r="CE132" s="346"/>
      <c r="CF132" s="346"/>
      <c r="CG132" s="346"/>
      <c r="CH132" s="346"/>
      <c r="CI132" s="346"/>
      <c r="CJ132" s="346"/>
      <c r="CK132" s="346"/>
      <c r="CL132" s="346"/>
      <c r="CM132" s="346"/>
      <c r="CN132" s="346"/>
      <c r="CO132" s="346"/>
      <c r="CP132" s="346"/>
      <c r="CQ132" s="346"/>
      <c r="CR132" s="346"/>
      <c r="CS132" s="346"/>
      <c r="CT132" s="346"/>
      <c r="CU132" s="346"/>
      <c r="CV132" s="346"/>
      <c r="CW132" s="346"/>
      <c r="CX132" s="346"/>
      <c r="CY132" s="346"/>
      <c r="CZ132" s="346"/>
      <c r="DA132" s="346"/>
      <c r="DB132" s="346"/>
      <c r="DC132" s="346"/>
      <c r="DD132" s="346"/>
      <c r="DE132" s="346"/>
      <c r="DF132" s="346"/>
      <c r="DG132" s="346"/>
      <c r="DH132" s="346"/>
      <c r="DI132" s="346"/>
      <c r="DJ132" s="346"/>
    </row>
    <row r="133" spans="1:114" x14ac:dyDescent="0.25">
      <c r="A133" s="120">
        <v>15</v>
      </c>
      <c r="B133" s="79" t="s">
        <v>72</v>
      </c>
      <c r="C133" s="80">
        <v>1500</v>
      </c>
      <c r="D133" s="81">
        <v>70.77</v>
      </c>
      <c r="E133" s="59">
        <v>0</v>
      </c>
      <c r="F133" s="59"/>
      <c r="G133" s="56">
        <f t="shared" si="27"/>
        <v>0</v>
      </c>
      <c r="H133" s="55">
        <f>369-369</f>
        <v>0</v>
      </c>
      <c r="I133" s="56">
        <f t="shared" si="28"/>
        <v>0</v>
      </c>
      <c r="J133" s="56">
        <f t="shared" si="29"/>
        <v>0</v>
      </c>
      <c r="K133" s="57">
        <f t="shared" si="30"/>
        <v>0</v>
      </c>
      <c r="L133" s="297"/>
      <c r="M133" s="297"/>
      <c r="N133" s="314">
        <f t="shared" si="31"/>
        <v>555</v>
      </c>
      <c r="O133" s="310">
        <v>555</v>
      </c>
      <c r="P133" s="315"/>
      <c r="Q133" s="315"/>
      <c r="R133" s="315"/>
      <c r="S133" s="315"/>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c r="AT133" s="55"/>
      <c r="AU133" s="55"/>
      <c r="AV133" s="55"/>
      <c r="AW133" s="55"/>
      <c r="AX133" s="55"/>
      <c r="AY133" s="55"/>
      <c r="AZ133" s="55"/>
      <c r="BA133" s="55"/>
      <c r="BB133" s="55"/>
      <c r="BC133" s="55"/>
      <c r="BD133" s="55"/>
      <c r="BE133" s="55"/>
      <c r="BF133" s="55"/>
      <c r="BG133" s="55"/>
      <c r="BH133" s="55"/>
      <c r="BI133" s="55"/>
      <c r="BJ133" s="55"/>
      <c r="BK133" s="55"/>
      <c r="BL133" s="55"/>
      <c r="BM133" s="55"/>
      <c r="BN133" s="55"/>
      <c r="BO133" s="55"/>
      <c r="BP133" s="55"/>
      <c r="BQ133" s="55"/>
      <c r="BR133" s="55"/>
      <c r="BS133" s="55"/>
      <c r="BT133" s="55"/>
      <c r="BU133" s="55"/>
      <c r="BV133" s="55"/>
      <c r="BW133" s="55"/>
      <c r="BX133" s="55"/>
      <c r="BY133" s="55"/>
      <c r="BZ133" s="55"/>
      <c r="CA133" s="55"/>
      <c r="CB133" s="55"/>
      <c r="CC133" s="55"/>
      <c r="CD133" s="55"/>
      <c r="CE133" s="55"/>
      <c r="CF133" s="55"/>
      <c r="CG133" s="55"/>
      <c r="CH133" s="55"/>
      <c r="CI133" s="55"/>
      <c r="CJ133" s="55"/>
      <c r="CK133" s="55"/>
      <c r="CL133" s="55"/>
      <c r="CM133" s="55"/>
      <c r="CN133" s="55"/>
      <c r="CO133" s="55"/>
      <c r="CP133" s="55"/>
      <c r="CQ133" s="55"/>
      <c r="CR133" s="55"/>
      <c r="CS133" s="55"/>
      <c r="CT133" s="55"/>
      <c r="CU133" s="55"/>
      <c r="CV133" s="55"/>
      <c r="CW133" s="55"/>
      <c r="CX133" s="55"/>
      <c r="CY133" s="55"/>
      <c r="CZ133" s="55"/>
      <c r="DA133" s="55"/>
      <c r="DB133" s="55"/>
      <c r="DC133" s="55"/>
      <c r="DD133" s="55"/>
      <c r="DE133" s="55"/>
      <c r="DF133" s="55"/>
      <c r="DG133" s="55"/>
      <c r="DH133" s="55"/>
      <c r="DI133" s="55"/>
      <c r="DJ133" s="55"/>
    </row>
    <row r="134" spans="1:114" ht="15.75" thickBot="1" x14ac:dyDescent="0.3">
      <c r="A134" s="120">
        <v>16</v>
      </c>
      <c r="B134" s="115" t="s">
        <v>654</v>
      </c>
      <c r="C134" s="116">
        <v>6000</v>
      </c>
      <c r="D134" s="117">
        <v>70.77</v>
      </c>
      <c r="E134" s="118">
        <v>0</v>
      </c>
      <c r="F134" s="118"/>
      <c r="G134" s="109">
        <f t="shared" si="27"/>
        <v>0</v>
      </c>
      <c r="H134" s="55">
        <f>49-49</f>
        <v>0</v>
      </c>
      <c r="I134" s="109">
        <f t="shared" si="28"/>
        <v>0</v>
      </c>
      <c r="J134" s="109">
        <f t="shared" si="29"/>
        <v>0</v>
      </c>
      <c r="K134" s="110">
        <f t="shared" si="30"/>
        <v>0</v>
      </c>
      <c r="L134" s="297"/>
      <c r="M134" s="297"/>
      <c r="N134" s="321">
        <f t="shared" si="31"/>
        <v>0</v>
      </c>
      <c r="O134" s="312"/>
      <c r="P134" s="318"/>
      <c r="Q134" s="318"/>
      <c r="R134" s="318"/>
      <c r="S134" s="318"/>
      <c r="T134" s="108"/>
      <c r="U134" s="108"/>
      <c r="V134" s="108"/>
      <c r="W134" s="108"/>
      <c r="X134" s="108"/>
      <c r="Y134" s="108"/>
      <c r="Z134" s="108"/>
      <c r="AA134" s="108"/>
      <c r="AB134" s="108"/>
      <c r="AC134" s="108"/>
      <c r="AD134" s="108"/>
      <c r="AE134" s="108"/>
      <c r="AF134" s="108"/>
      <c r="AG134" s="108"/>
      <c r="AH134" s="108"/>
      <c r="AI134" s="108"/>
      <c r="AJ134" s="108"/>
      <c r="AK134" s="108"/>
      <c r="AL134" s="108"/>
      <c r="AM134" s="108"/>
      <c r="AN134" s="108"/>
      <c r="AO134" s="108"/>
      <c r="AP134" s="108"/>
      <c r="AQ134" s="108"/>
      <c r="AR134" s="108"/>
      <c r="AS134" s="108"/>
      <c r="AT134" s="108"/>
      <c r="AU134" s="108"/>
      <c r="AV134" s="108"/>
      <c r="AW134" s="108"/>
      <c r="AX134" s="108"/>
      <c r="AY134" s="108"/>
      <c r="AZ134" s="108"/>
      <c r="BA134" s="108"/>
      <c r="BB134" s="108"/>
      <c r="BC134" s="108"/>
      <c r="BD134" s="108"/>
      <c r="BE134" s="108"/>
      <c r="BF134" s="108"/>
      <c r="BG134" s="108"/>
      <c r="BH134" s="108"/>
      <c r="BI134" s="108"/>
      <c r="BJ134" s="108"/>
      <c r="BK134" s="108"/>
      <c r="BL134" s="108"/>
      <c r="BM134" s="108"/>
      <c r="BN134" s="108"/>
      <c r="BO134" s="108"/>
      <c r="BP134" s="108"/>
      <c r="BQ134" s="108"/>
      <c r="BR134" s="108"/>
      <c r="BS134" s="108"/>
      <c r="BT134" s="108"/>
      <c r="BU134" s="108"/>
      <c r="BV134" s="108"/>
      <c r="BW134" s="108"/>
      <c r="BX134" s="108"/>
      <c r="BY134" s="108"/>
      <c r="BZ134" s="108"/>
      <c r="CA134" s="108"/>
      <c r="CB134" s="108"/>
      <c r="CC134" s="108"/>
      <c r="CD134" s="108"/>
      <c r="CE134" s="108"/>
      <c r="CF134" s="108"/>
      <c r="CG134" s="108"/>
      <c r="CH134" s="108"/>
      <c r="CI134" s="108"/>
      <c r="CJ134" s="108"/>
      <c r="CK134" s="108"/>
      <c r="CL134" s="108"/>
      <c r="CM134" s="108"/>
      <c r="CN134" s="108"/>
      <c r="CO134" s="108"/>
      <c r="CP134" s="108"/>
      <c r="CQ134" s="108"/>
      <c r="CR134" s="108"/>
      <c r="CS134" s="108"/>
      <c r="CT134" s="108"/>
      <c r="CU134" s="108"/>
      <c r="CV134" s="108"/>
      <c r="CW134" s="108"/>
      <c r="CX134" s="108"/>
      <c r="CY134" s="108"/>
      <c r="CZ134" s="108"/>
      <c r="DA134" s="108"/>
      <c r="DB134" s="108"/>
      <c r="DC134" s="108"/>
      <c r="DD134" s="108"/>
      <c r="DE134" s="108"/>
      <c r="DF134" s="108"/>
      <c r="DG134" s="108"/>
      <c r="DH134" s="108"/>
      <c r="DI134" s="108"/>
      <c r="DJ134" s="108"/>
    </row>
    <row r="135" spans="1:114" ht="15.75" thickBot="1" x14ac:dyDescent="0.3">
      <c r="A135" s="83"/>
      <c r="B135" s="119" t="s">
        <v>666</v>
      </c>
      <c r="C135" s="90"/>
      <c r="D135" s="36"/>
      <c r="E135" s="61">
        <f t="shared" ref="E135:K135" si="32">SUM(E109:E134)</f>
        <v>0</v>
      </c>
      <c r="F135" s="61">
        <f t="shared" si="32"/>
        <v>0</v>
      </c>
      <c r="G135" s="61">
        <f t="shared" si="32"/>
        <v>0</v>
      </c>
      <c r="H135" s="46">
        <f t="shared" si="32"/>
        <v>0</v>
      </c>
      <c r="I135" s="46">
        <f t="shared" si="32"/>
        <v>0</v>
      </c>
      <c r="J135" s="46">
        <f t="shared" si="32"/>
        <v>0</v>
      </c>
      <c r="K135" s="172">
        <f t="shared" si="32"/>
        <v>0</v>
      </c>
      <c r="L135" s="299"/>
      <c r="M135" s="299"/>
      <c r="N135" s="322">
        <f t="shared" si="31"/>
        <v>0</v>
      </c>
      <c r="O135" s="325"/>
      <c r="P135" s="325"/>
      <c r="Q135" s="325"/>
      <c r="R135" s="325"/>
      <c r="S135" s="325"/>
      <c r="T135" s="324"/>
      <c r="U135" s="324"/>
      <c r="V135" s="324"/>
      <c r="W135" s="324"/>
      <c r="X135" s="324"/>
      <c r="Y135" s="324"/>
      <c r="Z135" s="324"/>
      <c r="AA135" s="324"/>
      <c r="AB135" s="324"/>
      <c r="AC135" s="324"/>
      <c r="AD135" s="324"/>
      <c r="AE135" s="324"/>
      <c r="AF135" s="324"/>
      <c r="AG135" s="324"/>
      <c r="AH135" s="324"/>
      <c r="AI135" s="324"/>
      <c r="AJ135" s="324"/>
      <c r="AK135" s="324"/>
      <c r="AL135" s="324"/>
      <c r="AM135" s="324"/>
      <c r="AN135" s="324"/>
      <c r="AO135" s="324"/>
      <c r="AP135" s="324"/>
      <c r="AQ135" s="324"/>
      <c r="AR135" s="324"/>
      <c r="AS135" s="324"/>
      <c r="AT135" s="324"/>
      <c r="AU135" s="324"/>
      <c r="AV135" s="324"/>
      <c r="AW135" s="324"/>
      <c r="AX135" s="324"/>
      <c r="AY135" s="324"/>
      <c r="AZ135" s="324"/>
      <c r="BA135" s="324"/>
      <c r="BB135" s="324"/>
      <c r="BC135" s="324"/>
      <c r="BD135" s="324"/>
      <c r="BE135" s="324"/>
      <c r="BF135" s="324"/>
      <c r="BG135" s="324"/>
      <c r="BH135" s="324"/>
      <c r="BI135" s="324"/>
      <c r="BJ135" s="324"/>
      <c r="BK135" s="324"/>
      <c r="BL135" s="324"/>
      <c r="BM135" s="324"/>
      <c r="BN135" s="324"/>
      <c r="BO135" s="324"/>
      <c r="BP135" s="324"/>
      <c r="BQ135" s="324"/>
      <c r="BR135" s="324"/>
      <c r="BS135" s="324"/>
      <c r="BT135" s="324"/>
      <c r="BU135" s="324"/>
      <c r="BV135" s="324"/>
      <c r="BW135" s="324"/>
      <c r="BX135" s="324"/>
      <c r="BY135" s="324"/>
      <c r="BZ135" s="324"/>
      <c r="CA135" s="324"/>
      <c r="CB135" s="324"/>
      <c r="CC135" s="324"/>
      <c r="CD135" s="324"/>
      <c r="CE135" s="324"/>
      <c r="CF135" s="324"/>
      <c r="CG135" s="324"/>
      <c r="CH135" s="324"/>
      <c r="CI135" s="324"/>
      <c r="CJ135" s="324"/>
      <c r="CK135" s="324"/>
      <c r="CL135" s="324"/>
      <c r="CM135" s="324"/>
      <c r="CN135" s="324"/>
      <c r="CO135" s="324"/>
      <c r="CP135" s="324"/>
      <c r="CQ135" s="324"/>
      <c r="CR135" s="324"/>
      <c r="CS135" s="324"/>
      <c r="CT135" s="324"/>
      <c r="CU135" s="324"/>
      <c r="CV135" s="324"/>
      <c r="CW135" s="324"/>
      <c r="CX135" s="324"/>
      <c r="CY135" s="324"/>
      <c r="CZ135" s="324"/>
      <c r="DA135" s="324"/>
      <c r="DB135" s="324"/>
      <c r="DC135" s="324"/>
      <c r="DD135" s="324"/>
      <c r="DE135" s="324"/>
      <c r="DF135" s="324"/>
      <c r="DG135" s="324"/>
      <c r="DH135" s="324"/>
      <c r="DI135" s="324"/>
      <c r="DJ135" s="324"/>
    </row>
    <row r="136" spans="1:114" ht="15.75" thickBot="1" x14ac:dyDescent="0.3">
      <c r="B136" s="93"/>
      <c r="C136" s="94"/>
      <c r="D136" s="95"/>
      <c r="E136" s="96"/>
      <c r="F136" s="62"/>
      <c r="G136" s="96"/>
      <c r="H136" s="96"/>
      <c r="I136" s="96"/>
      <c r="J136" s="96"/>
      <c r="K136" s="95"/>
      <c r="L136" s="163"/>
      <c r="M136" s="163"/>
      <c r="N136" s="295"/>
      <c r="O136" s="234"/>
      <c r="P136" s="234"/>
      <c r="Q136" s="234"/>
      <c r="R136" s="234"/>
      <c r="S136" s="234"/>
      <c r="T136" s="67"/>
      <c r="U136" s="67"/>
      <c r="V136" s="67"/>
    </row>
    <row r="137" spans="1:114" ht="15.75" thickBot="1" x14ac:dyDescent="0.3">
      <c r="A137" s="407" t="s">
        <v>657</v>
      </c>
      <c r="B137" s="414" t="s">
        <v>0</v>
      </c>
      <c r="C137" s="414" t="s">
        <v>1</v>
      </c>
      <c r="D137" s="415" t="s">
        <v>649</v>
      </c>
      <c r="E137" s="416" t="s">
        <v>19</v>
      </c>
      <c r="F137" s="416"/>
      <c r="G137" s="416"/>
      <c r="H137" s="416"/>
      <c r="I137" s="416"/>
      <c r="J137" s="410" t="s">
        <v>21</v>
      </c>
      <c r="K137" s="412" t="s">
        <v>602</v>
      </c>
      <c r="L137" s="295"/>
      <c r="M137" s="295"/>
      <c r="N137" s="403" t="s">
        <v>601</v>
      </c>
      <c r="O137" s="403" t="s">
        <v>924</v>
      </c>
      <c r="P137" s="403"/>
      <c r="Q137" s="403"/>
      <c r="R137" s="403"/>
      <c r="S137" s="403"/>
      <c r="T137" s="403"/>
      <c r="U137" s="403"/>
      <c r="V137" s="403"/>
      <c r="W137" s="403"/>
      <c r="X137" s="403"/>
      <c r="Y137" s="403"/>
      <c r="Z137" s="403"/>
      <c r="AA137" s="403"/>
      <c r="AB137" s="403"/>
      <c r="AC137" s="403"/>
      <c r="AD137" s="403"/>
      <c r="AE137" s="403"/>
      <c r="AF137" s="403"/>
      <c r="AG137" s="403"/>
      <c r="AH137" s="403"/>
      <c r="AI137" s="403"/>
      <c r="AJ137" s="403"/>
      <c r="AK137" s="403"/>
      <c r="AL137" s="403"/>
      <c r="AM137" s="403"/>
      <c r="AN137" s="403"/>
      <c r="AO137" s="403"/>
      <c r="AP137" s="403"/>
      <c r="AQ137" s="403"/>
      <c r="AR137" s="403"/>
      <c r="AS137" s="403"/>
      <c r="AT137" s="403"/>
      <c r="AU137" s="403"/>
      <c r="AV137" s="403"/>
      <c r="AW137" s="403"/>
      <c r="AX137" s="403"/>
      <c r="AY137" s="403"/>
      <c r="AZ137" s="403"/>
      <c r="BA137" s="403"/>
      <c r="BB137" s="403"/>
      <c r="BC137" s="403"/>
      <c r="BD137" s="403"/>
      <c r="BE137" s="403"/>
      <c r="BF137" s="403"/>
      <c r="BG137" s="403"/>
      <c r="BH137" s="403"/>
      <c r="BI137" s="403"/>
      <c r="BJ137" s="403"/>
      <c r="BK137" s="403"/>
      <c r="BL137" s="403"/>
      <c r="BM137" s="403"/>
      <c r="BN137" s="403"/>
      <c r="BO137" s="403"/>
      <c r="BP137" s="403"/>
      <c r="BQ137" s="403"/>
      <c r="BR137" s="403"/>
      <c r="BS137" s="403"/>
      <c r="BT137" s="403"/>
      <c r="BU137" s="403"/>
      <c r="BV137" s="403"/>
      <c r="BW137" s="403"/>
      <c r="BX137" s="403"/>
      <c r="BY137" s="403"/>
      <c r="BZ137" s="403"/>
      <c r="CA137" s="403"/>
      <c r="CB137" s="403"/>
      <c r="CC137" s="403"/>
      <c r="CD137" s="403"/>
      <c r="CE137" s="403"/>
      <c r="CF137" s="403"/>
      <c r="CG137" s="403"/>
      <c r="CH137" s="403"/>
      <c r="CI137" s="403"/>
      <c r="CJ137" s="403"/>
      <c r="CK137" s="403"/>
      <c r="CL137" s="403"/>
      <c r="CM137" s="403"/>
      <c r="CN137" s="403"/>
      <c r="CO137" s="403"/>
      <c r="CP137" s="403"/>
      <c r="CQ137" s="403"/>
      <c r="CR137" s="403"/>
      <c r="CS137" s="403"/>
      <c r="CT137" s="403"/>
      <c r="CU137" s="403"/>
      <c r="CV137" s="403"/>
      <c r="CW137" s="403"/>
      <c r="CX137" s="403"/>
      <c r="CY137" s="403"/>
      <c r="CZ137" s="403"/>
      <c r="DA137" s="403"/>
      <c r="DB137" s="403"/>
      <c r="DC137" s="403"/>
      <c r="DD137" s="403"/>
      <c r="DE137" s="403"/>
      <c r="DF137" s="403"/>
      <c r="DG137" s="403"/>
      <c r="DH137" s="403"/>
      <c r="DI137" s="403"/>
      <c r="DJ137" s="403"/>
    </row>
    <row r="138" spans="1:114" ht="15.75" thickBot="1" x14ac:dyDescent="0.3">
      <c r="A138" s="408"/>
      <c r="B138" s="414"/>
      <c r="C138" s="414"/>
      <c r="D138" s="415"/>
      <c r="E138" s="68" t="s">
        <v>22</v>
      </c>
      <c r="F138" s="68" t="s">
        <v>600</v>
      </c>
      <c r="G138" s="68" t="s">
        <v>601</v>
      </c>
      <c r="H138" s="68" t="s">
        <v>589</v>
      </c>
      <c r="I138" s="68" t="s">
        <v>601</v>
      </c>
      <c r="J138" s="411"/>
      <c r="K138" s="413"/>
      <c r="L138" s="295"/>
      <c r="M138" s="295"/>
      <c r="N138" s="403"/>
      <c r="O138" s="400" t="s">
        <v>925</v>
      </c>
      <c r="P138" s="400" t="s">
        <v>926</v>
      </c>
      <c r="Q138" s="400"/>
      <c r="R138" s="400"/>
      <c r="S138" s="400"/>
      <c r="T138" s="398"/>
      <c r="U138" s="398"/>
      <c r="V138" s="398"/>
      <c r="W138" s="398"/>
      <c r="X138" s="398"/>
      <c r="Y138" s="398"/>
      <c r="Z138" s="398"/>
      <c r="AA138" s="398"/>
      <c r="AB138" s="398"/>
      <c r="AC138" s="398"/>
      <c r="AD138" s="398"/>
      <c r="AE138" s="398"/>
      <c r="AF138" s="398"/>
      <c r="AG138" s="398"/>
      <c r="AH138" s="398"/>
      <c r="AI138" s="398"/>
      <c r="AJ138" s="398"/>
      <c r="AK138" s="398"/>
      <c r="AL138" s="398"/>
      <c r="AM138" s="398"/>
      <c r="AN138" s="398"/>
      <c r="AO138" s="398"/>
      <c r="AP138" s="398"/>
      <c r="AQ138" s="398"/>
      <c r="AR138" s="398"/>
      <c r="AS138" s="398"/>
      <c r="AT138" s="398"/>
      <c r="AU138" s="398"/>
      <c r="AV138" s="398"/>
      <c r="AW138" s="398"/>
      <c r="AX138" s="398"/>
      <c r="AY138" s="398"/>
      <c r="AZ138" s="398"/>
      <c r="BA138" s="398"/>
      <c r="BB138" s="398"/>
      <c r="BC138" s="398"/>
      <c r="BD138" s="398"/>
      <c r="BE138" s="398"/>
      <c r="BF138" s="398"/>
      <c r="BG138" s="398"/>
      <c r="BH138" s="398"/>
      <c r="BI138" s="398"/>
      <c r="BJ138" s="398"/>
      <c r="BK138" s="398"/>
      <c r="BL138" s="398"/>
      <c r="BM138" s="398"/>
      <c r="BN138" s="398"/>
      <c r="BO138" s="398"/>
      <c r="BP138" s="398"/>
      <c r="BQ138" s="398"/>
      <c r="BR138" s="398"/>
      <c r="BS138" s="398"/>
      <c r="BT138" s="398"/>
      <c r="BU138" s="398"/>
      <c r="BV138" s="398"/>
      <c r="BW138" s="398"/>
      <c r="BX138" s="398"/>
      <c r="BY138" s="398"/>
      <c r="BZ138" s="398"/>
      <c r="CA138" s="398"/>
      <c r="CB138" s="398"/>
      <c r="CC138" s="398"/>
      <c r="CD138" s="398"/>
      <c r="CE138" s="398"/>
      <c r="CF138" s="398"/>
      <c r="CG138" s="398"/>
      <c r="CH138" s="398"/>
      <c r="CI138" s="398"/>
      <c r="CJ138" s="398"/>
      <c r="CK138" s="398"/>
      <c r="CL138" s="398"/>
      <c r="CM138" s="398"/>
      <c r="CN138" s="398"/>
      <c r="CO138" s="398"/>
      <c r="CP138" s="398"/>
      <c r="CQ138" s="398"/>
      <c r="CR138" s="398"/>
      <c r="CS138" s="398"/>
      <c r="CT138" s="398"/>
      <c r="CU138" s="398"/>
      <c r="CV138" s="398"/>
      <c r="CW138" s="398"/>
      <c r="CX138" s="398"/>
      <c r="CY138" s="398"/>
      <c r="CZ138" s="398"/>
      <c r="DA138" s="398"/>
      <c r="DB138" s="398"/>
      <c r="DC138" s="398"/>
      <c r="DD138" s="398"/>
      <c r="DE138" s="398"/>
      <c r="DF138" s="398"/>
      <c r="DG138" s="398"/>
      <c r="DH138" s="398"/>
      <c r="DI138" s="398"/>
      <c r="DJ138" s="398"/>
    </row>
    <row r="139" spans="1:114" ht="15.75" thickBot="1" x14ac:dyDescent="0.3">
      <c r="A139" s="409"/>
      <c r="B139" s="69">
        <v>1</v>
      </c>
      <c r="C139" s="69">
        <v>2</v>
      </c>
      <c r="D139" s="69">
        <v>3</v>
      </c>
      <c r="E139" s="70">
        <v>4</v>
      </c>
      <c r="F139" s="70">
        <f>+E139+1</f>
        <v>5</v>
      </c>
      <c r="G139" s="70" t="s">
        <v>652</v>
      </c>
      <c r="H139" s="70">
        <v>7</v>
      </c>
      <c r="I139" s="71" t="s">
        <v>651</v>
      </c>
      <c r="J139" s="42" t="s">
        <v>650</v>
      </c>
      <c r="K139" s="303" t="s">
        <v>653</v>
      </c>
      <c r="L139" s="296"/>
      <c r="M139" s="296"/>
      <c r="N139" s="403"/>
      <c r="O139" s="402"/>
      <c r="P139" s="402"/>
      <c r="Q139" s="402"/>
      <c r="R139" s="402"/>
      <c r="S139" s="402"/>
      <c r="T139" s="399"/>
      <c r="U139" s="399"/>
      <c r="V139" s="399"/>
      <c r="W139" s="399"/>
      <c r="X139" s="399"/>
      <c r="Y139" s="399"/>
      <c r="Z139" s="399"/>
      <c r="AA139" s="399"/>
      <c r="AB139" s="399"/>
      <c r="AC139" s="399"/>
      <c r="AD139" s="399"/>
      <c r="AE139" s="399"/>
      <c r="AF139" s="399"/>
      <c r="AG139" s="399"/>
      <c r="AH139" s="399"/>
      <c r="AI139" s="399"/>
      <c r="AJ139" s="399"/>
      <c r="AK139" s="399"/>
      <c r="AL139" s="399"/>
      <c r="AM139" s="399"/>
      <c r="AN139" s="399"/>
      <c r="AO139" s="399"/>
      <c r="AP139" s="399"/>
      <c r="AQ139" s="399"/>
      <c r="AR139" s="399"/>
      <c r="AS139" s="399"/>
      <c r="AT139" s="399"/>
      <c r="AU139" s="399"/>
      <c r="AV139" s="399"/>
      <c r="AW139" s="399"/>
      <c r="AX139" s="399"/>
      <c r="AY139" s="399"/>
      <c r="AZ139" s="399"/>
      <c r="BA139" s="399"/>
      <c r="BB139" s="399"/>
      <c r="BC139" s="399"/>
      <c r="BD139" s="399"/>
      <c r="BE139" s="399"/>
      <c r="BF139" s="399"/>
      <c r="BG139" s="399"/>
      <c r="BH139" s="399"/>
      <c r="BI139" s="399"/>
      <c r="BJ139" s="399"/>
      <c r="BK139" s="399"/>
      <c r="BL139" s="399"/>
      <c r="BM139" s="399"/>
      <c r="BN139" s="399"/>
      <c r="BO139" s="399"/>
      <c r="BP139" s="399"/>
      <c r="BQ139" s="399"/>
      <c r="BR139" s="399"/>
      <c r="BS139" s="399"/>
      <c r="BT139" s="399"/>
      <c r="BU139" s="399"/>
      <c r="BV139" s="399"/>
      <c r="BW139" s="399"/>
      <c r="BX139" s="399"/>
      <c r="BY139" s="399"/>
      <c r="BZ139" s="399"/>
      <c r="CA139" s="399"/>
      <c r="CB139" s="399"/>
      <c r="CC139" s="399"/>
      <c r="CD139" s="399"/>
      <c r="CE139" s="399"/>
      <c r="CF139" s="399"/>
      <c r="CG139" s="399"/>
      <c r="CH139" s="399"/>
      <c r="CI139" s="399"/>
      <c r="CJ139" s="399"/>
      <c r="CK139" s="399"/>
      <c r="CL139" s="399"/>
      <c r="CM139" s="399"/>
      <c r="CN139" s="399"/>
      <c r="CO139" s="399"/>
      <c r="CP139" s="399"/>
      <c r="CQ139" s="399"/>
      <c r="CR139" s="399"/>
      <c r="CS139" s="399"/>
      <c r="CT139" s="399"/>
      <c r="CU139" s="399"/>
      <c r="CV139" s="399"/>
      <c r="CW139" s="399"/>
      <c r="CX139" s="399"/>
      <c r="CY139" s="399"/>
      <c r="CZ139" s="399"/>
      <c r="DA139" s="399"/>
      <c r="DB139" s="399"/>
      <c r="DC139" s="399"/>
      <c r="DD139" s="399"/>
      <c r="DE139" s="399"/>
      <c r="DF139" s="399"/>
      <c r="DG139" s="399"/>
      <c r="DH139" s="399"/>
      <c r="DI139" s="399"/>
      <c r="DJ139" s="399"/>
    </row>
    <row r="140" spans="1:114" x14ac:dyDescent="0.25">
      <c r="A140" s="72"/>
      <c r="B140" s="72" t="s">
        <v>667</v>
      </c>
      <c r="C140" s="91"/>
      <c r="D140" s="74"/>
      <c r="E140" s="54"/>
      <c r="F140" s="54"/>
      <c r="G140" s="54"/>
      <c r="H140" s="54"/>
      <c r="I140" s="54"/>
      <c r="J140" s="54"/>
      <c r="K140" s="54"/>
      <c r="L140" s="234"/>
      <c r="M140" s="234"/>
      <c r="N140" s="314">
        <f t="shared" ref="N140:N153" si="33">SUM(O140:DK140)</f>
        <v>0</v>
      </c>
      <c r="O140" s="310"/>
      <c r="P140" s="315"/>
      <c r="Q140" s="315"/>
      <c r="R140" s="315"/>
      <c r="S140" s="315"/>
      <c r="T140" s="55"/>
      <c r="U140" s="55"/>
      <c r="V140" s="55"/>
      <c r="W140" s="55"/>
      <c r="X140" s="55"/>
      <c r="Y140" s="55"/>
      <c r="Z140" s="55"/>
      <c r="AA140" s="55"/>
      <c r="AB140" s="55"/>
      <c r="AC140" s="55"/>
      <c r="AD140" s="55"/>
      <c r="AE140" s="55"/>
      <c r="AF140" s="55"/>
      <c r="AG140" s="55"/>
      <c r="AH140" s="55"/>
      <c r="AI140" s="55"/>
      <c r="AJ140" s="55"/>
      <c r="AK140" s="55"/>
      <c r="AL140" s="55"/>
      <c r="AM140" s="55"/>
      <c r="AN140" s="55"/>
      <c r="AO140" s="55"/>
      <c r="AP140" s="55"/>
      <c r="AQ140" s="55"/>
      <c r="AR140" s="55"/>
      <c r="AS140" s="55"/>
      <c r="AT140" s="55"/>
      <c r="AU140" s="55"/>
      <c r="AV140" s="55"/>
      <c r="AW140" s="55"/>
      <c r="AX140" s="55"/>
      <c r="AY140" s="55"/>
      <c r="AZ140" s="55"/>
      <c r="BA140" s="55"/>
      <c r="BB140" s="55"/>
      <c r="BC140" s="55"/>
      <c r="BD140" s="55"/>
      <c r="BE140" s="55"/>
      <c r="BF140" s="55"/>
      <c r="BG140" s="55"/>
      <c r="BH140" s="55"/>
      <c r="BI140" s="55"/>
      <c r="BJ140" s="55"/>
      <c r="BK140" s="55"/>
      <c r="BL140" s="55"/>
      <c r="BM140" s="55"/>
      <c r="BN140" s="55"/>
      <c r="BO140" s="55"/>
      <c r="BP140" s="55"/>
      <c r="BQ140" s="55"/>
      <c r="BR140" s="55"/>
      <c r="BS140" s="55"/>
      <c r="BT140" s="55"/>
      <c r="BU140" s="55"/>
      <c r="BV140" s="55"/>
      <c r="BW140" s="55"/>
      <c r="BX140" s="55"/>
      <c r="BY140" s="55"/>
      <c r="BZ140" s="55"/>
      <c r="CA140" s="55"/>
      <c r="CB140" s="55"/>
      <c r="CC140" s="55"/>
      <c r="CD140" s="55"/>
      <c r="CE140" s="55"/>
      <c r="CF140" s="55"/>
      <c r="CG140" s="55"/>
      <c r="CH140" s="55"/>
      <c r="CI140" s="55"/>
      <c r="CJ140" s="55"/>
      <c r="CK140" s="55"/>
      <c r="CL140" s="55"/>
      <c r="CM140" s="55"/>
      <c r="CN140" s="55"/>
      <c r="CO140" s="55"/>
      <c r="CP140" s="55"/>
      <c r="CQ140" s="55"/>
      <c r="CR140" s="55"/>
      <c r="CS140" s="55"/>
      <c r="CT140" s="55"/>
      <c r="CU140" s="55"/>
      <c r="CV140" s="55"/>
      <c r="CW140" s="55"/>
      <c r="CX140" s="55"/>
      <c r="CY140" s="55"/>
      <c r="CZ140" s="55"/>
      <c r="DA140" s="55"/>
      <c r="DB140" s="55"/>
      <c r="DC140" s="55"/>
      <c r="DD140" s="55"/>
      <c r="DE140" s="55"/>
      <c r="DF140" s="55"/>
      <c r="DG140" s="55"/>
      <c r="DH140" s="55"/>
      <c r="DI140" s="55"/>
      <c r="DJ140" s="55"/>
    </row>
    <row r="141" spans="1:114" x14ac:dyDescent="0.25">
      <c r="A141" s="120">
        <v>1</v>
      </c>
      <c r="B141" s="79" t="s">
        <v>73</v>
      </c>
      <c r="C141" s="80">
        <v>2000</v>
      </c>
      <c r="D141" s="81">
        <v>145.15</v>
      </c>
      <c r="E141" s="60">
        <v>0</v>
      </c>
      <c r="F141" s="60"/>
      <c r="G141" s="56">
        <f t="shared" ref="G141:G170" si="34">+E141+F141</f>
        <v>0</v>
      </c>
      <c r="H141" s="55"/>
      <c r="I141" s="56">
        <f t="shared" ref="I141:I170" si="35">+G141-H141</f>
        <v>0</v>
      </c>
      <c r="J141" s="56">
        <f t="shared" ref="J141:J170" si="36">I141*C141</f>
        <v>0</v>
      </c>
      <c r="K141" s="57">
        <f t="shared" ref="K141:K170" si="37">+D141*I141</f>
        <v>0</v>
      </c>
      <c r="L141" s="297"/>
      <c r="M141" s="297"/>
      <c r="N141" s="314">
        <f t="shared" si="33"/>
        <v>0</v>
      </c>
      <c r="O141" s="310"/>
      <c r="P141" s="315"/>
      <c r="Q141" s="315"/>
      <c r="R141" s="315"/>
      <c r="S141" s="315"/>
      <c r="T141" s="55"/>
      <c r="U141" s="55"/>
      <c r="V141" s="55"/>
      <c r="W141" s="55"/>
      <c r="X141" s="55"/>
      <c r="Y141" s="55"/>
      <c r="Z141" s="55"/>
      <c r="AA141" s="55"/>
      <c r="AB141" s="55"/>
      <c r="AC141" s="55"/>
      <c r="AD141" s="55"/>
      <c r="AE141" s="55"/>
      <c r="AF141" s="55"/>
      <c r="AG141" s="55"/>
      <c r="AH141" s="55"/>
      <c r="AI141" s="55"/>
      <c r="AJ141" s="55"/>
      <c r="AK141" s="55"/>
      <c r="AL141" s="55"/>
      <c r="AM141" s="55"/>
      <c r="AN141" s="55"/>
      <c r="AO141" s="55"/>
      <c r="AP141" s="55"/>
      <c r="AQ141" s="55"/>
      <c r="AR141" s="55"/>
      <c r="AS141" s="55"/>
      <c r="AT141" s="55"/>
      <c r="AU141" s="55"/>
      <c r="AV141" s="55"/>
      <c r="AW141" s="55"/>
      <c r="AX141" s="55"/>
      <c r="AY141" s="55"/>
      <c r="AZ141" s="55"/>
      <c r="BA141" s="55"/>
      <c r="BB141" s="55"/>
      <c r="BC141" s="55"/>
      <c r="BD141" s="55"/>
      <c r="BE141" s="55"/>
      <c r="BF141" s="55"/>
      <c r="BG141" s="55"/>
      <c r="BH141" s="55"/>
      <c r="BI141" s="55"/>
      <c r="BJ141" s="55"/>
      <c r="BK141" s="55"/>
      <c r="BL141" s="55"/>
      <c r="BM141" s="55"/>
      <c r="BN141" s="55"/>
      <c r="BO141" s="55"/>
      <c r="BP141" s="55"/>
      <c r="BQ141" s="55"/>
      <c r="BR141" s="55"/>
      <c r="BS141" s="55"/>
      <c r="BT141" s="55"/>
      <c r="BU141" s="55"/>
      <c r="BV141" s="55"/>
      <c r="BW141" s="55"/>
      <c r="BX141" s="55"/>
      <c r="BY141" s="55"/>
      <c r="BZ141" s="55"/>
      <c r="CA141" s="55"/>
      <c r="CB141" s="55"/>
      <c r="CC141" s="55"/>
      <c r="CD141" s="55"/>
      <c r="CE141" s="55"/>
      <c r="CF141" s="55"/>
      <c r="CG141" s="55"/>
      <c r="CH141" s="55"/>
      <c r="CI141" s="55"/>
      <c r="CJ141" s="55"/>
      <c r="CK141" s="55"/>
      <c r="CL141" s="55"/>
      <c r="CM141" s="55"/>
      <c r="CN141" s="55"/>
      <c r="CO141" s="55"/>
      <c r="CP141" s="55"/>
      <c r="CQ141" s="55"/>
      <c r="CR141" s="55"/>
      <c r="CS141" s="55"/>
      <c r="CT141" s="55"/>
      <c r="CU141" s="55"/>
      <c r="CV141" s="55"/>
      <c r="CW141" s="55"/>
      <c r="CX141" s="55"/>
      <c r="CY141" s="55"/>
      <c r="CZ141" s="55"/>
      <c r="DA141" s="55"/>
      <c r="DB141" s="55"/>
      <c r="DC141" s="55"/>
      <c r="DD141" s="55"/>
      <c r="DE141" s="55"/>
      <c r="DF141" s="55"/>
      <c r="DG141" s="55"/>
      <c r="DH141" s="55"/>
      <c r="DI141" s="55"/>
      <c r="DJ141" s="55"/>
    </row>
    <row r="142" spans="1:114" x14ac:dyDescent="0.25">
      <c r="A142" s="120">
        <v>2</v>
      </c>
      <c r="B142" s="79" t="s">
        <v>74</v>
      </c>
      <c r="C142" s="80">
        <v>2500</v>
      </c>
      <c r="D142" s="81">
        <v>208.86</v>
      </c>
      <c r="E142" s="60">
        <v>0</v>
      </c>
      <c r="F142" s="60"/>
      <c r="G142" s="56">
        <f t="shared" si="34"/>
        <v>0</v>
      </c>
      <c r="H142" s="55"/>
      <c r="I142" s="56">
        <f t="shared" si="35"/>
        <v>0</v>
      </c>
      <c r="J142" s="56">
        <f t="shared" si="36"/>
        <v>0</v>
      </c>
      <c r="K142" s="57">
        <f t="shared" si="37"/>
        <v>0</v>
      </c>
      <c r="L142" s="297"/>
      <c r="M142" s="297"/>
      <c r="N142" s="314">
        <f t="shared" si="33"/>
        <v>0</v>
      </c>
      <c r="O142" s="310"/>
      <c r="P142" s="315"/>
      <c r="Q142" s="315"/>
      <c r="R142" s="315"/>
      <c r="S142" s="315"/>
      <c r="T142" s="55"/>
      <c r="U142" s="55"/>
      <c r="V142" s="55"/>
      <c r="W142" s="55"/>
      <c r="X142" s="55"/>
      <c r="Y142" s="55"/>
      <c r="Z142" s="55"/>
      <c r="AA142" s="55"/>
      <c r="AB142" s="55"/>
      <c r="AC142" s="55"/>
      <c r="AD142" s="55"/>
      <c r="AE142" s="55"/>
      <c r="AF142" s="55"/>
      <c r="AG142" s="55"/>
      <c r="AH142" s="55"/>
      <c r="AI142" s="55"/>
      <c r="AJ142" s="55"/>
      <c r="AK142" s="55"/>
      <c r="AL142" s="55"/>
      <c r="AM142" s="55"/>
      <c r="AN142" s="55"/>
      <c r="AO142" s="55"/>
      <c r="AP142" s="55"/>
      <c r="AQ142" s="55"/>
      <c r="AR142" s="55"/>
      <c r="AS142" s="55"/>
      <c r="AT142" s="55"/>
      <c r="AU142" s="55"/>
      <c r="AV142" s="55"/>
      <c r="AW142" s="55"/>
      <c r="AX142" s="55"/>
      <c r="AY142" s="55"/>
      <c r="AZ142" s="55"/>
      <c r="BA142" s="55"/>
      <c r="BB142" s="55"/>
      <c r="BC142" s="55"/>
      <c r="BD142" s="55"/>
      <c r="BE142" s="55"/>
      <c r="BF142" s="55"/>
      <c r="BG142" s="55"/>
      <c r="BH142" s="55"/>
      <c r="BI142" s="55"/>
      <c r="BJ142" s="55"/>
      <c r="BK142" s="55"/>
      <c r="BL142" s="55"/>
      <c r="BM142" s="55"/>
      <c r="BN142" s="55"/>
      <c r="BO142" s="55"/>
      <c r="BP142" s="55"/>
      <c r="BQ142" s="55"/>
      <c r="BR142" s="55"/>
      <c r="BS142" s="55"/>
      <c r="BT142" s="55"/>
      <c r="BU142" s="55"/>
      <c r="BV142" s="55"/>
      <c r="BW142" s="55"/>
      <c r="BX142" s="55"/>
      <c r="BY142" s="55"/>
      <c r="BZ142" s="55"/>
      <c r="CA142" s="55"/>
      <c r="CB142" s="55"/>
      <c r="CC142" s="55"/>
      <c r="CD142" s="55"/>
      <c r="CE142" s="55"/>
      <c r="CF142" s="55"/>
      <c r="CG142" s="55"/>
      <c r="CH142" s="55"/>
      <c r="CI142" s="55"/>
      <c r="CJ142" s="55"/>
      <c r="CK142" s="55"/>
      <c r="CL142" s="55"/>
      <c r="CM142" s="55"/>
      <c r="CN142" s="55"/>
      <c r="CO142" s="55"/>
      <c r="CP142" s="55"/>
      <c r="CQ142" s="55"/>
      <c r="CR142" s="55"/>
      <c r="CS142" s="55"/>
      <c r="CT142" s="55"/>
      <c r="CU142" s="55"/>
      <c r="CV142" s="55"/>
      <c r="CW142" s="55"/>
      <c r="CX142" s="55"/>
      <c r="CY142" s="55"/>
      <c r="CZ142" s="55"/>
      <c r="DA142" s="55"/>
      <c r="DB142" s="55"/>
      <c r="DC142" s="55"/>
      <c r="DD142" s="55"/>
      <c r="DE142" s="55"/>
      <c r="DF142" s="55"/>
      <c r="DG142" s="55"/>
      <c r="DH142" s="55"/>
      <c r="DI142" s="55"/>
      <c r="DJ142" s="55"/>
    </row>
    <row r="143" spans="1:114" x14ac:dyDescent="0.25">
      <c r="A143" s="120">
        <v>3</v>
      </c>
      <c r="B143" s="79" t="s">
        <v>75</v>
      </c>
      <c r="C143" s="80">
        <v>5000</v>
      </c>
      <c r="D143" s="81"/>
      <c r="E143" s="60">
        <v>0</v>
      </c>
      <c r="F143" s="60"/>
      <c r="G143" s="56">
        <f t="shared" si="34"/>
        <v>0</v>
      </c>
      <c r="H143" s="55"/>
      <c r="I143" s="56">
        <f t="shared" si="35"/>
        <v>0</v>
      </c>
      <c r="J143" s="56">
        <f t="shared" si="36"/>
        <v>0</v>
      </c>
      <c r="K143" s="57">
        <f t="shared" si="37"/>
        <v>0</v>
      </c>
      <c r="L143" s="297"/>
      <c r="M143" s="297"/>
      <c r="N143" s="314">
        <f t="shared" si="33"/>
        <v>0</v>
      </c>
      <c r="O143" s="310"/>
      <c r="P143" s="315"/>
      <c r="Q143" s="315"/>
      <c r="R143" s="315"/>
      <c r="S143" s="315"/>
      <c r="T143" s="55"/>
      <c r="U143" s="55"/>
      <c r="V143" s="55"/>
      <c r="W143" s="55"/>
      <c r="X143" s="55"/>
      <c r="Y143" s="55"/>
      <c r="Z143" s="55"/>
      <c r="AA143" s="55"/>
      <c r="AB143" s="55"/>
      <c r="AC143" s="55"/>
      <c r="AD143" s="55"/>
      <c r="AE143" s="55"/>
      <c r="AF143" s="55"/>
      <c r="AG143" s="55"/>
      <c r="AH143" s="55"/>
      <c r="AI143" s="55"/>
      <c r="AJ143" s="55"/>
      <c r="AK143" s="55"/>
      <c r="AL143" s="55"/>
      <c r="AM143" s="55"/>
      <c r="AN143" s="55"/>
      <c r="AO143" s="55"/>
      <c r="AP143" s="55"/>
      <c r="AQ143" s="55"/>
      <c r="AR143" s="55"/>
      <c r="AS143" s="55"/>
      <c r="AT143" s="55"/>
      <c r="AU143" s="55"/>
      <c r="AV143" s="55"/>
      <c r="AW143" s="55"/>
      <c r="AX143" s="55"/>
      <c r="AY143" s="55"/>
      <c r="AZ143" s="55"/>
      <c r="BA143" s="55"/>
      <c r="BB143" s="55"/>
      <c r="BC143" s="55"/>
      <c r="BD143" s="55"/>
      <c r="BE143" s="55"/>
      <c r="BF143" s="55"/>
      <c r="BG143" s="55"/>
      <c r="BH143" s="55"/>
      <c r="BI143" s="55"/>
      <c r="BJ143" s="55"/>
      <c r="BK143" s="55"/>
      <c r="BL143" s="55"/>
      <c r="BM143" s="55"/>
      <c r="BN143" s="55"/>
      <c r="BO143" s="55"/>
      <c r="BP143" s="55"/>
      <c r="BQ143" s="55"/>
      <c r="BR143" s="55"/>
      <c r="BS143" s="55"/>
      <c r="BT143" s="55"/>
      <c r="BU143" s="55"/>
      <c r="BV143" s="55"/>
      <c r="BW143" s="55"/>
      <c r="BX143" s="55"/>
      <c r="BY143" s="55"/>
      <c r="BZ143" s="55"/>
      <c r="CA143" s="55"/>
      <c r="CB143" s="55"/>
      <c r="CC143" s="55"/>
      <c r="CD143" s="55"/>
      <c r="CE143" s="55"/>
      <c r="CF143" s="55"/>
      <c r="CG143" s="55"/>
      <c r="CH143" s="55"/>
      <c r="CI143" s="55"/>
      <c r="CJ143" s="55"/>
      <c r="CK143" s="55"/>
      <c r="CL143" s="55"/>
      <c r="CM143" s="55"/>
      <c r="CN143" s="55"/>
      <c r="CO143" s="55"/>
      <c r="CP143" s="55"/>
      <c r="CQ143" s="55"/>
      <c r="CR143" s="55"/>
      <c r="CS143" s="55"/>
      <c r="CT143" s="55"/>
      <c r="CU143" s="55"/>
      <c r="CV143" s="55"/>
      <c r="CW143" s="55"/>
      <c r="CX143" s="55"/>
      <c r="CY143" s="55"/>
      <c r="CZ143" s="55"/>
      <c r="DA143" s="55"/>
      <c r="DB143" s="55"/>
      <c r="DC143" s="55"/>
      <c r="DD143" s="55"/>
      <c r="DE143" s="55"/>
      <c r="DF143" s="55"/>
      <c r="DG143" s="55"/>
      <c r="DH143" s="55"/>
      <c r="DI143" s="55"/>
      <c r="DJ143" s="55"/>
    </row>
    <row r="144" spans="1:114" x14ac:dyDescent="0.25">
      <c r="A144" s="120">
        <v>4</v>
      </c>
      <c r="B144" s="79" t="s">
        <v>76</v>
      </c>
      <c r="C144" s="80"/>
      <c r="D144" s="81"/>
      <c r="E144" s="60">
        <v>0</v>
      </c>
      <c r="F144" s="60"/>
      <c r="G144" s="56">
        <f t="shared" si="34"/>
        <v>0</v>
      </c>
      <c r="H144" s="55"/>
      <c r="I144" s="56">
        <f t="shared" si="35"/>
        <v>0</v>
      </c>
      <c r="J144" s="56">
        <f t="shared" si="36"/>
        <v>0</v>
      </c>
      <c r="K144" s="57">
        <f t="shared" si="37"/>
        <v>0</v>
      </c>
      <c r="L144" s="297"/>
      <c r="M144" s="297"/>
      <c r="N144" s="314">
        <f t="shared" si="33"/>
        <v>0</v>
      </c>
      <c r="O144" s="310"/>
      <c r="P144" s="315"/>
      <c r="Q144" s="315"/>
      <c r="R144" s="315"/>
      <c r="S144" s="315"/>
      <c r="T144" s="55"/>
      <c r="U144" s="55"/>
      <c r="V144" s="55"/>
      <c r="W144" s="55"/>
      <c r="X144" s="55"/>
      <c r="Y144" s="55"/>
      <c r="Z144" s="55"/>
      <c r="AA144" s="55"/>
      <c r="AB144" s="55"/>
      <c r="AC144" s="55"/>
      <c r="AD144" s="55"/>
      <c r="AE144" s="55"/>
      <c r="AF144" s="55"/>
      <c r="AG144" s="55"/>
      <c r="AH144" s="55"/>
      <c r="AI144" s="55"/>
      <c r="AJ144" s="55"/>
      <c r="AK144" s="55"/>
      <c r="AL144" s="55"/>
      <c r="AM144" s="55"/>
      <c r="AN144" s="55"/>
      <c r="AO144" s="55"/>
      <c r="AP144" s="55"/>
      <c r="AQ144" s="55"/>
      <c r="AR144" s="55"/>
      <c r="AS144" s="55"/>
      <c r="AT144" s="55"/>
      <c r="AU144" s="55"/>
      <c r="AV144" s="55"/>
      <c r="AW144" s="55"/>
      <c r="AX144" s="55"/>
      <c r="AY144" s="55"/>
      <c r="AZ144" s="55"/>
      <c r="BA144" s="55"/>
      <c r="BB144" s="55"/>
      <c r="BC144" s="55"/>
      <c r="BD144" s="55"/>
      <c r="BE144" s="55"/>
      <c r="BF144" s="55"/>
      <c r="BG144" s="55"/>
      <c r="BH144" s="55"/>
      <c r="BI144" s="55"/>
      <c r="BJ144" s="55"/>
      <c r="BK144" s="55"/>
      <c r="BL144" s="55"/>
      <c r="BM144" s="55"/>
      <c r="BN144" s="55"/>
      <c r="BO144" s="55"/>
      <c r="BP144" s="55"/>
      <c r="BQ144" s="55"/>
      <c r="BR144" s="55"/>
      <c r="BS144" s="55"/>
      <c r="BT144" s="55"/>
      <c r="BU144" s="55"/>
      <c r="BV144" s="55"/>
      <c r="BW144" s="55"/>
      <c r="BX144" s="55"/>
      <c r="BY144" s="55"/>
      <c r="BZ144" s="55"/>
      <c r="CA144" s="55"/>
      <c r="CB144" s="55"/>
      <c r="CC144" s="55"/>
      <c r="CD144" s="55"/>
      <c r="CE144" s="55"/>
      <c r="CF144" s="55"/>
      <c r="CG144" s="55"/>
      <c r="CH144" s="55"/>
      <c r="CI144" s="55"/>
      <c r="CJ144" s="55"/>
      <c r="CK144" s="55"/>
      <c r="CL144" s="55"/>
      <c r="CM144" s="55"/>
      <c r="CN144" s="55"/>
      <c r="CO144" s="55"/>
      <c r="CP144" s="55"/>
      <c r="CQ144" s="55"/>
      <c r="CR144" s="55"/>
      <c r="CS144" s="55"/>
      <c r="CT144" s="55"/>
      <c r="CU144" s="55"/>
      <c r="CV144" s="55"/>
      <c r="CW144" s="55"/>
      <c r="CX144" s="55"/>
      <c r="CY144" s="55"/>
      <c r="CZ144" s="55"/>
      <c r="DA144" s="55"/>
      <c r="DB144" s="55"/>
      <c r="DC144" s="55"/>
      <c r="DD144" s="55"/>
      <c r="DE144" s="55"/>
      <c r="DF144" s="55"/>
      <c r="DG144" s="55"/>
      <c r="DH144" s="55"/>
      <c r="DI144" s="55"/>
      <c r="DJ144" s="55"/>
    </row>
    <row r="145" spans="1:114" x14ac:dyDescent="0.25">
      <c r="A145" s="120">
        <v>5</v>
      </c>
      <c r="B145" s="92" t="s">
        <v>77</v>
      </c>
      <c r="C145" s="80">
        <v>2500</v>
      </c>
      <c r="D145" s="81">
        <v>198.18</v>
      </c>
      <c r="E145" s="60">
        <v>0</v>
      </c>
      <c r="F145" s="60"/>
      <c r="G145" s="56">
        <f t="shared" si="34"/>
        <v>0</v>
      </c>
      <c r="H145" s="55"/>
      <c r="I145" s="56">
        <f t="shared" si="35"/>
        <v>0</v>
      </c>
      <c r="J145" s="56">
        <f t="shared" si="36"/>
        <v>0</v>
      </c>
      <c r="K145" s="57">
        <f t="shared" si="37"/>
        <v>0</v>
      </c>
      <c r="L145" s="297"/>
      <c r="M145" s="297"/>
      <c r="N145" s="314">
        <f t="shared" si="33"/>
        <v>0</v>
      </c>
      <c r="O145" s="310"/>
      <c r="P145" s="315"/>
      <c r="Q145" s="315"/>
      <c r="R145" s="315"/>
      <c r="S145" s="315"/>
      <c r="T145" s="55"/>
      <c r="U145" s="55"/>
      <c r="V145" s="55"/>
      <c r="W145" s="55"/>
      <c r="X145" s="55"/>
      <c r="Y145" s="55"/>
      <c r="Z145" s="55"/>
      <c r="AA145" s="55"/>
      <c r="AB145" s="55"/>
      <c r="AC145" s="55"/>
      <c r="AD145" s="55"/>
      <c r="AE145" s="55"/>
      <c r="AF145" s="55"/>
      <c r="AG145" s="55"/>
      <c r="AH145" s="55"/>
      <c r="AI145" s="55"/>
      <c r="AJ145" s="55"/>
      <c r="AK145" s="55"/>
      <c r="AL145" s="55"/>
      <c r="AM145" s="55"/>
      <c r="AN145" s="55"/>
      <c r="AO145" s="55"/>
      <c r="AP145" s="55"/>
      <c r="AQ145" s="55"/>
      <c r="AR145" s="55"/>
      <c r="AS145" s="55"/>
      <c r="AT145" s="55"/>
      <c r="AU145" s="55"/>
      <c r="AV145" s="55"/>
      <c r="AW145" s="55"/>
      <c r="AX145" s="55"/>
      <c r="AY145" s="55"/>
      <c r="AZ145" s="55"/>
      <c r="BA145" s="55"/>
      <c r="BB145" s="55"/>
      <c r="BC145" s="55"/>
      <c r="BD145" s="55"/>
      <c r="BE145" s="55"/>
      <c r="BF145" s="55"/>
      <c r="BG145" s="55"/>
      <c r="BH145" s="55"/>
      <c r="BI145" s="55"/>
      <c r="BJ145" s="55"/>
      <c r="BK145" s="55"/>
      <c r="BL145" s="55"/>
      <c r="BM145" s="55"/>
      <c r="BN145" s="55"/>
      <c r="BO145" s="55"/>
      <c r="BP145" s="55"/>
      <c r="BQ145" s="55"/>
      <c r="BR145" s="55"/>
      <c r="BS145" s="55"/>
      <c r="BT145" s="55"/>
      <c r="BU145" s="55"/>
      <c r="BV145" s="55"/>
      <c r="BW145" s="55"/>
      <c r="BX145" s="55"/>
      <c r="BY145" s="55"/>
      <c r="BZ145" s="55"/>
      <c r="CA145" s="55"/>
      <c r="CB145" s="55"/>
      <c r="CC145" s="55"/>
      <c r="CD145" s="55"/>
      <c r="CE145" s="55"/>
      <c r="CF145" s="55"/>
      <c r="CG145" s="55"/>
      <c r="CH145" s="55"/>
      <c r="CI145" s="55"/>
      <c r="CJ145" s="55"/>
      <c r="CK145" s="55"/>
      <c r="CL145" s="55"/>
      <c r="CM145" s="55"/>
      <c r="CN145" s="55"/>
      <c r="CO145" s="55"/>
      <c r="CP145" s="55"/>
      <c r="CQ145" s="55"/>
      <c r="CR145" s="55"/>
      <c r="CS145" s="55"/>
      <c r="CT145" s="55"/>
      <c r="CU145" s="55"/>
      <c r="CV145" s="55"/>
      <c r="CW145" s="55"/>
      <c r="CX145" s="55"/>
      <c r="CY145" s="55"/>
      <c r="CZ145" s="55"/>
      <c r="DA145" s="55"/>
      <c r="DB145" s="55"/>
      <c r="DC145" s="55"/>
      <c r="DD145" s="55"/>
      <c r="DE145" s="55"/>
      <c r="DF145" s="55"/>
      <c r="DG145" s="55"/>
      <c r="DH145" s="55"/>
      <c r="DI145" s="55"/>
      <c r="DJ145" s="55"/>
    </row>
    <row r="146" spans="1:114" x14ac:dyDescent="0.25">
      <c r="A146" s="120">
        <v>6</v>
      </c>
      <c r="B146" s="92" t="s">
        <v>78</v>
      </c>
      <c r="C146" s="80">
        <v>2500</v>
      </c>
      <c r="D146" s="81">
        <v>198.18</v>
      </c>
      <c r="E146" s="60">
        <v>0</v>
      </c>
      <c r="F146" s="60"/>
      <c r="G146" s="56">
        <f t="shared" si="34"/>
        <v>0</v>
      </c>
      <c r="H146" s="55"/>
      <c r="I146" s="56">
        <f t="shared" si="35"/>
        <v>0</v>
      </c>
      <c r="J146" s="56">
        <f t="shared" si="36"/>
        <v>0</v>
      </c>
      <c r="K146" s="57">
        <f t="shared" si="37"/>
        <v>0</v>
      </c>
      <c r="L146" s="297"/>
      <c r="M146" s="297"/>
      <c r="N146" s="314">
        <f t="shared" si="33"/>
        <v>0</v>
      </c>
      <c r="O146" s="310"/>
      <c r="P146" s="315"/>
      <c r="Q146" s="315"/>
      <c r="R146" s="315"/>
      <c r="S146" s="31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c r="BM146" s="55"/>
      <c r="BN146" s="55"/>
      <c r="BO146" s="55"/>
      <c r="BP146" s="55"/>
      <c r="BQ146" s="55"/>
      <c r="BR146" s="55"/>
      <c r="BS146" s="55"/>
      <c r="BT146" s="55"/>
      <c r="BU146" s="55"/>
      <c r="BV146" s="55"/>
      <c r="BW146" s="55"/>
      <c r="BX146" s="55"/>
      <c r="BY146" s="55"/>
      <c r="BZ146" s="55"/>
      <c r="CA146" s="55"/>
      <c r="CB146" s="55"/>
      <c r="CC146" s="55"/>
      <c r="CD146" s="55"/>
      <c r="CE146" s="55"/>
      <c r="CF146" s="55"/>
      <c r="CG146" s="55"/>
      <c r="CH146" s="55"/>
      <c r="CI146" s="55"/>
      <c r="CJ146" s="55"/>
      <c r="CK146" s="55"/>
      <c r="CL146" s="55"/>
      <c r="CM146" s="55"/>
      <c r="CN146" s="55"/>
      <c r="CO146" s="55"/>
      <c r="CP146" s="55"/>
      <c r="CQ146" s="55"/>
      <c r="CR146" s="55"/>
      <c r="CS146" s="55"/>
      <c r="CT146" s="55"/>
      <c r="CU146" s="55"/>
      <c r="CV146" s="55"/>
      <c r="CW146" s="55"/>
      <c r="CX146" s="55"/>
      <c r="CY146" s="55"/>
      <c r="CZ146" s="55"/>
      <c r="DA146" s="55"/>
      <c r="DB146" s="55"/>
      <c r="DC146" s="55"/>
      <c r="DD146" s="55"/>
      <c r="DE146" s="55"/>
      <c r="DF146" s="55"/>
      <c r="DG146" s="55"/>
      <c r="DH146" s="55"/>
      <c r="DI146" s="55"/>
      <c r="DJ146" s="55"/>
    </row>
    <row r="147" spans="1:114" x14ac:dyDescent="0.25">
      <c r="A147" s="120">
        <v>7</v>
      </c>
      <c r="B147" s="92" t="s">
        <v>79</v>
      </c>
      <c r="C147" s="80">
        <v>2500</v>
      </c>
      <c r="D147" s="81">
        <v>198.18</v>
      </c>
      <c r="E147" s="60">
        <v>0</v>
      </c>
      <c r="F147" s="60"/>
      <c r="G147" s="56">
        <f t="shared" si="34"/>
        <v>0</v>
      </c>
      <c r="H147" s="55"/>
      <c r="I147" s="56">
        <f t="shared" si="35"/>
        <v>0</v>
      </c>
      <c r="J147" s="56">
        <f t="shared" si="36"/>
        <v>0</v>
      </c>
      <c r="K147" s="57">
        <f t="shared" si="37"/>
        <v>0</v>
      </c>
      <c r="L147" s="297"/>
      <c r="M147" s="297"/>
      <c r="N147" s="314">
        <f t="shared" si="33"/>
        <v>0</v>
      </c>
      <c r="O147" s="310"/>
      <c r="P147" s="315"/>
      <c r="Q147" s="315"/>
      <c r="R147" s="315"/>
      <c r="S147" s="31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c r="BM147" s="55"/>
      <c r="BN147" s="55"/>
      <c r="BO147" s="55"/>
      <c r="BP147" s="55"/>
      <c r="BQ147" s="55"/>
      <c r="BR147" s="55"/>
      <c r="BS147" s="55"/>
      <c r="BT147" s="55"/>
      <c r="BU147" s="55"/>
      <c r="BV147" s="55"/>
      <c r="BW147" s="55"/>
      <c r="BX147" s="55"/>
      <c r="BY147" s="55"/>
      <c r="BZ147" s="55"/>
      <c r="CA147" s="55"/>
      <c r="CB147" s="55"/>
      <c r="CC147" s="55"/>
      <c r="CD147" s="55"/>
      <c r="CE147" s="55"/>
      <c r="CF147" s="55"/>
      <c r="CG147" s="55"/>
      <c r="CH147" s="55"/>
      <c r="CI147" s="55"/>
      <c r="CJ147" s="55"/>
      <c r="CK147" s="55"/>
      <c r="CL147" s="55"/>
      <c r="CM147" s="55"/>
      <c r="CN147" s="55"/>
      <c r="CO147" s="55"/>
      <c r="CP147" s="55"/>
      <c r="CQ147" s="55"/>
      <c r="CR147" s="55"/>
      <c r="CS147" s="55"/>
      <c r="CT147" s="55"/>
      <c r="CU147" s="55"/>
      <c r="CV147" s="55"/>
      <c r="CW147" s="55"/>
      <c r="CX147" s="55"/>
      <c r="CY147" s="55"/>
      <c r="CZ147" s="55"/>
      <c r="DA147" s="55"/>
      <c r="DB147" s="55"/>
      <c r="DC147" s="55"/>
      <c r="DD147" s="55"/>
      <c r="DE147" s="55"/>
      <c r="DF147" s="55"/>
      <c r="DG147" s="55"/>
      <c r="DH147" s="55"/>
      <c r="DI147" s="55"/>
      <c r="DJ147" s="55"/>
    </row>
    <row r="148" spans="1:114" x14ac:dyDescent="0.25">
      <c r="A148" s="120">
        <v>8</v>
      </c>
      <c r="B148" s="92" t="s">
        <v>80</v>
      </c>
      <c r="C148" s="80">
        <v>2500</v>
      </c>
      <c r="D148" s="81">
        <v>198.18</v>
      </c>
      <c r="E148" s="60">
        <v>0</v>
      </c>
      <c r="F148" s="60"/>
      <c r="G148" s="56">
        <f t="shared" si="34"/>
        <v>0</v>
      </c>
      <c r="H148" s="55"/>
      <c r="I148" s="56">
        <f t="shared" si="35"/>
        <v>0</v>
      </c>
      <c r="J148" s="56">
        <f t="shared" si="36"/>
        <v>0</v>
      </c>
      <c r="K148" s="57">
        <f t="shared" si="37"/>
        <v>0</v>
      </c>
      <c r="L148" s="297"/>
      <c r="M148" s="297"/>
      <c r="N148" s="314">
        <f t="shared" si="33"/>
        <v>0</v>
      </c>
      <c r="O148" s="310"/>
      <c r="P148" s="315"/>
      <c r="Q148" s="315"/>
      <c r="R148" s="315"/>
      <c r="S148" s="31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c r="BM148" s="55"/>
      <c r="BN148" s="55"/>
      <c r="BO148" s="55"/>
      <c r="BP148" s="55"/>
      <c r="BQ148" s="55"/>
      <c r="BR148" s="55"/>
      <c r="BS148" s="55"/>
      <c r="BT148" s="55"/>
      <c r="BU148" s="55"/>
      <c r="BV148" s="55"/>
      <c r="BW148" s="55"/>
      <c r="BX148" s="55"/>
      <c r="BY148" s="55"/>
      <c r="BZ148" s="55"/>
      <c r="CA148" s="55"/>
      <c r="CB148" s="55"/>
      <c r="CC148" s="55"/>
      <c r="CD148" s="55"/>
      <c r="CE148" s="55"/>
      <c r="CF148" s="55"/>
      <c r="CG148" s="55"/>
      <c r="CH148" s="55"/>
      <c r="CI148" s="55"/>
      <c r="CJ148" s="55"/>
      <c r="CK148" s="55"/>
      <c r="CL148" s="55"/>
      <c r="CM148" s="55"/>
      <c r="CN148" s="55"/>
      <c r="CO148" s="55"/>
      <c r="CP148" s="55"/>
      <c r="CQ148" s="55"/>
      <c r="CR148" s="55"/>
      <c r="CS148" s="55"/>
      <c r="CT148" s="55"/>
      <c r="CU148" s="55"/>
      <c r="CV148" s="55"/>
      <c r="CW148" s="55"/>
      <c r="CX148" s="55"/>
      <c r="CY148" s="55"/>
      <c r="CZ148" s="55"/>
      <c r="DA148" s="55"/>
      <c r="DB148" s="55"/>
      <c r="DC148" s="55"/>
      <c r="DD148" s="55"/>
      <c r="DE148" s="55"/>
      <c r="DF148" s="55"/>
      <c r="DG148" s="55"/>
      <c r="DH148" s="55"/>
      <c r="DI148" s="55"/>
      <c r="DJ148" s="55"/>
    </row>
    <row r="149" spans="1:114" x14ac:dyDescent="0.25">
      <c r="A149" s="120">
        <v>9</v>
      </c>
      <c r="B149" s="92" t="s">
        <v>81</v>
      </c>
      <c r="C149" s="80">
        <v>2500</v>
      </c>
      <c r="D149" s="81">
        <v>198.18</v>
      </c>
      <c r="E149" s="60">
        <v>0</v>
      </c>
      <c r="F149" s="60"/>
      <c r="G149" s="56">
        <f t="shared" si="34"/>
        <v>0</v>
      </c>
      <c r="H149" s="55"/>
      <c r="I149" s="56">
        <f t="shared" si="35"/>
        <v>0</v>
      </c>
      <c r="J149" s="56">
        <f t="shared" si="36"/>
        <v>0</v>
      </c>
      <c r="K149" s="57">
        <f t="shared" si="37"/>
        <v>0</v>
      </c>
      <c r="L149" s="297"/>
      <c r="M149" s="297"/>
      <c r="N149" s="314">
        <f t="shared" si="33"/>
        <v>0</v>
      </c>
      <c r="O149" s="310"/>
      <c r="P149" s="315"/>
      <c r="Q149" s="315"/>
      <c r="R149" s="315"/>
      <c r="S149" s="31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c r="BM149" s="55"/>
      <c r="BN149" s="55"/>
      <c r="BO149" s="55"/>
      <c r="BP149" s="55"/>
      <c r="BQ149" s="55"/>
      <c r="BR149" s="55"/>
      <c r="BS149" s="55"/>
      <c r="BT149" s="55"/>
      <c r="BU149" s="55"/>
      <c r="BV149" s="55"/>
      <c r="BW149" s="55"/>
      <c r="BX149" s="55"/>
      <c r="BY149" s="55"/>
      <c r="BZ149" s="55"/>
      <c r="CA149" s="55"/>
      <c r="CB149" s="55"/>
      <c r="CC149" s="55"/>
      <c r="CD149" s="55"/>
      <c r="CE149" s="55"/>
      <c r="CF149" s="55"/>
      <c r="CG149" s="55"/>
      <c r="CH149" s="55"/>
      <c r="CI149" s="55"/>
      <c r="CJ149" s="55"/>
      <c r="CK149" s="55"/>
      <c r="CL149" s="55"/>
      <c r="CM149" s="55"/>
      <c r="CN149" s="55"/>
      <c r="CO149" s="55"/>
      <c r="CP149" s="55"/>
      <c r="CQ149" s="55"/>
      <c r="CR149" s="55"/>
      <c r="CS149" s="55"/>
      <c r="CT149" s="55"/>
      <c r="CU149" s="55"/>
      <c r="CV149" s="55"/>
      <c r="CW149" s="55"/>
      <c r="CX149" s="55"/>
      <c r="CY149" s="55"/>
      <c r="CZ149" s="55"/>
      <c r="DA149" s="55"/>
      <c r="DB149" s="55"/>
      <c r="DC149" s="55"/>
      <c r="DD149" s="55"/>
      <c r="DE149" s="55"/>
      <c r="DF149" s="55"/>
      <c r="DG149" s="55"/>
      <c r="DH149" s="55"/>
      <c r="DI149" s="55"/>
      <c r="DJ149" s="55"/>
    </row>
    <row r="150" spans="1:114" x14ac:dyDescent="0.25">
      <c r="A150" s="120">
        <v>10</v>
      </c>
      <c r="B150" s="79" t="s">
        <v>82</v>
      </c>
      <c r="C150" s="80">
        <v>1500</v>
      </c>
      <c r="D150" s="81">
        <v>186.3</v>
      </c>
      <c r="E150" s="60">
        <v>0</v>
      </c>
      <c r="F150" s="60"/>
      <c r="G150" s="56">
        <f t="shared" si="34"/>
        <v>0</v>
      </c>
      <c r="H150" s="55"/>
      <c r="I150" s="56">
        <f t="shared" si="35"/>
        <v>0</v>
      </c>
      <c r="J150" s="56">
        <f t="shared" si="36"/>
        <v>0</v>
      </c>
      <c r="K150" s="57">
        <f t="shared" si="37"/>
        <v>0</v>
      </c>
      <c r="L150" s="297"/>
      <c r="M150" s="297"/>
      <c r="N150" s="314">
        <f t="shared" si="33"/>
        <v>0</v>
      </c>
      <c r="O150" s="310"/>
      <c r="P150" s="315"/>
      <c r="Q150" s="315"/>
      <c r="R150" s="315"/>
      <c r="S150" s="31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c r="BP150" s="55"/>
      <c r="BQ150" s="55"/>
      <c r="BR150" s="55"/>
      <c r="BS150" s="55"/>
      <c r="BT150" s="55"/>
      <c r="BU150" s="55"/>
      <c r="BV150" s="55"/>
      <c r="BW150" s="55"/>
      <c r="BX150" s="55"/>
      <c r="BY150" s="55"/>
      <c r="BZ150" s="55"/>
      <c r="CA150" s="55"/>
      <c r="CB150" s="55"/>
      <c r="CC150" s="55"/>
      <c r="CD150" s="55"/>
      <c r="CE150" s="55"/>
      <c r="CF150" s="55"/>
      <c r="CG150" s="55"/>
      <c r="CH150" s="55"/>
      <c r="CI150" s="55"/>
      <c r="CJ150" s="55"/>
      <c r="CK150" s="55"/>
      <c r="CL150" s="55"/>
      <c r="CM150" s="55"/>
      <c r="CN150" s="55"/>
      <c r="CO150" s="55"/>
      <c r="CP150" s="55"/>
      <c r="CQ150" s="55"/>
      <c r="CR150" s="55"/>
      <c r="CS150" s="55"/>
      <c r="CT150" s="55"/>
      <c r="CU150" s="55"/>
      <c r="CV150" s="55"/>
      <c r="CW150" s="55"/>
      <c r="CX150" s="55"/>
      <c r="CY150" s="55"/>
      <c r="CZ150" s="55"/>
      <c r="DA150" s="55"/>
      <c r="DB150" s="55"/>
      <c r="DC150" s="55"/>
      <c r="DD150" s="55"/>
      <c r="DE150" s="55"/>
      <c r="DF150" s="55"/>
      <c r="DG150" s="55"/>
      <c r="DH150" s="55"/>
      <c r="DI150" s="55"/>
      <c r="DJ150" s="55"/>
    </row>
    <row r="151" spans="1:114" x14ac:dyDescent="0.25">
      <c r="A151" s="120">
        <v>11</v>
      </c>
      <c r="B151" s="79" t="s">
        <v>83</v>
      </c>
      <c r="C151" s="80">
        <v>4500</v>
      </c>
      <c r="D151" s="81">
        <v>293.11</v>
      </c>
      <c r="E151" s="60">
        <v>0</v>
      </c>
      <c r="F151" s="60"/>
      <c r="G151" s="56">
        <f t="shared" si="34"/>
        <v>0</v>
      </c>
      <c r="H151" s="55">
        <f>716-716</f>
        <v>0</v>
      </c>
      <c r="I151" s="56">
        <f t="shared" si="35"/>
        <v>0</v>
      </c>
      <c r="J151" s="56">
        <f t="shared" si="36"/>
        <v>0</v>
      </c>
      <c r="K151" s="57">
        <f t="shared" si="37"/>
        <v>0</v>
      </c>
      <c r="L151" s="297"/>
      <c r="M151" s="297"/>
      <c r="N151" s="314">
        <f t="shared" si="33"/>
        <v>0</v>
      </c>
      <c r="O151" s="310"/>
      <c r="P151" s="315"/>
      <c r="Q151" s="315"/>
      <c r="R151" s="315"/>
      <c r="S151" s="31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c r="BM151" s="55"/>
      <c r="BN151" s="55"/>
      <c r="BO151" s="55"/>
      <c r="BP151" s="55"/>
      <c r="BQ151" s="55"/>
      <c r="BR151" s="55"/>
      <c r="BS151" s="55"/>
      <c r="BT151" s="55"/>
      <c r="BU151" s="55"/>
      <c r="BV151" s="55"/>
      <c r="BW151" s="55"/>
      <c r="BX151" s="55"/>
      <c r="BY151" s="55"/>
      <c r="BZ151" s="55"/>
      <c r="CA151" s="55"/>
      <c r="CB151" s="55"/>
      <c r="CC151" s="55"/>
      <c r="CD151" s="55"/>
      <c r="CE151" s="55"/>
      <c r="CF151" s="55"/>
      <c r="CG151" s="55"/>
      <c r="CH151" s="55"/>
      <c r="CI151" s="55"/>
      <c r="CJ151" s="55"/>
      <c r="CK151" s="55"/>
      <c r="CL151" s="55"/>
      <c r="CM151" s="55"/>
      <c r="CN151" s="55"/>
      <c r="CO151" s="55"/>
      <c r="CP151" s="55"/>
      <c r="CQ151" s="55"/>
      <c r="CR151" s="55"/>
      <c r="CS151" s="55"/>
      <c r="CT151" s="55"/>
      <c r="CU151" s="55"/>
      <c r="CV151" s="55"/>
      <c r="CW151" s="55"/>
      <c r="CX151" s="55"/>
      <c r="CY151" s="55"/>
      <c r="CZ151" s="55"/>
      <c r="DA151" s="55"/>
      <c r="DB151" s="55"/>
      <c r="DC151" s="55"/>
      <c r="DD151" s="55"/>
      <c r="DE151" s="55"/>
      <c r="DF151" s="55"/>
      <c r="DG151" s="55"/>
      <c r="DH151" s="55"/>
      <c r="DI151" s="55"/>
      <c r="DJ151" s="55"/>
    </row>
    <row r="152" spans="1:114" x14ac:dyDescent="0.25">
      <c r="A152" s="120">
        <v>12</v>
      </c>
      <c r="B152" s="92" t="s">
        <v>84</v>
      </c>
      <c r="C152" s="80">
        <v>1500</v>
      </c>
      <c r="D152" s="81">
        <v>143.13</v>
      </c>
      <c r="E152" s="60">
        <v>0</v>
      </c>
      <c r="F152" s="60"/>
      <c r="G152" s="56">
        <f t="shared" si="34"/>
        <v>0</v>
      </c>
      <c r="H152" s="55"/>
      <c r="I152" s="56">
        <f t="shared" si="35"/>
        <v>0</v>
      </c>
      <c r="J152" s="56">
        <f t="shared" si="36"/>
        <v>0</v>
      </c>
      <c r="K152" s="57">
        <f t="shared" si="37"/>
        <v>0</v>
      </c>
      <c r="L152" s="297"/>
      <c r="M152" s="297"/>
      <c r="N152" s="314">
        <f t="shared" si="33"/>
        <v>0</v>
      </c>
      <c r="O152" s="310"/>
      <c r="P152" s="315"/>
      <c r="Q152" s="315"/>
      <c r="R152" s="315"/>
      <c r="S152" s="315"/>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5"/>
      <c r="AS152" s="55"/>
      <c r="AT152" s="55"/>
      <c r="AU152" s="55"/>
      <c r="AV152" s="55"/>
      <c r="AW152" s="55"/>
      <c r="AX152" s="55"/>
      <c r="AY152" s="55"/>
      <c r="AZ152" s="55"/>
      <c r="BA152" s="55"/>
      <c r="BB152" s="55"/>
      <c r="BC152" s="55"/>
      <c r="BD152" s="55"/>
      <c r="BE152" s="55"/>
      <c r="BF152" s="55"/>
      <c r="BG152" s="55"/>
      <c r="BH152" s="55"/>
      <c r="BI152" s="55"/>
      <c r="BJ152" s="55"/>
      <c r="BK152" s="55"/>
      <c r="BL152" s="55"/>
      <c r="BM152" s="55"/>
      <c r="BN152" s="55"/>
      <c r="BO152" s="55"/>
      <c r="BP152" s="55"/>
      <c r="BQ152" s="55"/>
      <c r="BR152" s="55"/>
      <c r="BS152" s="55"/>
      <c r="BT152" s="55"/>
      <c r="BU152" s="55"/>
      <c r="BV152" s="55"/>
      <c r="BW152" s="55"/>
      <c r="BX152" s="55"/>
      <c r="BY152" s="55"/>
      <c r="BZ152" s="55"/>
      <c r="CA152" s="55"/>
      <c r="CB152" s="55"/>
      <c r="CC152" s="55"/>
      <c r="CD152" s="55"/>
      <c r="CE152" s="55"/>
      <c r="CF152" s="55"/>
      <c r="CG152" s="55"/>
      <c r="CH152" s="55"/>
      <c r="CI152" s="55"/>
      <c r="CJ152" s="55"/>
      <c r="CK152" s="55"/>
      <c r="CL152" s="55"/>
      <c r="CM152" s="55"/>
      <c r="CN152" s="55"/>
      <c r="CO152" s="55"/>
      <c r="CP152" s="55"/>
      <c r="CQ152" s="55"/>
      <c r="CR152" s="55"/>
      <c r="CS152" s="55"/>
      <c r="CT152" s="55"/>
      <c r="CU152" s="55"/>
      <c r="CV152" s="55"/>
      <c r="CW152" s="55"/>
      <c r="CX152" s="55"/>
      <c r="CY152" s="55"/>
      <c r="CZ152" s="55"/>
      <c r="DA152" s="55"/>
      <c r="DB152" s="55"/>
      <c r="DC152" s="55"/>
      <c r="DD152" s="55"/>
      <c r="DE152" s="55"/>
      <c r="DF152" s="55"/>
      <c r="DG152" s="55"/>
      <c r="DH152" s="55"/>
      <c r="DI152" s="55"/>
      <c r="DJ152" s="55"/>
    </row>
    <row r="153" spans="1:114" x14ac:dyDescent="0.25">
      <c r="A153" s="120">
        <v>13</v>
      </c>
      <c r="B153" s="79" t="s">
        <v>85</v>
      </c>
      <c r="C153" s="80">
        <v>1500</v>
      </c>
      <c r="D153" s="81">
        <v>122.5</v>
      </c>
      <c r="E153" s="60">
        <v>0</v>
      </c>
      <c r="F153" s="60"/>
      <c r="G153" s="56">
        <f t="shared" si="34"/>
        <v>0</v>
      </c>
      <c r="H153" s="55"/>
      <c r="I153" s="56">
        <f t="shared" si="35"/>
        <v>0</v>
      </c>
      <c r="J153" s="56">
        <f t="shared" si="36"/>
        <v>0</v>
      </c>
      <c r="K153" s="57">
        <f t="shared" si="37"/>
        <v>0</v>
      </c>
      <c r="L153" s="297"/>
      <c r="M153" s="297"/>
      <c r="N153" s="314">
        <f t="shared" si="33"/>
        <v>0</v>
      </c>
      <c r="O153" s="310"/>
      <c r="P153" s="315"/>
      <c r="Q153" s="315"/>
      <c r="R153" s="315"/>
      <c r="S153" s="315"/>
      <c r="T153" s="55"/>
      <c r="U153" s="55"/>
      <c r="V153" s="55"/>
      <c r="W153" s="55"/>
      <c r="X153" s="55"/>
      <c r="Y153" s="55"/>
      <c r="Z153" s="55"/>
      <c r="AA153" s="55"/>
      <c r="AB153" s="55"/>
      <c r="AC153" s="55"/>
      <c r="AD153" s="55"/>
      <c r="AE153" s="55"/>
      <c r="AF153" s="55"/>
      <c r="AG153" s="55"/>
      <c r="AH153" s="55"/>
      <c r="AI153" s="55"/>
      <c r="AJ153" s="55"/>
      <c r="AK153" s="55"/>
      <c r="AL153" s="55"/>
      <c r="AM153" s="55"/>
      <c r="AN153" s="55"/>
      <c r="AO153" s="55"/>
      <c r="AP153" s="55"/>
      <c r="AQ153" s="55"/>
      <c r="AR153" s="55"/>
      <c r="AS153" s="55"/>
      <c r="AT153" s="55"/>
      <c r="AU153" s="55"/>
      <c r="AV153" s="55"/>
      <c r="AW153" s="55"/>
      <c r="AX153" s="55"/>
      <c r="AY153" s="55"/>
      <c r="AZ153" s="55"/>
      <c r="BA153" s="55"/>
      <c r="BB153" s="55"/>
      <c r="BC153" s="55"/>
      <c r="BD153" s="55"/>
      <c r="BE153" s="55"/>
      <c r="BF153" s="55"/>
      <c r="BG153" s="55"/>
      <c r="BH153" s="55"/>
      <c r="BI153" s="55"/>
      <c r="BJ153" s="55"/>
      <c r="BK153" s="55"/>
      <c r="BL153" s="55"/>
      <c r="BM153" s="55"/>
      <c r="BN153" s="55"/>
      <c r="BO153" s="55"/>
      <c r="BP153" s="55"/>
      <c r="BQ153" s="55"/>
      <c r="BR153" s="55"/>
      <c r="BS153" s="55"/>
      <c r="BT153" s="55"/>
      <c r="BU153" s="55"/>
      <c r="BV153" s="55"/>
      <c r="BW153" s="55"/>
      <c r="BX153" s="55"/>
      <c r="BY153" s="55"/>
      <c r="BZ153" s="55"/>
      <c r="CA153" s="55"/>
      <c r="CB153" s="55"/>
      <c r="CC153" s="55"/>
      <c r="CD153" s="55"/>
      <c r="CE153" s="55"/>
      <c r="CF153" s="55"/>
      <c r="CG153" s="55"/>
      <c r="CH153" s="55"/>
      <c r="CI153" s="55"/>
      <c r="CJ153" s="55"/>
      <c r="CK153" s="55"/>
      <c r="CL153" s="55"/>
      <c r="CM153" s="55"/>
      <c r="CN153" s="55"/>
      <c r="CO153" s="55"/>
      <c r="CP153" s="55"/>
      <c r="CQ153" s="55"/>
      <c r="CR153" s="55"/>
      <c r="CS153" s="55"/>
      <c r="CT153" s="55"/>
      <c r="CU153" s="55"/>
      <c r="CV153" s="55"/>
      <c r="CW153" s="55"/>
      <c r="CX153" s="55"/>
      <c r="CY153" s="55"/>
      <c r="CZ153" s="55"/>
      <c r="DA153" s="55"/>
      <c r="DB153" s="55"/>
      <c r="DC153" s="55"/>
      <c r="DD153" s="55"/>
      <c r="DE153" s="55"/>
      <c r="DF153" s="55"/>
      <c r="DG153" s="55"/>
      <c r="DH153" s="55"/>
      <c r="DI153" s="55"/>
      <c r="DJ153" s="55"/>
    </row>
    <row r="154" spans="1:114" x14ac:dyDescent="0.25">
      <c r="A154" s="120">
        <v>14</v>
      </c>
      <c r="B154" s="79" t="s">
        <v>86</v>
      </c>
      <c r="C154" s="80">
        <v>1500</v>
      </c>
      <c r="D154" s="81">
        <v>219.53</v>
      </c>
      <c r="E154" s="60">
        <v>0</v>
      </c>
      <c r="F154" s="60"/>
      <c r="G154" s="56">
        <f t="shared" si="34"/>
        <v>0</v>
      </c>
      <c r="H154" s="55"/>
      <c r="I154" s="56">
        <f t="shared" si="35"/>
        <v>0</v>
      </c>
      <c r="J154" s="56">
        <f t="shared" si="36"/>
        <v>0</v>
      </c>
      <c r="K154" s="57">
        <f t="shared" si="37"/>
        <v>0</v>
      </c>
      <c r="L154" s="297"/>
      <c r="M154" s="297"/>
      <c r="N154" s="314">
        <f t="shared" ref="N154:N171" si="38">SUM(O154:DK154)</f>
        <v>0</v>
      </c>
      <c r="O154" s="310"/>
      <c r="P154" s="315"/>
      <c r="Q154" s="315"/>
      <c r="R154" s="315"/>
      <c r="S154" s="315"/>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c r="AT154" s="55"/>
      <c r="AU154" s="55"/>
      <c r="AV154" s="55"/>
      <c r="AW154" s="55"/>
      <c r="AX154" s="55"/>
      <c r="AY154" s="55"/>
      <c r="AZ154" s="55"/>
      <c r="BA154" s="55"/>
      <c r="BB154" s="55"/>
      <c r="BC154" s="55"/>
      <c r="BD154" s="55"/>
      <c r="BE154" s="55"/>
      <c r="BF154" s="55"/>
      <c r="BG154" s="55"/>
      <c r="BH154" s="55"/>
      <c r="BI154" s="55"/>
      <c r="BJ154" s="55"/>
      <c r="BK154" s="55"/>
      <c r="BL154" s="55"/>
      <c r="BM154" s="55"/>
      <c r="BN154" s="55"/>
      <c r="BO154" s="55"/>
      <c r="BP154" s="55"/>
      <c r="BQ154" s="55"/>
      <c r="BR154" s="55"/>
      <c r="BS154" s="55"/>
      <c r="BT154" s="55"/>
      <c r="BU154" s="55"/>
      <c r="BV154" s="55"/>
      <c r="BW154" s="55"/>
      <c r="BX154" s="55"/>
      <c r="BY154" s="55"/>
      <c r="BZ154" s="55"/>
      <c r="CA154" s="55"/>
      <c r="CB154" s="55"/>
      <c r="CC154" s="55"/>
      <c r="CD154" s="55"/>
      <c r="CE154" s="55"/>
      <c r="CF154" s="55"/>
      <c r="CG154" s="55"/>
      <c r="CH154" s="55"/>
      <c r="CI154" s="55"/>
      <c r="CJ154" s="55"/>
      <c r="CK154" s="55"/>
      <c r="CL154" s="55"/>
      <c r="CM154" s="55"/>
      <c r="CN154" s="55"/>
      <c r="CO154" s="55"/>
      <c r="CP154" s="55"/>
      <c r="CQ154" s="55"/>
      <c r="CR154" s="55"/>
      <c r="CS154" s="55"/>
      <c r="CT154" s="55"/>
      <c r="CU154" s="55"/>
      <c r="CV154" s="55"/>
      <c r="CW154" s="55"/>
      <c r="CX154" s="55"/>
      <c r="CY154" s="55"/>
      <c r="CZ154" s="55"/>
      <c r="DA154" s="55"/>
      <c r="DB154" s="55"/>
      <c r="DC154" s="55"/>
      <c r="DD154" s="55"/>
      <c r="DE154" s="55"/>
      <c r="DF154" s="55"/>
      <c r="DG154" s="55"/>
      <c r="DH154" s="55"/>
      <c r="DI154" s="55"/>
      <c r="DJ154" s="55"/>
    </row>
    <row r="155" spans="1:114" x14ac:dyDescent="0.25">
      <c r="A155" s="120">
        <v>15</v>
      </c>
      <c r="B155" s="79" t="s">
        <v>87</v>
      </c>
      <c r="C155" s="80">
        <v>1500</v>
      </c>
      <c r="D155" s="81">
        <v>125.53</v>
      </c>
      <c r="E155" s="60">
        <v>0</v>
      </c>
      <c r="F155" s="60"/>
      <c r="G155" s="56">
        <f t="shared" si="34"/>
        <v>0</v>
      </c>
      <c r="H155" s="55"/>
      <c r="I155" s="56">
        <f t="shared" si="35"/>
        <v>0</v>
      </c>
      <c r="J155" s="56">
        <f t="shared" si="36"/>
        <v>0</v>
      </c>
      <c r="K155" s="57">
        <f t="shared" si="37"/>
        <v>0</v>
      </c>
      <c r="L155" s="297"/>
      <c r="M155" s="297"/>
      <c r="N155" s="314">
        <f t="shared" si="38"/>
        <v>0</v>
      </c>
      <c r="O155" s="310"/>
      <c r="P155" s="315"/>
      <c r="Q155" s="315"/>
      <c r="R155" s="315"/>
      <c r="S155" s="315"/>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c r="AS155" s="55"/>
      <c r="AT155" s="55"/>
      <c r="AU155" s="55"/>
      <c r="AV155" s="55"/>
      <c r="AW155" s="55"/>
      <c r="AX155" s="55"/>
      <c r="AY155" s="55"/>
      <c r="AZ155" s="55"/>
      <c r="BA155" s="55"/>
      <c r="BB155" s="55"/>
      <c r="BC155" s="55"/>
      <c r="BD155" s="55"/>
      <c r="BE155" s="55"/>
      <c r="BF155" s="55"/>
      <c r="BG155" s="55"/>
      <c r="BH155" s="55"/>
      <c r="BI155" s="55"/>
      <c r="BJ155" s="55"/>
      <c r="BK155" s="55"/>
      <c r="BL155" s="55"/>
      <c r="BM155" s="55"/>
      <c r="BN155" s="55"/>
      <c r="BO155" s="55"/>
      <c r="BP155" s="55"/>
      <c r="BQ155" s="55"/>
      <c r="BR155" s="55"/>
      <c r="BS155" s="55"/>
      <c r="BT155" s="55"/>
      <c r="BU155" s="55"/>
      <c r="BV155" s="55"/>
      <c r="BW155" s="55"/>
      <c r="BX155" s="55"/>
      <c r="BY155" s="55"/>
      <c r="BZ155" s="55"/>
      <c r="CA155" s="55"/>
      <c r="CB155" s="55"/>
      <c r="CC155" s="55"/>
      <c r="CD155" s="55"/>
      <c r="CE155" s="55"/>
      <c r="CF155" s="55"/>
      <c r="CG155" s="55"/>
      <c r="CH155" s="55"/>
      <c r="CI155" s="55"/>
      <c r="CJ155" s="55"/>
      <c r="CK155" s="55"/>
      <c r="CL155" s="55"/>
      <c r="CM155" s="55"/>
      <c r="CN155" s="55"/>
      <c r="CO155" s="55"/>
      <c r="CP155" s="55"/>
      <c r="CQ155" s="55"/>
      <c r="CR155" s="55"/>
      <c r="CS155" s="55"/>
      <c r="CT155" s="55"/>
      <c r="CU155" s="55"/>
      <c r="CV155" s="55"/>
      <c r="CW155" s="55"/>
      <c r="CX155" s="55"/>
      <c r="CY155" s="55"/>
      <c r="CZ155" s="55"/>
      <c r="DA155" s="55"/>
      <c r="DB155" s="55"/>
      <c r="DC155" s="55"/>
      <c r="DD155" s="55"/>
      <c r="DE155" s="55"/>
      <c r="DF155" s="55"/>
      <c r="DG155" s="55"/>
      <c r="DH155" s="55"/>
      <c r="DI155" s="55"/>
      <c r="DJ155" s="55"/>
    </row>
    <row r="156" spans="1:114" x14ac:dyDescent="0.25">
      <c r="A156" s="120">
        <v>16</v>
      </c>
      <c r="B156" s="79" t="s">
        <v>88</v>
      </c>
      <c r="C156" s="80">
        <v>10000</v>
      </c>
      <c r="D156" s="89">
        <v>10000</v>
      </c>
      <c r="E156" s="60"/>
      <c r="F156" s="60"/>
      <c r="G156" s="56">
        <f t="shared" si="34"/>
        <v>0</v>
      </c>
      <c r="H156" s="55"/>
      <c r="I156" s="56">
        <f t="shared" si="35"/>
        <v>0</v>
      </c>
      <c r="J156" s="56">
        <f t="shared" si="36"/>
        <v>0</v>
      </c>
      <c r="K156" s="57">
        <f t="shared" si="37"/>
        <v>0</v>
      </c>
      <c r="L156" s="297"/>
      <c r="M156" s="297"/>
      <c r="N156" s="314">
        <f t="shared" si="38"/>
        <v>0</v>
      </c>
      <c r="O156" s="310"/>
      <c r="P156" s="315"/>
      <c r="Q156" s="315"/>
      <c r="R156" s="315"/>
      <c r="S156" s="315"/>
      <c r="T156" s="55"/>
      <c r="U156" s="55"/>
      <c r="V156" s="55"/>
      <c r="W156" s="55"/>
      <c r="X156" s="55"/>
      <c r="Y156" s="55"/>
      <c r="Z156" s="55"/>
      <c r="AA156" s="55"/>
      <c r="AB156" s="55"/>
      <c r="AC156" s="55"/>
      <c r="AD156" s="55"/>
      <c r="AE156" s="55"/>
      <c r="AF156" s="55"/>
      <c r="AG156" s="55"/>
      <c r="AH156" s="55"/>
      <c r="AI156" s="55"/>
      <c r="AJ156" s="55"/>
      <c r="AK156" s="55"/>
      <c r="AL156" s="55"/>
      <c r="AM156" s="55"/>
      <c r="AN156" s="55"/>
      <c r="AO156" s="55"/>
      <c r="AP156" s="55"/>
      <c r="AQ156" s="55"/>
      <c r="AR156" s="55"/>
      <c r="AS156" s="55"/>
      <c r="AT156" s="55"/>
      <c r="AU156" s="55"/>
      <c r="AV156" s="55"/>
      <c r="AW156" s="55"/>
      <c r="AX156" s="55"/>
      <c r="AY156" s="55"/>
      <c r="AZ156" s="55"/>
      <c r="BA156" s="55"/>
      <c r="BB156" s="55"/>
      <c r="BC156" s="55"/>
      <c r="BD156" s="55"/>
      <c r="BE156" s="55"/>
      <c r="BF156" s="55"/>
      <c r="BG156" s="55"/>
      <c r="BH156" s="55"/>
      <c r="BI156" s="55"/>
      <c r="BJ156" s="55"/>
      <c r="BK156" s="55"/>
      <c r="BL156" s="55"/>
      <c r="BM156" s="55"/>
      <c r="BN156" s="55"/>
      <c r="BO156" s="55"/>
      <c r="BP156" s="55"/>
      <c r="BQ156" s="55"/>
      <c r="BR156" s="55"/>
      <c r="BS156" s="55"/>
      <c r="BT156" s="55"/>
      <c r="BU156" s="55"/>
      <c r="BV156" s="55"/>
      <c r="BW156" s="55"/>
      <c r="BX156" s="55"/>
      <c r="BY156" s="55"/>
      <c r="BZ156" s="55"/>
      <c r="CA156" s="55"/>
      <c r="CB156" s="55"/>
      <c r="CC156" s="55"/>
      <c r="CD156" s="55"/>
      <c r="CE156" s="55"/>
      <c r="CF156" s="55"/>
      <c r="CG156" s="55"/>
      <c r="CH156" s="55"/>
      <c r="CI156" s="55"/>
      <c r="CJ156" s="55"/>
      <c r="CK156" s="55"/>
      <c r="CL156" s="55"/>
      <c r="CM156" s="55"/>
      <c r="CN156" s="55"/>
      <c r="CO156" s="55"/>
      <c r="CP156" s="55"/>
      <c r="CQ156" s="55"/>
      <c r="CR156" s="55"/>
      <c r="CS156" s="55"/>
      <c r="CT156" s="55"/>
      <c r="CU156" s="55"/>
      <c r="CV156" s="55"/>
      <c r="CW156" s="55"/>
      <c r="CX156" s="55"/>
      <c r="CY156" s="55"/>
      <c r="CZ156" s="55"/>
      <c r="DA156" s="55"/>
      <c r="DB156" s="55"/>
      <c r="DC156" s="55"/>
      <c r="DD156" s="55"/>
      <c r="DE156" s="55"/>
      <c r="DF156" s="55"/>
      <c r="DG156" s="55"/>
      <c r="DH156" s="55"/>
      <c r="DI156" s="55"/>
      <c r="DJ156" s="55"/>
    </row>
    <row r="157" spans="1:114" x14ac:dyDescent="0.25">
      <c r="A157" s="120">
        <v>17</v>
      </c>
      <c r="B157" s="79" t="s">
        <v>89</v>
      </c>
      <c r="C157" s="80">
        <v>1500</v>
      </c>
      <c r="D157" s="81">
        <v>198.18</v>
      </c>
      <c r="E157" s="60"/>
      <c r="F157" s="60"/>
      <c r="G157" s="56">
        <f t="shared" si="34"/>
        <v>0</v>
      </c>
      <c r="H157" s="55"/>
      <c r="I157" s="56">
        <f t="shared" si="35"/>
        <v>0</v>
      </c>
      <c r="J157" s="56">
        <f t="shared" si="36"/>
        <v>0</v>
      </c>
      <c r="K157" s="57">
        <f t="shared" si="37"/>
        <v>0</v>
      </c>
      <c r="L157" s="297"/>
      <c r="M157" s="297"/>
      <c r="N157" s="314">
        <f t="shared" si="38"/>
        <v>0</v>
      </c>
      <c r="O157" s="310"/>
      <c r="P157" s="315"/>
      <c r="Q157" s="315"/>
      <c r="R157" s="315"/>
      <c r="S157" s="315"/>
      <c r="T157" s="55"/>
      <c r="U157" s="55"/>
      <c r="V157" s="55"/>
      <c r="W157" s="55"/>
      <c r="X157" s="55"/>
      <c r="Y157" s="55"/>
      <c r="Z157" s="55"/>
      <c r="AA157" s="55"/>
      <c r="AB157" s="55"/>
      <c r="AC157" s="55"/>
      <c r="AD157" s="55"/>
      <c r="AE157" s="55"/>
      <c r="AF157" s="55"/>
      <c r="AG157" s="55"/>
      <c r="AH157" s="55"/>
      <c r="AI157" s="55"/>
      <c r="AJ157" s="55"/>
      <c r="AK157" s="55"/>
      <c r="AL157" s="55"/>
      <c r="AM157" s="55"/>
      <c r="AN157" s="55"/>
      <c r="AO157" s="55"/>
      <c r="AP157" s="55"/>
      <c r="AQ157" s="55"/>
      <c r="AR157" s="55"/>
      <c r="AS157" s="55"/>
      <c r="AT157" s="55"/>
      <c r="AU157" s="55"/>
      <c r="AV157" s="55"/>
      <c r="AW157" s="55"/>
      <c r="AX157" s="55"/>
      <c r="AY157" s="55"/>
      <c r="AZ157" s="55"/>
      <c r="BA157" s="55"/>
      <c r="BB157" s="55"/>
      <c r="BC157" s="55"/>
      <c r="BD157" s="55"/>
      <c r="BE157" s="55"/>
      <c r="BF157" s="55"/>
      <c r="BG157" s="55"/>
      <c r="BH157" s="55"/>
      <c r="BI157" s="55"/>
      <c r="BJ157" s="55"/>
      <c r="BK157" s="55"/>
      <c r="BL157" s="55"/>
      <c r="BM157" s="55"/>
      <c r="BN157" s="55"/>
      <c r="BO157" s="55"/>
      <c r="BP157" s="55"/>
      <c r="BQ157" s="55"/>
      <c r="BR157" s="55"/>
      <c r="BS157" s="55"/>
      <c r="BT157" s="55"/>
      <c r="BU157" s="55"/>
      <c r="BV157" s="55"/>
      <c r="BW157" s="55"/>
      <c r="BX157" s="55"/>
      <c r="BY157" s="55"/>
      <c r="BZ157" s="55"/>
      <c r="CA157" s="55"/>
      <c r="CB157" s="55"/>
      <c r="CC157" s="55"/>
      <c r="CD157" s="55"/>
      <c r="CE157" s="55"/>
      <c r="CF157" s="55"/>
      <c r="CG157" s="55"/>
      <c r="CH157" s="55"/>
      <c r="CI157" s="55"/>
      <c r="CJ157" s="55"/>
      <c r="CK157" s="55"/>
      <c r="CL157" s="55"/>
      <c r="CM157" s="55"/>
      <c r="CN157" s="55"/>
      <c r="CO157" s="55"/>
      <c r="CP157" s="55"/>
      <c r="CQ157" s="55"/>
      <c r="CR157" s="55"/>
      <c r="CS157" s="55"/>
      <c r="CT157" s="55"/>
      <c r="CU157" s="55"/>
      <c r="CV157" s="55"/>
      <c r="CW157" s="55"/>
      <c r="CX157" s="55"/>
      <c r="CY157" s="55"/>
      <c r="CZ157" s="55"/>
      <c r="DA157" s="55"/>
      <c r="DB157" s="55"/>
      <c r="DC157" s="55"/>
      <c r="DD157" s="55"/>
      <c r="DE157" s="55"/>
      <c r="DF157" s="55"/>
      <c r="DG157" s="55"/>
      <c r="DH157" s="55"/>
      <c r="DI157" s="55"/>
      <c r="DJ157" s="55"/>
    </row>
    <row r="158" spans="1:114" x14ac:dyDescent="0.25">
      <c r="A158" s="120">
        <v>18</v>
      </c>
      <c r="B158" s="79" t="s">
        <v>90</v>
      </c>
      <c r="C158" s="80">
        <v>1500</v>
      </c>
      <c r="D158" s="81">
        <v>198.18</v>
      </c>
      <c r="E158" s="60"/>
      <c r="F158" s="60"/>
      <c r="G158" s="56">
        <f t="shared" si="34"/>
        <v>0</v>
      </c>
      <c r="H158" s="55"/>
      <c r="I158" s="56">
        <f t="shared" si="35"/>
        <v>0</v>
      </c>
      <c r="J158" s="56">
        <f t="shared" si="36"/>
        <v>0</v>
      </c>
      <c r="K158" s="57">
        <f t="shared" si="37"/>
        <v>0</v>
      </c>
      <c r="L158" s="297"/>
      <c r="M158" s="297"/>
      <c r="N158" s="314">
        <f t="shared" si="38"/>
        <v>0</v>
      </c>
      <c r="O158" s="310"/>
      <c r="P158" s="315"/>
      <c r="Q158" s="315"/>
      <c r="R158" s="315"/>
      <c r="S158" s="315"/>
      <c r="T158" s="55"/>
      <c r="U158" s="55"/>
      <c r="V158" s="55"/>
      <c r="W158" s="55"/>
      <c r="X158" s="55"/>
      <c r="Y158" s="55"/>
      <c r="Z158" s="55"/>
      <c r="AA158" s="55"/>
      <c r="AB158" s="55"/>
      <c r="AC158" s="55"/>
      <c r="AD158" s="55"/>
      <c r="AE158" s="55"/>
      <c r="AF158" s="55"/>
      <c r="AG158" s="55"/>
      <c r="AH158" s="55"/>
      <c r="AI158" s="55"/>
      <c r="AJ158" s="55"/>
      <c r="AK158" s="55"/>
      <c r="AL158" s="55"/>
      <c r="AM158" s="55"/>
      <c r="AN158" s="55"/>
      <c r="AO158" s="55"/>
      <c r="AP158" s="55"/>
      <c r="AQ158" s="55"/>
      <c r="AR158" s="55"/>
      <c r="AS158" s="55"/>
      <c r="AT158" s="55"/>
      <c r="AU158" s="55"/>
      <c r="AV158" s="55"/>
      <c r="AW158" s="55"/>
      <c r="AX158" s="55"/>
      <c r="AY158" s="55"/>
      <c r="AZ158" s="55"/>
      <c r="BA158" s="55"/>
      <c r="BB158" s="55"/>
      <c r="BC158" s="55"/>
      <c r="BD158" s="55"/>
      <c r="BE158" s="55"/>
      <c r="BF158" s="55"/>
      <c r="BG158" s="55"/>
      <c r="BH158" s="55"/>
      <c r="BI158" s="55"/>
      <c r="BJ158" s="55"/>
      <c r="BK158" s="55"/>
      <c r="BL158" s="55"/>
      <c r="BM158" s="55"/>
      <c r="BN158" s="55"/>
      <c r="BO158" s="55"/>
      <c r="BP158" s="55"/>
      <c r="BQ158" s="55"/>
      <c r="BR158" s="55"/>
      <c r="BS158" s="55"/>
      <c r="BT158" s="55"/>
      <c r="BU158" s="55"/>
      <c r="BV158" s="55"/>
      <c r="BW158" s="55"/>
      <c r="BX158" s="55"/>
      <c r="BY158" s="55"/>
      <c r="BZ158" s="55"/>
      <c r="CA158" s="55"/>
      <c r="CB158" s="55"/>
      <c r="CC158" s="55"/>
      <c r="CD158" s="55"/>
      <c r="CE158" s="55"/>
      <c r="CF158" s="55"/>
      <c r="CG158" s="55"/>
      <c r="CH158" s="55"/>
      <c r="CI158" s="55"/>
      <c r="CJ158" s="55"/>
      <c r="CK158" s="55"/>
      <c r="CL158" s="55"/>
      <c r="CM158" s="55"/>
      <c r="CN158" s="55"/>
      <c r="CO158" s="55"/>
      <c r="CP158" s="55"/>
      <c r="CQ158" s="55"/>
      <c r="CR158" s="55"/>
      <c r="CS158" s="55"/>
      <c r="CT158" s="55"/>
      <c r="CU158" s="55"/>
      <c r="CV158" s="55"/>
      <c r="CW158" s="55"/>
      <c r="CX158" s="55"/>
      <c r="CY158" s="55"/>
      <c r="CZ158" s="55"/>
      <c r="DA158" s="55"/>
      <c r="DB158" s="55"/>
      <c r="DC158" s="55"/>
      <c r="DD158" s="55"/>
      <c r="DE158" s="55"/>
      <c r="DF158" s="55"/>
      <c r="DG158" s="55"/>
      <c r="DH158" s="55"/>
      <c r="DI158" s="55"/>
      <c r="DJ158" s="55"/>
    </row>
    <row r="159" spans="1:114" x14ac:dyDescent="0.25">
      <c r="A159" s="120">
        <v>19</v>
      </c>
      <c r="B159" s="79" t="s">
        <v>91</v>
      </c>
      <c r="C159" s="80">
        <v>1500</v>
      </c>
      <c r="D159" s="81">
        <v>198.18</v>
      </c>
      <c r="E159" s="60"/>
      <c r="F159" s="60"/>
      <c r="G159" s="56">
        <f t="shared" si="34"/>
        <v>0</v>
      </c>
      <c r="H159" s="55"/>
      <c r="I159" s="56">
        <f t="shared" si="35"/>
        <v>0</v>
      </c>
      <c r="J159" s="56">
        <f t="shared" si="36"/>
        <v>0</v>
      </c>
      <c r="K159" s="57">
        <f t="shared" si="37"/>
        <v>0</v>
      </c>
      <c r="L159" s="297"/>
      <c r="M159" s="297"/>
      <c r="N159" s="314">
        <f t="shared" si="38"/>
        <v>0</v>
      </c>
      <c r="O159" s="310"/>
      <c r="P159" s="315"/>
      <c r="Q159" s="315"/>
      <c r="R159" s="315"/>
      <c r="S159" s="315"/>
      <c r="T159" s="55"/>
      <c r="U159" s="55"/>
      <c r="V159" s="55"/>
      <c r="W159" s="55"/>
      <c r="X159" s="55"/>
      <c r="Y159" s="55"/>
      <c r="Z159" s="55"/>
      <c r="AA159" s="55"/>
      <c r="AB159" s="55"/>
      <c r="AC159" s="55"/>
      <c r="AD159" s="55"/>
      <c r="AE159" s="55"/>
      <c r="AF159" s="55"/>
      <c r="AG159" s="55"/>
      <c r="AH159" s="55"/>
      <c r="AI159" s="55"/>
      <c r="AJ159" s="55"/>
      <c r="AK159" s="55"/>
      <c r="AL159" s="55"/>
      <c r="AM159" s="55"/>
      <c r="AN159" s="55"/>
      <c r="AO159" s="55"/>
      <c r="AP159" s="55"/>
      <c r="AQ159" s="55"/>
      <c r="AR159" s="55"/>
      <c r="AS159" s="55"/>
      <c r="AT159" s="55"/>
      <c r="AU159" s="55"/>
      <c r="AV159" s="55"/>
      <c r="AW159" s="55"/>
      <c r="AX159" s="55"/>
      <c r="AY159" s="55"/>
      <c r="AZ159" s="55"/>
      <c r="BA159" s="55"/>
      <c r="BB159" s="55"/>
      <c r="BC159" s="55"/>
      <c r="BD159" s="55"/>
      <c r="BE159" s="55"/>
      <c r="BF159" s="55"/>
      <c r="BG159" s="55"/>
      <c r="BH159" s="55"/>
      <c r="BI159" s="55"/>
      <c r="BJ159" s="55"/>
      <c r="BK159" s="55"/>
      <c r="BL159" s="55"/>
      <c r="BM159" s="55"/>
      <c r="BN159" s="55"/>
      <c r="BO159" s="55"/>
      <c r="BP159" s="55"/>
      <c r="BQ159" s="55"/>
      <c r="BR159" s="55"/>
      <c r="BS159" s="55"/>
      <c r="BT159" s="55"/>
      <c r="BU159" s="55"/>
      <c r="BV159" s="55"/>
      <c r="BW159" s="55"/>
      <c r="BX159" s="55"/>
      <c r="BY159" s="55"/>
      <c r="BZ159" s="55"/>
      <c r="CA159" s="55"/>
      <c r="CB159" s="55"/>
      <c r="CC159" s="55"/>
      <c r="CD159" s="55"/>
      <c r="CE159" s="55"/>
      <c r="CF159" s="55"/>
      <c r="CG159" s="55"/>
      <c r="CH159" s="55"/>
      <c r="CI159" s="55"/>
      <c r="CJ159" s="55"/>
      <c r="CK159" s="55"/>
      <c r="CL159" s="55"/>
      <c r="CM159" s="55"/>
      <c r="CN159" s="55"/>
      <c r="CO159" s="55"/>
      <c r="CP159" s="55"/>
      <c r="CQ159" s="55"/>
      <c r="CR159" s="55"/>
      <c r="CS159" s="55"/>
      <c r="CT159" s="55"/>
      <c r="CU159" s="55"/>
      <c r="CV159" s="55"/>
      <c r="CW159" s="55"/>
      <c r="CX159" s="55"/>
      <c r="CY159" s="55"/>
      <c r="CZ159" s="55"/>
      <c r="DA159" s="55"/>
      <c r="DB159" s="55"/>
      <c r="DC159" s="55"/>
      <c r="DD159" s="55"/>
      <c r="DE159" s="55"/>
      <c r="DF159" s="55"/>
      <c r="DG159" s="55"/>
      <c r="DH159" s="55"/>
      <c r="DI159" s="55"/>
      <c r="DJ159" s="55"/>
    </row>
    <row r="160" spans="1:114" x14ac:dyDescent="0.25">
      <c r="A160" s="120">
        <v>20</v>
      </c>
      <c r="B160" s="79" t="s">
        <v>92</v>
      </c>
      <c r="C160" s="80">
        <v>1500</v>
      </c>
      <c r="D160" s="81">
        <v>198.18</v>
      </c>
      <c r="E160" s="60"/>
      <c r="F160" s="60"/>
      <c r="G160" s="56">
        <f t="shared" si="34"/>
        <v>0</v>
      </c>
      <c r="H160" s="55"/>
      <c r="I160" s="56">
        <f t="shared" si="35"/>
        <v>0</v>
      </c>
      <c r="J160" s="56">
        <f t="shared" si="36"/>
        <v>0</v>
      </c>
      <c r="K160" s="57">
        <f t="shared" si="37"/>
        <v>0</v>
      </c>
      <c r="L160" s="297"/>
      <c r="M160" s="297"/>
      <c r="N160" s="314">
        <f t="shared" si="38"/>
        <v>0</v>
      </c>
      <c r="O160" s="310"/>
      <c r="P160" s="315"/>
      <c r="Q160" s="315"/>
      <c r="R160" s="315"/>
      <c r="S160" s="315"/>
      <c r="T160" s="55"/>
      <c r="U160" s="55"/>
      <c r="V160" s="55"/>
      <c r="W160" s="55"/>
      <c r="X160" s="55"/>
      <c r="Y160" s="55"/>
      <c r="Z160" s="55"/>
      <c r="AA160" s="55"/>
      <c r="AB160" s="55"/>
      <c r="AC160" s="55"/>
      <c r="AD160" s="55"/>
      <c r="AE160" s="55"/>
      <c r="AF160" s="55"/>
      <c r="AG160" s="55"/>
      <c r="AH160" s="55"/>
      <c r="AI160" s="55"/>
      <c r="AJ160" s="55"/>
      <c r="AK160" s="55"/>
      <c r="AL160" s="55"/>
      <c r="AM160" s="55"/>
      <c r="AN160" s="55"/>
      <c r="AO160" s="55"/>
      <c r="AP160" s="55"/>
      <c r="AQ160" s="55"/>
      <c r="AR160" s="55"/>
      <c r="AS160" s="55"/>
      <c r="AT160" s="55"/>
      <c r="AU160" s="55"/>
      <c r="AV160" s="55"/>
      <c r="AW160" s="55"/>
      <c r="AX160" s="55"/>
      <c r="AY160" s="55"/>
      <c r="AZ160" s="55"/>
      <c r="BA160" s="55"/>
      <c r="BB160" s="55"/>
      <c r="BC160" s="55"/>
      <c r="BD160" s="55"/>
      <c r="BE160" s="55"/>
      <c r="BF160" s="55"/>
      <c r="BG160" s="55"/>
      <c r="BH160" s="55"/>
      <c r="BI160" s="55"/>
      <c r="BJ160" s="55"/>
      <c r="BK160" s="55"/>
      <c r="BL160" s="55"/>
      <c r="BM160" s="55"/>
      <c r="BN160" s="55"/>
      <c r="BO160" s="55"/>
      <c r="BP160" s="55"/>
      <c r="BQ160" s="55"/>
      <c r="BR160" s="55"/>
      <c r="BS160" s="55"/>
      <c r="BT160" s="55"/>
      <c r="BU160" s="55"/>
      <c r="BV160" s="55"/>
      <c r="BW160" s="55"/>
      <c r="BX160" s="55"/>
      <c r="BY160" s="55"/>
      <c r="BZ160" s="55"/>
      <c r="CA160" s="55"/>
      <c r="CB160" s="55"/>
      <c r="CC160" s="55"/>
      <c r="CD160" s="55"/>
      <c r="CE160" s="55"/>
      <c r="CF160" s="55"/>
      <c r="CG160" s="55"/>
      <c r="CH160" s="55"/>
      <c r="CI160" s="55"/>
      <c r="CJ160" s="55"/>
      <c r="CK160" s="55"/>
      <c r="CL160" s="55"/>
      <c r="CM160" s="55"/>
      <c r="CN160" s="55"/>
      <c r="CO160" s="55"/>
      <c r="CP160" s="55"/>
      <c r="CQ160" s="55"/>
      <c r="CR160" s="55"/>
      <c r="CS160" s="55"/>
      <c r="CT160" s="55"/>
      <c r="CU160" s="55"/>
      <c r="CV160" s="55"/>
      <c r="CW160" s="55"/>
      <c r="CX160" s="55"/>
      <c r="CY160" s="55"/>
      <c r="CZ160" s="55"/>
      <c r="DA160" s="55"/>
      <c r="DB160" s="55"/>
      <c r="DC160" s="55"/>
      <c r="DD160" s="55"/>
      <c r="DE160" s="55"/>
      <c r="DF160" s="55"/>
      <c r="DG160" s="55"/>
      <c r="DH160" s="55"/>
      <c r="DI160" s="55"/>
      <c r="DJ160" s="55"/>
    </row>
    <row r="161" spans="1:114" x14ac:dyDescent="0.25">
      <c r="A161" s="120">
        <v>21</v>
      </c>
      <c r="B161" s="79" t="s">
        <v>93</v>
      </c>
      <c r="C161" s="80">
        <v>1500</v>
      </c>
      <c r="D161" s="81">
        <v>198.18</v>
      </c>
      <c r="E161" s="60"/>
      <c r="F161" s="60"/>
      <c r="G161" s="56">
        <f t="shared" si="34"/>
        <v>0</v>
      </c>
      <c r="H161" s="55"/>
      <c r="I161" s="56">
        <f t="shared" si="35"/>
        <v>0</v>
      </c>
      <c r="J161" s="56">
        <f t="shared" si="36"/>
        <v>0</v>
      </c>
      <c r="K161" s="57">
        <f t="shared" si="37"/>
        <v>0</v>
      </c>
      <c r="L161" s="297"/>
      <c r="M161" s="297"/>
      <c r="N161" s="314">
        <f t="shared" si="38"/>
        <v>0</v>
      </c>
      <c r="O161" s="310"/>
      <c r="P161" s="315"/>
      <c r="Q161" s="315"/>
      <c r="R161" s="315"/>
      <c r="S161" s="315"/>
      <c r="T161" s="55"/>
      <c r="U161" s="55"/>
      <c r="V161" s="55"/>
      <c r="W161" s="55"/>
      <c r="X161" s="55"/>
      <c r="Y161" s="55"/>
      <c r="Z161" s="55"/>
      <c r="AA161" s="55"/>
      <c r="AB161" s="55"/>
      <c r="AC161" s="55"/>
      <c r="AD161" s="55"/>
      <c r="AE161" s="55"/>
      <c r="AF161" s="55"/>
      <c r="AG161" s="55"/>
      <c r="AH161" s="55"/>
      <c r="AI161" s="55"/>
      <c r="AJ161" s="55"/>
      <c r="AK161" s="55"/>
      <c r="AL161" s="55"/>
      <c r="AM161" s="55"/>
      <c r="AN161" s="55"/>
      <c r="AO161" s="55"/>
      <c r="AP161" s="55"/>
      <c r="AQ161" s="55"/>
      <c r="AR161" s="55"/>
      <c r="AS161" s="55"/>
      <c r="AT161" s="55"/>
      <c r="AU161" s="55"/>
      <c r="AV161" s="55"/>
      <c r="AW161" s="55"/>
      <c r="AX161" s="55"/>
      <c r="AY161" s="55"/>
      <c r="AZ161" s="55"/>
      <c r="BA161" s="55"/>
      <c r="BB161" s="55"/>
      <c r="BC161" s="55"/>
      <c r="BD161" s="55"/>
      <c r="BE161" s="55"/>
      <c r="BF161" s="55"/>
      <c r="BG161" s="55"/>
      <c r="BH161" s="55"/>
      <c r="BI161" s="55"/>
      <c r="BJ161" s="55"/>
      <c r="BK161" s="55"/>
      <c r="BL161" s="55"/>
      <c r="BM161" s="55"/>
      <c r="BN161" s="55"/>
      <c r="BO161" s="55"/>
      <c r="BP161" s="55"/>
      <c r="BQ161" s="55"/>
      <c r="BR161" s="55"/>
      <c r="BS161" s="55"/>
      <c r="BT161" s="55"/>
      <c r="BU161" s="55"/>
      <c r="BV161" s="55"/>
      <c r="BW161" s="55"/>
      <c r="BX161" s="55"/>
      <c r="BY161" s="55"/>
      <c r="BZ161" s="55"/>
      <c r="CA161" s="55"/>
      <c r="CB161" s="55"/>
      <c r="CC161" s="55"/>
      <c r="CD161" s="55"/>
      <c r="CE161" s="55"/>
      <c r="CF161" s="55"/>
      <c r="CG161" s="55"/>
      <c r="CH161" s="55"/>
      <c r="CI161" s="55"/>
      <c r="CJ161" s="55"/>
      <c r="CK161" s="55"/>
      <c r="CL161" s="55"/>
      <c r="CM161" s="55"/>
      <c r="CN161" s="55"/>
      <c r="CO161" s="55"/>
      <c r="CP161" s="55"/>
      <c r="CQ161" s="55"/>
      <c r="CR161" s="55"/>
      <c r="CS161" s="55"/>
      <c r="CT161" s="55"/>
      <c r="CU161" s="55"/>
      <c r="CV161" s="55"/>
      <c r="CW161" s="55"/>
      <c r="CX161" s="55"/>
      <c r="CY161" s="55"/>
      <c r="CZ161" s="55"/>
      <c r="DA161" s="55"/>
      <c r="DB161" s="55"/>
      <c r="DC161" s="55"/>
      <c r="DD161" s="55"/>
      <c r="DE161" s="55"/>
      <c r="DF161" s="55"/>
      <c r="DG161" s="55"/>
      <c r="DH161" s="55"/>
      <c r="DI161" s="55"/>
      <c r="DJ161" s="55"/>
    </row>
    <row r="162" spans="1:114" x14ac:dyDescent="0.25">
      <c r="A162" s="120">
        <v>22</v>
      </c>
      <c r="B162" s="79" t="s">
        <v>94</v>
      </c>
      <c r="C162" s="80">
        <v>1500</v>
      </c>
      <c r="D162" s="81">
        <v>198.18</v>
      </c>
      <c r="E162" s="60"/>
      <c r="F162" s="60"/>
      <c r="G162" s="56">
        <f t="shared" si="34"/>
        <v>0</v>
      </c>
      <c r="H162" s="55"/>
      <c r="I162" s="56">
        <f t="shared" si="35"/>
        <v>0</v>
      </c>
      <c r="J162" s="56">
        <f t="shared" si="36"/>
        <v>0</v>
      </c>
      <c r="K162" s="57">
        <f t="shared" si="37"/>
        <v>0</v>
      </c>
      <c r="L162" s="297"/>
      <c r="M162" s="297"/>
      <c r="N162" s="314">
        <f t="shared" si="38"/>
        <v>0</v>
      </c>
      <c r="O162" s="310"/>
      <c r="P162" s="315"/>
      <c r="Q162" s="315"/>
      <c r="R162" s="315"/>
      <c r="S162" s="315"/>
      <c r="T162" s="55"/>
      <c r="U162" s="55"/>
      <c r="V162" s="55"/>
      <c r="W162" s="55"/>
      <c r="X162" s="55"/>
      <c r="Y162" s="55"/>
      <c r="Z162" s="55"/>
      <c r="AA162" s="55"/>
      <c r="AB162" s="55"/>
      <c r="AC162" s="55"/>
      <c r="AD162" s="55"/>
      <c r="AE162" s="55"/>
      <c r="AF162" s="55"/>
      <c r="AG162" s="55"/>
      <c r="AH162" s="55"/>
      <c r="AI162" s="55"/>
      <c r="AJ162" s="55"/>
      <c r="AK162" s="55"/>
      <c r="AL162" s="55"/>
      <c r="AM162" s="55"/>
      <c r="AN162" s="55"/>
      <c r="AO162" s="55"/>
      <c r="AP162" s="55"/>
      <c r="AQ162" s="55"/>
      <c r="AR162" s="55"/>
      <c r="AS162" s="55"/>
      <c r="AT162" s="55"/>
      <c r="AU162" s="55"/>
      <c r="AV162" s="55"/>
      <c r="AW162" s="55"/>
      <c r="AX162" s="55"/>
      <c r="AY162" s="55"/>
      <c r="AZ162" s="55"/>
      <c r="BA162" s="55"/>
      <c r="BB162" s="55"/>
      <c r="BC162" s="55"/>
      <c r="BD162" s="55"/>
      <c r="BE162" s="55"/>
      <c r="BF162" s="55"/>
      <c r="BG162" s="55"/>
      <c r="BH162" s="55"/>
      <c r="BI162" s="55"/>
      <c r="BJ162" s="55"/>
      <c r="BK162" s="55"/>
      <c r="BL162" s="55"/>
      <c r="BM162" s="55"/>
      <c r="BN162" s="55"/>
      <c r="BO162" s="55"/>
      <c r="BP162" s="55"/>
      <c r="BQ162" s="55"/>
      <c r="BR162" s="55"/>
      <c r="BS162" s="55"/>
      <c r="BT162" s="55"/>
      <c r="BU162" s="55"/>
      <c r="BV162" s="55"/>
      <c r="BW162" s="55"/>
      <c r="BX162" s="55"/>
      <c r="BY162" s="55"/>
      <c r="BZ162" s="55"/>
      <c r="CA162" s="55"/>
      <c r="CB162" s="55"/>
      <c r="CC162" s="55"/>
      <c r="CD162" s="55"/>
      <c r="CE162" s="55"/>
      <c r="CF162" s="55"/>
      <c r="CG162" s="55"/>
      <c r="CH162" s="55"/>
      <c r="CI162" s="55"/>
      <c r="CJ162" s="55"/>
      <c r="CK162" s="55"/>
      <c r="CL162" s="55"/>
      <c r="CM162" s="55"/>
      <c r="CN162" s="55"/>
      <c r="CO162" s="55"/>
      <c r="CP162" s="55"/>
      <c r="CQ162" s="55"/>
      <c r="CR162" s="55"/>
      <c r="CS162" s="55"/>
      <c r="CT162" s="55"/>
      <c r="CU162" s="55"/>
      <c r="CV162" s="55"/>
      <c r="CW162" s="55"/>
      <c r="CX162" s="55"/>
      <c r="CY162" s="55"/>
      <c r="CZ162" s="55"/>
      <c r="DA162" s="55"/>
      <c r="DB162" s="55"/>
      <c r="DC162" s="55"/>
      <c r="DD162" s="55"/>
      <c r="DE162" s="55"/>
      <c r="DF162" s="55"/>
      <c r="DG162" s="55"/>
      <c r="DH162" s="55"/>
      <c r="DI162" s="55"/>
      <c r="DJ162" s="55"/>
    </row>
    <row r="163" spans="1:114" x14ac:dyDescent="0.25">
      <c r="A163" s="120">
        <v>23</v>
      </c>
      <c r="B163" s="79" t="s">
        <v>95</v>
      </c>
      <c r="C163" s="80">
        <v>1500</v>
      </c>
      <c r="D163" s="81">
        <v>198.18</v>
      </c>
      <c r="E163" s="60"/>
      <c r="F163" s="60"/>
      <c r="G163" s="56">
        <f t="shared" si="34"/>
        <v>0</v>
      </c>
      <c r="H163" s="55"/>
      <c r="I163" s="56">
        <f t="shared" si="35"/>
        <v>0</v>
      </c>
      <c r="J163" s="56">
        <f t="shared" si="36"/>
        <v>0</v>
      </c>
      <c r="K163" s="57">
        <f t="shared" si="37"/>
        <v>0</v>
      </c>
      <c r="L163" s="297"/>
      <c r="M163" s="297"/>
      <c r="N163" s="314">
        <f t="shared" si="38"/>
        <v>0</v>
      </c>
      <c r="O163" s="310"/>
      <c r="P163" s="315"/>
      <c r="Q163" s="315"/>
      <c r="R163" s="315"/>
      <c r="S163" s="315"/>
      <c r="T163" s="55"/>
      <c r="U163" s="55"/>
      <c r="V163" s="55"/>
      <c r="W163" s="55"/>
      <c r="X163" s="55"/>
      <c r="Y163" s="55"/>
      <c r="Z163" s="55"/>
      <c r="AA163" s="55"/>
      <c r="AB163" s="55"/>
      <c r="AC163" s="55"/>
      <c r="AD163" s="55"/>
      <c r="AE163" s="55"/>
      <c r="AF163" s="55"/>
      <c r="AG163" s="55"/>
      <c r="AH163" s="55"/>
      <c r="AI163" s="55"/>
      <c r="AJ163" s="55"/>
      <c r="AK163" s="55"/>
      <c r="AL163" s="55"/>
      <c r="AM163" s="55"/>
      <c r="AN163" s="55"/>
      <c r="AO163" s="55"/>
      <c r="AP163" s="55"/>
      <c r="AQ163" s="55"/>
      <c r="AR163" s="55"/>
      <c r="AS163" s="55"/>
      <c r="AT163" s="55"/>
      <c r="AU163" s="55"/>
      <c r="AV163" s="55"/>
      <c r="AW163" s="55"/>
      <c r="AX163" s="55"/>
      <c r="AY163" s="55"/>
      <c r="AZ163" s="55"/>
      <c r="BA163" s="55"/>
      <c r="BB163" s="55"/>
      <c r="BC163" s="55"/>
      <c r="BD163" s="55"/>
      <c r="BE163" s="55"/>
      <c r="BF163" s="55"/>
      <c r="BG163" s="55"/>
      <c r="BH163" s="55"/>
      <c r="BI163" s="55"/>
      <c r="BJ163" s="55"/>
      <c r="BK163" s="55"/>
      <c r="BL163" s="55"/>
      <c r="BM163" s="55"/>
      <c r="BN163" s="55"/>
      <c r="BO163" s="55"/>
      <c r="BP163" s="55"/>
      <c r="BQ163" s="55"/>
      <c r="BR163" s="55"/>
      <c r="BS163" s="55"/>
      <c r="BT163" s="55"/>
      <c r="BU163" s="55"/>
      <c r="BV163" s="55"/>
      <c r="BW163" s="55"/>
      <c r="BX163" s="55"/>
      <c r="BY163" s="55"/>
      <c r="BZ163" s="55"/>
      <c r="CA163" s="55"/>
      <c r="CB163" s="55"/>
      <c r="CC163" s="55"/>
      <c r="CD163" s="55"/>
      <c r="CE163" s="55"/>
      <c r="CF163" s="55"/>
      <c r="CG163" s="55"/>
      <c r="CH163" s="55"/>
      <c r="CI163" s="55"/>
      <c r="CJ163" s="55"/>
      <c r="CK163" s="55"/>
      <c r="CL163" s="55"/>
      <c r="CM163" s="55"/>
      <c r="CN163" s="55"/>
      <c r="CO163" s="55"/>
      <c r="CP163" s="55"/>
      <c r="CQ163" s="55"/>
      <c r="CR163" s="55"/>
      <c r="CS163" s="55"/>
      <c r="CT163" s="55"/>
      <c r="CU163" s="55"/>
      <c r="CV163" s="55"/>
      <c r="CW163" s="55"/>
      <c r="CX163" s="55"/>
      <c r="CY163" s="55"/>
      <c r="CZ163" s="55"/>
      <c r="DA163" s="55"/>
      <c r="DB163" s="55"/>
      <c r="DC163" s="55"/>
      <c r="DD163" s="55"/>
      <c r="DE163" s="55"/>
      <c r="DF163" s="55"/>
      <c r="DG163" s="55"/>
      <c r="DH163" s="55"/>
      <c r="DI163" s="55"/>
      <c r="DJ163" s="55"/>
    </row>
    <row r="164" spans="1:114" x14ac:dyDescent="0.25">
      <c r="A164" s="120">
        <v>24</v>
      </c>
      <c r="B164" s="79" t="s">
        <v>96</v>
      </c>
      <c r="C164" s="80">
        <v>1500</v>
      </c>
      <c r="D164" s="81">
        <v>198.18</v>
      </c>
      <c r="E164" s="60"/>
      <c r="F164" s="60"/>
      <c r="G164" s="56">
        <f t="shared" si="34"/>
        <v>0</v>
      </c>
      <c r="H164" s="55"/>
      <c r="I164" s="56">
        <f t="shared" si="35"/>
        <v>0</v>
      </c>
      <c r="J164" s="56">
        <f t="shared" si="36"/>
        <v>0</v>
      </c>
      <c r="K164" s="57">
        <f t="shared" si="37"/>
        <v>0</v>
      </c>
      <c r="L164" s="297"/>
      <c r="M164" s="297"/>
      <c r="N164" s="314">
        <f t="shared" si="38"/>
        <v>0</v>
      </c>
      <c r="O164" s="310"/>
      <c r="P164" s="315"/>
      <c r="Q164" s="315"/>
      <c r="R164" s="315"/>
      <c r="S164" s="315"/>
      <c r="T164" s="55"/>
      <c r="U164" s="55"/>
      <c r="V164" s="55"/>
      <c r="W164" s="55"/>
      <c r="X164" s="55"/>
      <c r="Y164" s="55"/>
      <c r="Z164" s="55"/>
      <c r="AA164" s="55"/>
      <c r="AB164" s="55"/>
      <c r="AC164" s="55"/>
      <c r="AD164" s="55"/>
      <c r="AE164" s="55"/>
      <c r="AF164" s="55"/>
      <c r="AG164" s="55"/>
      <c r="AH164" s="55"/>
      <c r="AI164" s="55"/>
      <c r="AJ164" s="55"/>
      <c r="AK164" s="55"/>
      <c r="AL164" s="55"/>
      <c r="AM164" s="55"/>
      <c r="AN164" s="55"/>
      <c r="AO164" s="55"/>
      <c r="AP164" s="55"/>
      <c r="AQ164" s="55"/>
      <c r="AR164" s="55"/>
      <c r="AS164" s="55"/>
      <c r="AT164" s="55"/>
      <c r="AU164" s="55"/>
      <c r="AV164" s="55"/>
      <c r="AW164" s="55"/>
      <c r="AX164" s="55"/>
      <c r="AY164" s="55"/>
      <c r="AZ164" s="55"/>
      <c r="BA164" s="55"/>
      <c r="BB164" s="55"/>
      <c r="BC164" s="55"/>
      <c r="BD164" s="55"/>
      <c r="BE164" s="55"/>
      <c r="BF164" s="55"/>
      <c r="BG164" s="55"/>
      <c r="BH164" s="55"/>
      <c r="BI164" s="55"/>
      <c r="BJ164" s="55"/>
      <c r="BK164" s="55"/>
      <c r="BL164" s="55"/>
      <c r="BM164" s="55"/>
      <c r="BN164" s="55"/>
      <c r="BO164" s="55"/>
      <c r="BP164" s="55"/>
      <c r="BQ164" s="55"/>
      <c r="BR164" s="55"/>
      <c r="BS164" s="55"/>
      <c r="BT164" s="55"/>
      <c r="BU164" s="55"/>
      <c r="BV164" s="55"/>
      <c r="BW164" s="55"/>
      <c r="BX164" s="55"/>
      <c r="BY164" s="55"/>
      <c r="BZ164" s="55"/>
      <c r="CA164" s="55"/>
      <c r="CB164" s="55"/>
      <c r="CC164" s="55"/>
      <c r="CD164" s="55"/>
      <c r="CE164" s="55"/>
      <c r="CF164" s="55"/>
      <c r="CG164" s="55"/>
      <c r="CH164" s="55"/>
      <c r="CI164" s="55"/>
      <c r="CJ164" s="55"/>
      <c r="CK164" s="55"/>
      <c r="CL164" s="55"/>
      <c r="CM164" s="55"/>
      <c r="CN164" s="55"/>
      <c r="CO164" s="55"/>
      <c r="CP164" s="55"/>
      <c r="CQ164" s="55"/>
      <c r="CR164" s="55"/>
      <c r="CS164" s="55"/>
      <c r="CT164" s="55"/>
      <c r="CU164" s="55"/>
      <c r="CV164" s="55"/>
      <c r="CW164" s="55"/>
      <c r="CX164" s="55"/>
      <c r="CY164" s="55"/>
      <c r="CZ164" s="55"/>
      <c r="DA164" s="55"/>
      <c r="DB164" s="55"/>
      <c r="DC164" s="55"/>
      <c r="DD164" s="55"/>
      <c r="DE164" s="55"/>
      <c r="DF164" s="55"/>
      <c r="DG164" s="55"/>
      <c r="DH164" s="55"/>
      <c r="DI164" s="55"/>
      <c r="DJ164" s="55"/>
    </row>
    <row r="165" spans="1:114" x14ac:dyDescent="0.25">
      <c r="A165" s="120">
        <v>25</v>
      </c>
      <c r="B165" s="79" t="s">
        <v>97</v>
      </c>
      <c r="C165" s="80">
        <v>1500</v>
      </c>
      <c r="D165" s="81">
        <v>198.18</v>
      </c>
      <c r="E165" s="60"/>
      <c r="F165" s="60"/>
      <c r="G165" s="56">
        <f t="shared" si="34"/>
        <v>0</v>
      </c>
      <c r="H165" s="55"/>
      <c r="I165" s="56">
        <f t="shared" si="35"/>
        <v>0</v>
      </c>
      <c r="J165" s="56">
        <f t="shared" si="36"/>
        <v>0</v>
      </c>
      <c r="K165" s="57">
        <f t="shared" si="37"/>
        <v>0</v>
      </c>
      <c r="L165" s="297"/>
      <c r="M165" s="297"/>
      <c r="N165" s="314">
        <f t="shared" si="38"/>
        <v>0</v>
      </c>
      <c r="O165" s="310"/>
      <c r="P165" s="315"/>
      <c r="Q165" s="315"/>
      <c r="R165" s="315"/>
      <c r="S165" s="315"/>
      <c r="T165" s="55"/>
      <c r="U165" s="55"/>
      <c r="V165" s="55"/>
      <c r="W165" s="55"/>
      <c r="X165" s="55"/>
      <c r="Y165" s="55"/>
      <c r="Z165" s="55"/>
      <c r="AA165" s="55"/>
      <c r="AB165" s="55"/>
      <c r="AC165" s="55"/>
      <c r="AD165" s="55"/>
      <c r="AE165" s="55"/>
      <c r="AF165" s="55"/>
      <c r="AG165" s="55"/>
      <c r="AH165" s="55"/>
      <c r="AI165" s="55"/>
      <c r="AJ165" s="55"/>
      <c r="AK165" s="55"/>
      <c r="AL165" s="55"/>
      <c r="AM165" s="55"/>
      <c r="AN165" s="55"/>
      <c r="AO165" s="55"/>
      <c r="AP165" s="55"/>
      <c r="AQ165" s="55"/>
      <c r="AR165" s="55"/>
      <c r="AS165" s="55"/>
      <c r="AT165" s="55"/>
      <c r="AU165" s="55"/>
      <c r="AV165" s="55"/>
      <c r="AW165" s="55"/>
      <c r="AX165" s="55"/>
      <c r="AY165" s="55"/>
      <c r="AZ165" s="55"/>
      <c r="BA165" s="55"/>
      <c r="BB165" s="55"/>
      <c r="BC165" s="55"/>
      <c r="BD165" s="55"/>
      <c r="BE165" s="55"/>
      <c r="BF165" s="55"/>
      <c r="BG165" s="55"/>
      <c r="BH165" s="55"/>
      <c r="BI165" s="55"/>
      <c r="BJ165" s="55"/>
      <c r="BK165" s="55"/>
      <c r="BL165" s="55"/>
      <c r="BM165" s="55"/>
      <c r="BN165" s="55"/>
      <c r="BO165" s="55"/>
      <c r="BP165" s="55"/>
      <c r="BQ165" s="55"/>
      <c r="BR165" s="55"/>
      <c r="BS165" s="55"/>
      <c r="BT165" s="55"/>
      <c r="BU165" s="55"/>
      <c r="BV165" s="55"/>
      <c r="BW165" s="55"/>
      <c r="BX165" s="55"/>
      <c r="BY165" s="55"/>
      <c r="BZ165" s="55"/>
      <c r="CA165" s="55"/>
      <c r="CB165" s="55"/>
      <c r="CC165" s="55"/>
      <c r="CD165" s="55"/>
      <c r="CE165" s="55"/>
      <c r="CF165" s="55"/>
      <c r="CG165" s="55"/>
      <c r="CH165" s="55"/>
      <c r="CI165" s="55"/>
      <c r="CJ165" s="55"/>
      <c r="CK165" s="55"/>
      <c r="CL165" s="55"/>
      <c r="CM165" s="55"/>
      <c r="CN165" s="55"/>
      <c r="CO165" s="55"/>
      <c r="CP165" s="55"/>
      <c r="CQ165" s="55"/>
      <c r="CR165" s="55"/>
      <c r="CS165" s="55"/>
      <c r="CT165" s="55"/>
      <c r="CU165" s="55"/>
      <c r="CV165" s="55"/>
      <c r="CW165" s="55"/>
      <c r="CX165" s="55"/>
      <c r="CY165" s="55"/>
      <c r="CZ165" s="55"/>
      <c r="DA165" s="55"/>
      <c r="DB165" s="55"/>
      <c r="DC165" s="55"/>
      <c r="DD165" s="55"/>
      <c r="DE165" s="55"/>
      <c r="DF165" s="55"/>
      <c r="DG165" s="55"/>
      <c r="DH165" s="55"/>
      <c r="DI165" s="55"/>
      <c r="DJ165" s="55"/>
    </row>
    <row r="166" spans="1:114" x14ac:dyDescent="0.25">
      <c r="A166" s="120">
        <v>26</v>
      </c>
      <c r="B166" s="79" t="s">
        <v>98</v>
      </c>
      <c r="C166" s="80">
        <v>1500</v>
      </c>
      <c r="D166" s="81">
        <v>198.18</v>
      </c>
      <c r="E166" s="60"/>
      <c r="F166" s="60"/>
      <c r="G166" s="56">
        <f t="shared" si="34"/>
        <v>0</v>
      </c>
      <c r="H166" s="55"/>
      <c r="I166" s="56">
        <f t="shared" si="35"/>
        <v>0</v>
      </c>
      <c r="J166" s="56">
        <f t="shared" si="36"/>
        <v>0</v>
      </c>
      <c r="K166" s="57">
        <f t="shared" si="37"/>
        <v>0</v>
      </c>
      <c r="L166" s="297"/>
      <c r="M166" s="297"/>
      <c r="N166" s="314">
        <f t="shared" si="38"/>
        <v>0</v>
      </c>
      <c r="O166" s="310"/>
      <c r="P166" s="315"/>
      <c r="Q166" s="315"/>
      <c r="R166" s="315"/>
      <c r="S166" s="315"/>
      <c r="T166" s="55"/>
      <c r="U166" s="55"/>
      <c r="V166" s="55"/>
      <c r="W166" s="55"/>
      <c r="X166" s="55"/>
      <c r="Y166" s="55"/>
      <c r="Z166" s="55"/>
      <c r="AA166" s="55"/>
      <c r="AB166" s="55"/>
      <c r="AC166" s="55"/>
      <c r="AD166" s="55"/>
      <c r="AE166" s="55"/>
      <c r="AF166" s="55"/>
      <c r="AG166" s="55"/>
      <c r="AH166" s="55"/>
      <c r="AI166" s="55"/>
      <c r="AJ166" s="55"/>
      <c r="AK166" s="55"/>
      <c r="AL166" s="55"/>
      <c r="AM166" s="55"/>
      <c r="AN166" s="55"/>
      <c r="AO166" s="55"/>
      <c r="AP166" s="55"/>
      <c r="AQ166" s="55"/>
      <c r="AR166" s="55"/>
      <c r="AS166" s="55"/>
      <c r="AT166" s="55"/>
      <c r="AU166" s="55"/>
      <c r="AV166" s="55"/>
      <c r="AW166" s="55"/>
      <c r="AX166" s="55"/>
      <c r="AY166" s="55"/>
      <c r="AZ166" s="55"/>
      <c r="BA166" s="55"/>
      <c r="BB166" s="55"/>
      <c r="BC166" s="55"/>
      <c r="BD166" s="55"/>
      <c r="BE166" s="55"/>
      <c r="BF166" s="55"/>
      <c r="BG166" s="55"/>
      <c r="BH166" s="55"/>
      <c r="BI166" s="55"/>
      <c r="BJ166" s="55"/>
      <c r="BK166" s="55"/>
      <c r="BL166" s="55"/>
      <c r="BM166" s="55"/>
      <c r="BN166" s="55"/>
      <c r="BO166" s="55"/>
      <c r="BP166" s="55"/>
      <c r="BQ166" s="55"/>
      <c r="BR166" s="55"/>
      <c r="BS166" s="55"/>
      <c r="BT166" s="55"/>
      <c r="BU166" s="55"/>
      <c r="BV166" s="55"/>
      <c r="BW166" s="55"/>
      <c r="BX166" s="55"/>
      <c r="BY166" s="55"/>
      <c r="BZ166" s="55"/>
      <c r="CA166" s="55"/>
      <c r="CB166" s="55"/>
      <c r="CC166" s="55"/>
      <c r="CD166" s="55"/>
      <c r="CE166" s="55"/>
      <c r="CF166" s="55"/>
      <c r="CG166" s="55"/>
      <c r="CH166" s="55"/>
      <c r="CI166" s="55"/>
      <c r="CJ166" s="55"/>
      <c r="CK166" s="55"/>
      <c r="CL166" s="55"/>
      <c r="CM166" s="55"/>
      <c r="CN166" s="55"/>
      <c r="CO166" s="55"/>
      <c r="CP166" s="55"/>
      <c r="CQ166" s="55"/>
      <c r="CR166" s="55"/>
      <c r="CS166" s="55"/>
      <c r="CT166" s="55"/>
      <c r="CU166" s="55"/>
      <c r="CV166" s="55"/>
      <c r="CW166" s="55"/>
      <c r="CX166" s="55"/>
      <c r="CY166" s="55"/>
      <c r="CZ166" s="55"/>
      <c r="DA166" s="55"/>
      <c r="DB166" s="55"/>
      <c r="DC166" s="55"/>
      <c r="DD166" s="55"/>
      <c r="DE166" s="55"/>
      <c r="DF166" s="55"/>
      <c r="DG166" s="55"/>
      <c r="DH166" s="55"/>
      <c r="DI166" s="55"/>
      <c r="DJ166" s="55"/>
    </row>
    <row r="167" spans="1:114" x14ac:dyDescent="0.25">
      <c r="A167" s="120">
        <v>27</v>
      </c>
      <c r="B167" s="79" t="s">
        <v>99</v>
      </c>
      <c r="C167" s="80">
        <v>1500</v>
      </c>
      <c r="D167" s="81">
        <v>198.18</v>
      </c>
      <c r="E167" s="60"/>
      <c r="F167" s="60"/>
      <c r="G167" s="56">
        <f t="shared" si="34"/>
        <v>0</v>
      </c>
      <c r="H167" s="55"/>
      <c r="I167" s="56">
        <f t="shared" si="35"/>
        <v>0</v>
      </c>
      <c r="J167" s="56">
        <f t="shared" si="36"/>
        <v>0</v>
      </c>
      <c r="K167" s="57">
        <f t="shared" si="37"/>
        <v>0</v>
      </c>
      <c r="L167" s="297"/>
      <c r="M167" s="297"/>
      <c r="N167" s="314">
        <f t="shared" si="38"/>
        <v>0</v>
      </c>
      <c r="O167" s="310"/>
      <c r="P167" s="315"/>
      <c r="Q167" s="315"/>
      <c r="R167" s="315"/>
      <c r="S167" s="315"/>
      <c r="T167" s="55"/>
      <c r="U167" s="55"/>
      <c r="V167" s="55"/>
      <c r="W167" s="55"/>
      <c r="X167" s="55"/>
      <c r="Y167" s="55"/>
      <c r="Z167" s="55"/>
      <c r="AA167" s="55"/>
      <c r="AB167" s="55"/>
      <c r="AC167" s="55"/>
      <c r="AD167" s="55"/>
      <c r="AE167" s="55"/>
      <c r="AF167" s="55"/>
      <c r="AG167" s="55"/>
      <c r="AH167" s="55"/>
      <c r="AI167" s="55"/>
      <c r="AJ167" s="55"/>
      <c r="AK167" s="55"/>
      <c r="AL167" s="55"/>
      <c r="AM167" s="55"/>
      <c r="AN167" s="55"/>
      <c r="AO167" s="55"/>
      <c r="AP167" s="55"/>
      <c r="AQ167" s="55"/>
      <c r="AR167" s="55"/>
      <c r="AS167" s="55"/>
      <c r="AT167" s="55"/>
      <c r="AU167" s="55"/>
      <c r="AV167" s="55"/>
      <c r="AW167" s="55"/>
      <c r="AX167" s="55"/>
      <c r="AY167" s="55"/>
      <c r="AZ167" s="55"/>
      <c r="BA167" s="55"/>
      <c r="BB167" s="55"/>
      <c r="BC167" s="55"/>
      <c r="BD167" s="55"/>
      <c r="BE167" s="55"/>
      <c r="BF167" s="55"/>
      <c r="BG167" s="55"/>
      <c r="BH167" s="55"/>
      <c r="BI167" s="55"/>
      <c r="BJ167" s="55"/>
      <c r="BK167" s="55"/>
      <c r="BL167" s="55"/>
      <c r="BM167" s="55"/>
      <c r="BN167" s="55"/>
      <c r="BO167" s="55"/>
      <c r="BP167" s="55"/>
      <c r="BQ167" s="55"/>
      <c r="BR167" s="55"/>
      <c r="BS167" s="55"/>
      <c r="BT167" s="55"/>
      <c r="BU167" s="55"/>
      <c r="BV167" s="55"/>
      <c r="BW167" s="55"/>
      <c r="BX167" s="55"/>
      <c r="BY167" s="55"/>
      <c r="BZ167" s="55"/>
      <c r="CA167" s="55"/>
      <c r="CB167" s="55"/>
      <c r="CC167" s="55"/>
      <c r="CD167" s="55"/>
      <c r="CE167" s="55"/>
      <c r="CF167" s="55"/>
      <c r="CG167" s="55"/>
      <c r="CH167" s="55"/>
      <c r="CI167" s="55"/>
      <c r="CJ167" s="55"/>
      <c r="CK167" s="55"/>
      <c r="CL167" s="55"/>
      <c r="CM167" s="55"/>
      <c r="CN167" s="55"/>
      <c r="CO167" s="55"/>
      <c r="CP167" s="55"/>
      <c r="CQ167" s="55"/>
      <c r="CR167" s="55"/>
      <c r="CS167" s="55"/>
      <c r="CT167" s="55"/>
      <c r="CU167" s="55"/>
      <c r="CV167" s="55"/>
      <c r="CW167" s="55"/>
      <c r="CX167" s="55"/>
      <c r="CY167" s="55"/>
      <c r="CZ167" s="55"/>
      <c r="DA167" s="55"/>
      <c r="DB167" s="55"/>
      <c r="DC167" s="55"/>
      <c r="DD167" s="55"/>
      <c r="DE167" s="55"/>
      <c r="DF167" s="55"/>
      <c r="DG167" s="55"/>
      <c r="DH167" s="55"/>
      <c r="DI167" s="55"/>
      <c r="DJ167" s="55"/>
    </row>
    <row r="168" spans="1:114" x14ac:dyDescent="0.25">
      <c r="A168" s="120">
        <v>28</v>
      </c>
      <c r="B168" s="79" t="s">
        <v>100</v>
      </c>
      <c r="C168" s="80">
        <v>2500</v>
      </c>
      <c r="D168" s="81">
        <v>136.46</v>
      </c>
      <c r="E168" s="60"/>
      <c r="F168" s="60"/>
      <c r="G168" s="56">
        <f t="shared" si="34"/>
        <v>0</v>
      </c>
      <c r="H168" s="55"/>
      <c r="I168" s="56">
        <f t="shared" si="35"/>
        <v>0</v>
      </c>
      <c r="J168" s="56">
        <f t="shared" si="36"/>
        <v>0</v>
      </c>
      <c r="K168" s="57">
        <f t="shared" si="37"/>
        <v>0</v>
      </c>
      <c r="L168" s="297"/>
      <c r="M168" s="297"/>
      <c r="N168" s="314">
        <f t="shared" si="38"/>
        <v>0</v>
      </c>
      <c r="O168" s="310"/>
      <c r="P168" s="315"/>
      <c r="Q168" s="315"/>
      <c r="R168" s="315"/>
      <c r="S168" s="315"/>
      <c r="T168" s="55"/>
      <c r="U168" s="55"/>
      <c r="V168" s="55"/>
      <c r="W168" s="55"/>
      <c r="X168" s="55"/>
      <c r="Y168" s="55"/>
      <c r="Z168" s="55"/>
      <c r="AA168" s="55"/>
      <c r="AB168" s="55"/>
      <c r="AC168" s="55"/>
      <c r="AD168" s="55"/>
      <c r="AE168" s="55"/>
      <c r="AF168" s="55"/>
      <c r="AG168" s="55"/>
      <c r="AH168" s="55"/>
      <c r="AI168" s="55"/>
      <c r="AJ168" s="55"/>
      <c r="AK168" s="55"/>
      <c r="AL168" s="55"/>
      <c r="AM168" s="55"/>
      <c r="AN168" s="55"/>
      <c r="AO168" s="55"/>
      <c r="AP168" s="55"/>
      <c r="AQ168" s="55"/>
      <c r="AR168" s="55"/>
      <c r="AS168" s="55"/>
      <c r="AT168" s="55"/>
      <c r="AU168" s="55"/>
      <c r="AV168" s="55"/>
      <c r="AW168" s="55"/>
      <c r="AX168" s="55"/>
      <c r="AY168" s="55"/>
      <c r="AZ168" s="55"/>
      <c r="BA168" s="55"/>
      <c r="BB168" s="55"/>
      <c r="BC168" s="55"/>
      <c r="BD168" s="55"/>
      <c r="BE168" s="55"/>
      <c r="BF168" s="55"/>
      <c r="BG168" s="55"/>
      <c r="BH168" s="55"/>
      <c r="BI168" s="55"/>
      <c r="BJ168" s="55"/>
      <c r="BK168" s="55"/>
      <c r="BL168" s="55"/>
      <c r="BM168" s="55"/>
      <c r="BN168" s="55"/>
      <c r="BO168" s="55"/>
      <c r="BP168" s="55"/>
      <c r="BQ168" s="55"/>
      <c r="BR168" s="55"/>
      <c r="BS168" s="55"/>
      <c r="BT168" s="55"/>
      <c r="BU168" s="55"/>
      <c r="BV168" s="55"/>
      <c r="BW168" s="55"/>
      <c r="BX168" s="55"/>
      <c r="BY168" s="55"/>
      <c r="BZ168" s="55"/>
      <c r="CA168" s="55"/>
      <c r="CB168" s="55"/>
      <c r="CC168" s="55"/>
      <c r="CD168" s="55"/>
      <c r="CE168" s="55"/>
      <c r="CF168" s="55"/>
      <c r="CG168" s="55"/>
      <c r="CH168" s="55"/>
      <c r="CI168" s="55"/>
      <c r="CJ168" s="55"/>
      <c r="CK168" s="55"/>
      <c r="CL168" s="55"/>
      <c r="CM168" s="55"/>
      <c r="CN168" s="55"/>
      <c r="CO168" s="55"/>
      <c r="CP168" s="55"/>
      <c r="CQ168" s="55"/>
      <c r="CR168" s="55"/>
      <c r="CS168" s="55"/>
      <c r="CT168" s="55"/>
      <c r="CU168" s="55"/>
      <c r="CV168" s="55"/>
      <c r="CW168" s="55"/>
      <c r="CX168" s="55"/>
      <c r="CY168" s="55"/>
      <c r="CZ168" s="55"/>
      <c r="DA168" s="55"/>
      <c r="DB168" s="55"/>
      <c r="DC168" s="55"/>
      <c r="DD168" s="55"/>
      <c r="DE168" s="55"/>
      <c r="DF168" s="55"/>
      <c r="DG168" s="55"/>
      <c r="DH168" s="55"/>
      <c r="DI168" s="55"/>
      <c r="DJ168" s="55"/>
    </row>
    <row r="169" spans="1:114" x14ac:dyDescent="0.25">
      <c r="A169" s="120">
        <v>29</v>
      </c>
      <c r="B169" s="79" t="s">
        <v>101</v>
      </c>
      <c r="C169" s="80">
        <v>1500</v>
      </c>
      <c r="D169" s="81">
        <v>124.5</v>
      </c>
      <c r="E169" s="60"/>
      <c r="F169" s="60"/>
      <c r="G169" s="56">
        <f t="shared" si="34"/>
        <v>0</v>
      </c>
      <c r="H169" s="55"/>
      <c r="I169" s="56">
        <f t="shared" si="35"/>
        <v>0</v>
      </c>
      <c r="J169" s="56">
        <f t="shared" si="36"/>
        <v>0</v>
      </c>
      <c r="K169" s="57">
        <f t="shared" si="37"/>
        <v>0</v>
      </c>
      <c r="L169" s="297"/>
      <c r="M169" s="297"/>
      <c r="N169" s="314">
        <f t="shared" si="38"/>
        <v>0</v>
      </c>
      <c r="O169" s="310"/>
      <c r="P169" s="315"/>
      <c r="Q169" s="315"/>
      <c r="R169" s="315"/>
      <c r="S169" s="315"/>
      <c r="T169" s="55"/>
      <c r="U169" s="55"/>
      <c r="V169" s="55"/>
      <c r="W169" s="55"/>
      <c r="X169" s="55"/>
      <c r="Y169" s="55"/>
      <c r="Z169" s="55"/>
      <c r="AA169" s="55"/>
      <c r="AB169" s="55"/>
      <c r="AC169" s="55"/>
      <c r="AD169" s="55"/>
      <c r="AE169" s="55"/>
      <c r="AF169" s="55"/>
      <c r="AG169" s="55"/>
      <c r="AH169" s="55"/>
      <c r="AI169" s="55"/>
      <c r="AJ169" s="55"/>
      <c r="AK169" s="55"/>
      <c r="AL169" s="55"/>
      <c r="AM169" s="55"/>
      <c r="AN169" s="55"/>
      <c r="AO169" s="55"/>
      <c r="AP169" s="55"/>
      <c r="AQ169" s="55"/>
      <c r="AR169" s="55"/>
      <c r="AS169" s="55"/>
      <c r="AT169" s="55"/>
      <c r="AU169" s="55"/>
      <c r="AV169" s="55"/>
      <c r="AW169" s="55"/>
      <c r="AX169" s="55"/>
      <c r="AY169" s="55"/>
      <c r="AZ169" s="55"/>
      <c r="BA169" s="55"/>
      <c r="BB169" s="55"/>
      <c r="BC169" s="55"/>
      <c r="BD169" s="55"/>
      <c r="BE169" s="55"/>
      <c r="BF169" s="55"/>
      <c r="BG169" s="55"/>
      <c r="BH169" s="55"/>
      <c r="BI169" s="55"/>
      <c r="BJ169" s="55"/>
      <c r="BK169" s="55"/>
      <c r="BL169" s="55"/>
      <c r="BM169" s="55"/>
      <c r="BN169" s="55"/>
      <c r="BO169" s="55"/>
      <c r="BP169" s="55"/>
      <c r="BQ169" s="55"/>
      <c r="BR169" s="55"/>
      <c r="BS169" s="55"/>
      <c r="BT169" s="55"/>
      <c r="BU169" s="55"/>
      <c r="BV169" s="55"/>
      <c r="BW169" s="55"/>
      <c r="BX169" s="55"/>
      <c r="BY169" s="55"/>
      <c r="BZ169" s="55"/>
      <c r="CA169" s="55"/>
      <c r="CB169" s="55"/>
      <c r="CC169" s="55"/>
      <c r="CD169" s="55"/>
      <c r="CE169" s="55"/>
      <c r="CF169" s="55"/>
      <c r="CG169" s="55"/>
      <c r="CH169" s="55"/>
      <c r="CI169" s="55"/>
      <c r="CJ169" s="55"/>
      <c r="CK169" s="55"/>
      <c r="CL169" s="55"/>
      <c r="CM169" s="55"/>
      <c r="CN169" s="55"/>
      <c r="CO169" s="55"/>
      <c r="CP169" s="55"/>
      <c r="CQ169" s="55"/>
      <c r="CR169" s="55"/>
      <c r="CS169" s="55"/>
      <c r="CT169" s="55"/>
      <c r="CU169" s="55"/>
      <c r="CV169" s="55"/>
      <c r="CW169" s="55"/>
      <c r="CX169" s="55"/>
      <c r="CY169" s="55"/>
      <c r="CZ169" s="55"/>
      <c r="DA169" s="55"/>
      <c r="DB169" s="55"/>
      <c r="DC169" s="55"/>
      <c r="DD169" s="55"/>
      <c r="DE169" s="55"/>
      <c r="DF169" s="55"/>
      <c r="DG169" s="55"/>
      <c r="DH169" s="55"/>
      <c r="DI169" s="55"/>
      <c r="DJ169" s="55"/>
    </row>
    <row r="170" spans="1:114" ht="15.75" thickBot="1" x14ac:dyDescent="0.3">
      <c r="A170" s="123">
        <v>30</v>
      </c>
      <c r="B170" s="115" t="s">
        <v>102</v>
      </c>
      <c r="C170" s="116">
        <v>1500</v>
      </c>
      <c r="D170" s="117">
        <v>95.83</v>
      </c>
      <c r="E170" s="121"/>
      <c r="F170" s="121"/>
      <c r="G170" s="109">
        <f t="shared" si="34"/>
        <v>0</v>
      </c>
      <c r="H170" s="108"/>
      <c r="I170" s="109">
        <f t="shared" si="35"/>
        <v>0</v>
      </c>
      <c r="J170" s="109">
        <f t="shared" si="36"/>
        <v>0</v>
      </c>
      <c r="K170" s="110">
        <f t="shared" si="37"/>
        <v>0</v>
      </c>
      <c r="L170" s="297"/>
      <c r="M170" s="297"/>
      <c r="N170" s="321">
        <f t="shared" si="38"/>
        <v>0</v>
      </c>
      <c r="O170" s="312"/>
      <c r="P170" s="318"/>
      <c r="Q170" s="318"/>
      <c r="R170" s="318"/>
      <c r="S170" s="318"/>
      <c r="T170" s="108"/>
      <c r="U170" s="108"/>
      <c r="V170" s="108"/>
      <c r="W170" s="108"/>
      <c r="X170" s="108"/>
      <c r="Y170" s="108"/>
      <c r="Z170" s="108"/>
      <c r="AA170" s="108"/>
      <c r="AB170" s="108"/>
      <c r="AC170" s="108"/>
      <c r="AD170" s="108"/>
      <c r="AE170" s="108"/>
      <c r="AF170" s="108"/>
      <c r="AG170" s="108"/>
      <c r="AH170" s="108"/>
      <c r="AI170" s="108"/>
      <c r="AJ170" s="108"/>
      <c r="AK170" s="108"/>
      <c r="AL170" s="108"/>
      <c r="AM170" s="108"/>
      <c r="AN170" s="108"/>
      <c r="AO170" s="108"/>
      <c r="AP170" s="108"/>
      <c r="AQ170" s="108"/>
      <c r="AR170" s="108"/>
      <c r="AS170" s="108"/>
      <c r="AT170" s="108"/>
      <c r="AU170" s="108"/>
      <c r="AV170" s="108"/>
      <c r="AW170" s="108"/>
      <c r="AX170" s="108"/>
      <c r="AY170" s="108"/>
      <c r="AZ170" s="108"/>
      <c r="BA170" s="108"/>
      <c r="BB170" s="108"/>
      <c r="BC170" s="108"/>
      <c r="BD170" s="108"/>
      <c r="BE170" s="108"/>
      <c r="BF170" s="108"/>
      <c r="BG170" s="108"/>
      <c r="BH170" s="108"/>
      <c r="BI170" s="108"/>
      <c r="BJ170" s="108"/>
      <c r="BK170" s="108"/>
      <c r="BL170" s="108"/>
      <c r="BM170" s="108"/>
      <c r="BN170" s="108"/>
      <c r="BO170" s="108"/>
      <c r="BP170" s="108"/>
      <c r="BQ170" s="108"/>
      <c r="BR170" s="108"/>
      <c r="BS170" s="108"/>
      <c r="BT170" s="108"/>
      <c r="BU170" s="108"/>
      <c r="BV170" s="108"/>
      <c r="BW170" s="108"/>
      <c r="BX170" s="108"/>
      <c r="BY170" s="108"/>
      <c r="BZ170" s="108"/>
      <c r="CA170" s="108"/>
      <c r="CB170" s="108"/>
      <c r="CC170" s="108"/>
      <c r="CD170" s="108"/>
      <c r="CE170" s="108"/>
      <c r="CF170" s="108"/>
      <c r="CG170" s="108"/>
      <c r="CH170" s="108"/>
      <c r="CI170" s="108"/>
      <c r="CJ170" s="108"/>
      <c r="CK170" s="108"/>
      <c r="CL170" s="108"/>
      <c r="CM170" s="108"/>
      <c r="CN170" s="108"/>
      <c r="CO170" s="108"/>
      <c r="CP170" s="108"/>
      <c r="CQ170" s="108"/>
      <c r="CR170" s="108"/>
      <c r="CS170" s="108"/>
      <c r="CT170" s="108"/>
      <c r="CU170" s="108"/>
      <c r="CV170" s="108"/>
      <c r="CW170" s="108"/>
      <c r="CX170" s="108"/>
      <c r="CY170" s="108"/>
      <c r="CZ170" s="108"/>
      <c r="DA170" s="108"/>
      <c r="DB170" s="108"/>
      <c r="DC170" s="108"/>
      <c r="DD170" s="108"/>
      <c r="DE170" s="108"/>
      <c r="DF170" s="108"/>
      <c r="DG170" s="108"/>
      <c r="DH170" s="108"/>
      <c r="DI170" s="108"/>
      <c r="DJ170" s="108"/>
    </row>
    <row r="171" spans="1:114" ht="15.75" thickBot="1" x14ac:dyDescent="0.3">
      <c r="A171" s="83"/>
      <c r="B171" s="119" t="s">
        <v>669</v>
      </c>
      <c r="C171" s="90"/>
      <c r="D171" s="36"/>
      <c r="E171" s="36">
        <f>SUM(E141:E170)</f>
        <v>0</v>
      </c>
      <c r="F171" s="36">
        <f>SUM(F141:F170)</f>
        <v>0</v>
      </c>
      <c r="G171" s="36">
        <f>SUM(G141:G170)</f>
        <v>0</v>
      </c>
      <c r="H171" s="29">
        <f>SUM(H141:H170)</f>
        <v>0</v>
      </c>
      <c r="I171" s="29">
        <f>SUM(I141:I170)</f>
        <v>0</v>
      </c>
      <c r="J171" s="29">
        <f t="shared" ref="J171:K171" si="39">SUM(J141:J170)</f>
        <v>0</v>
      </c>
      <c r="K171" s="172">
        <f t="shared" si="39"/>
        <v>0</v>
      </c>
      <c r="L171" s="299"/>
      <c r="M171" s="299"/>
      <c r="N171" s="322">
        <f t="shared" si="38"/>
        <v>0</v>
      </c>
      <c r="O171" s="325"/>
      <c r="P171" s="325"/>
      <c r="Q171" s="325"/>
      <c r="R171" s="325"/>
      <c r="S171" s="325"/>
      <c r="T171" s="324"/>
      <c r="U171" s="324"/>
      <c r="V171" s="324"/>
      <c r="W171" s="324"/>
      <c r="X171" s="324"/>
      <c r="Y171" s="324"/>
      <c r="Z171" s="324"/>
      <c r="AA171" s="324"/>
      <c r="AB171" s="324"/>
      <c r="AC171" s="324"/>
      <c r="AD171" s="324"/>
      <c r="AE171" s="324"/>
      <c r="AF171" s="324"/>
      <c r="AG171" s="324"/>
      <c r="AH171" s="324"/>
      <c r="AI171" s="324"/>
      <c r="AJ171" s="324"/>
      <c r="AK171" s="324"/>
      <c r="AL171" s="324"/>
      <c r="AM171" s="324"/>
      <c r="AN171" s="324"/>
      <c r="AO171" s="324"/>
      <c r="AP171" s="324"/>
      <c r="AQ171" s="324"/>
      <c r="AR171" s="324"/>
      <c r="AS171" s="324"/>
      <c r="AT171" s="324"/>
      <c r="AU171" s="324"/>
      <c r="AV171" s="324"/>
      <c r="AW171" s="324"/>
      <c r="AX171" s="324"/>
      <c r="AY171" s="324"/>
      <c r="AZ171" s="324"/>
      <c r="BA171" s="324"/>
      <c r="BB171" s="324"/>
      <c r="BC171" s="324"/>
      <c r="BD171" s="324"/>
      <c r="BE171" s="324"/>
      <c r="BF171" s="324"/>
      <c r="BG171" s="324"/>
      <c r="BH171" s="324"/>
      <c r="BI171" s="324"/>
      <c r="BJ171" s="324"/>
      <c r="BK171" s="324"/>
      <c r="BL171" s="324"/>
      <c r="BM171" s="324"/>
      <c r="BN171" s="324"/>
      <c r="BO171" s="324"/>
      <c r="BP171" s="324"/>
      <c r="BQ171" s="324"/>
      <c r="BR171" s="324"/>
      <c r="BS171" s="324"/>
      <c r="BT171" s="324"/>
      <c r="BU171" s="324"/>
      <c r="BV171" s="324"/>
      <c r="BW171" s="324"/>
      <c r="BX171" s="324"/>
      <c r="BY171" s="324"/>
      <c r="BZ171" s="324"/>
      <c r="CA171" s="324"/>
      <c r="CB171" s="324"/>
      <c r="CC171" s="324"/>
      <c r="CD171" s="324"/>
      <c r="CE171" s="324"/>
      <c r="CF171" s="324"/>
      <c r="CG171" s="324"/>
      <c r="CH171" s="324"/>
      <c r="CI171" s="324"/>
      <c r="CJ171" s="324"/>
      <c r="CK171" s="324"/>
      <c r="CL171" s="324"/>
      <c r="CM171" s="324"/>
      <c r="CN171" s="324"/>
      <c r="CO171" s="324"/>
      <c r="CP171" s="324"/>
      <c r="CQ171" s="324"/>
      <c r="CR171" s="324"/>
      <c r="CS171" s="324"/>
      <c r="CT171" s="324"/>
      <c r="CU171" s="324"/>
      <c r="CV171" s="324"/>
      <c r="CW171" s="324"/>
      <c r="CX171" s="324"/>
      <c r="CY171" s="324"/>
      <c r="CZ171" s="324"/>
      <c r="DA171" s="324"/>
      <c r="DB171" s="324"/>
      <c r="DC171" s="324"/>
      <c r="DD171" s="324"/>
      <c r="DE171" s="324"/>
      <c r="DF171" s="324"/>
      <c r="DG171" s="324"/>
      <c r="DH171" s="324"/>
      <c r="DI171" s="324"/>
      <c r="DJ171" s="324"/>
    </row>
    <row r="172" spans="1:114" ht="15.75" thickBot="1" x14ac:dyDescent="0.3">
      <c r="B172" s="93"/>
      <c r="C172" s="94"/>
      <c r="D172" s="95"/>
      <c r="E172" s="96"/>
      <c r="F172" s="62"/>
      <c r="G172" s="96"/>
      <c r="H172" s="96"/>
      <c r="I172" s="96"/>
      <c r="J172" s="96"/>
      <c r="K172" s="95"/>
      <c r="L172" s="163"/>
      <c r="M172" s="163"/>
      <c r="N172" s="295"/>
      <c r="O172" s="234"/>
      <c r="P172" s="234"/>
      <c r="Q172" s="234"/>
      <c r="R172" s="234"/>
      <c r="S172" s="234"/>
      <c r="T172" s="67"/>
      <c r="U172" s="67"/>
      <c r="V172" s="67"/>
    </row>
    <row r="173" spans="1:114" ht="15.75" thickBot="1" x14ac:dyDescent="0.3">
      <c r="A173" s="407" t="s">
        <v>657</v>
      </c>
      <c r="B173" s="414" t="s">
        <v>0</v>
      </c>
      <c r="C173" s="414" t="s">
        <v>1</v>
      </c>
      <c r="D173" s="415" t="s">
        <v>649</v>
      </c>
      <c r="E173" s="416" t="s">
        <v>19</v>
      </c>
      <c r="F173" s="416"/>
      <c r="G173" s="416"/>
      <c r="H173" s="416"/>
      <c r="I173" s="416"/>
      <c r="J173" s="410" t="s">
        <v>21</v>
      </c>
      <c r="K173" s="412" t="s">
        <v>602</v>
      </c>
      <c r="L173" s="295"/>
      <c r="M173" s="295"/>
      <c r="N173" s="403" t="s">
        <v>601</v>
      </c>
      <c r="O173" s="403" t="s">
        <v>924</v>
      </c>
      <c r="P173" s="403"/>
      <c r="Q173" s="403"/>
      <c r="R173" s="403"/>
      <c r="S173" s="403"/>
      <c r="T173" s="403"/>
      <c r="U173" s="403"/>
      <c r="V173" s="403"/>
      <c r="W173" s="403"/>
      <c r="X173" s="403"/>
      <c r="Y173" s="403"/>
      <c r="Z173" s="403"/>
      <c r="AA173" s="403"/>
      <c r="AB173" s="403"/>
      <c r="AC173" s="403"/>
      <c r="AD173" s="403"/>
      <c r="AE173" s="403"/>
      <c r="AF173" s="403"/>
      <c r="AG173" s="403"/>
      <c r="AH173" s="403"/>
      <c r="AI173" s="403"/>
      <c r="AJ173" s="403"/>
      <c r="AK173" s="403"/>
      <c r="AL173" s="403"/>
      <c r="AM173" s="403"/>
      <c r="AN173" s="403"/>
      <c r="AO173" s="403"/>
      <c r="AP173" s="403"/>
      <c r="AQ173" s="403"/>
      <c r="AR173" s="403"/>
      <c r="AS173" s="403"/>
      <c r="AT173" s="403"/>
      <c r="AU173" s="403"/>
      <c r="AV173" s="403"/>
      <c r="AW173" s="403"/>
      <c r="AX173" s="403"/>
      <c r="AY173" s="403"/>
      <c r="AZ173" s="403"/>
      <c r="BA173" s="403"/>
      <c r="BB173" s="403"/>
      <c r="BC173" s="403"/>
      <c r="BD173" s="403"/>
      <c r="BE173" s="403"/>
      <c r="BF173" s="403"/>
      <c r="BG173" s="403"/>
      <c r="BH173" s="403"/>
      <c r="BI173" s="403"/>
      <c r="BJ173" s="403"/>
      <c r="BK173" s="403"/>
      <c r="BL173" s="403"/>
      <c r="BM173" s="403"/>
      <c r="BN173" s="403"/>
      <c r="BO173" s="403"/>
      <c r="BP173" s="403"/>
      <c r="BQ173" s="403"/>
      <c r="BR173" s="403"/>
      <c r="BS173" s="403"/>
      <c r="BT173" s="403"/>
      <c r="BU173" s="403"/>
      <c r="BV173" s="403"/>
      <c r="BW173" s="403"/>
      <c r="BX173" s="403"/>
      <c r="BY173" s="403"/>
      <c r="BZ173" s="403"/>
      <c r="CA173" s="403"/>
      <c r="CB173" s="403"/>
      <c r="CC173" s="403"/>
      <c r="CD173" s="403"/>
      <c r="CE173" s="403"/>
      <c r="CF173" s="403"/>
      <c r="CG173" s="403"/>
      <c r="CH173" s="403"/>
      <c r="CI173" s="403"/>
      <c r="CJ173" s="403"/>
      <c r="CK173" s="403"/>
      <c r="CL173" s="403"/>
      <c r="CM173" s="403"/>
      <c r="CN173" s="403"/>
      <c r="CO173" s="403"/>
      <c r="CP173" s="403"/>
      <c r="CQ173" s="403"/>
      <c r="CR173" s="403"/>
      <c r="CS173" s="403"/>
      <c r="CT173" s="403"/>
      <c r="CU173" s="403"/>
      <c r="CV173" s="403"/>
      <c r="CW173" s="403"/>
      <c r="CX173" s="403"/>
      <c r="CY173" s="403"/>
      <c r="CZ173" s="403"/>
      <c r="DA173" s="403"/>
      <c r="DB173" s="403"/>
      <c r="DC173" s="403"/>
      <c r="DD173" s="403"/>
      <c r="DE173" s="403"/>
      <c r="DF173" s="403"/>
      <c r="DG173" s="403"/>
      <c r="DH173" s="403"/>
      <c r="DI173" s="403"/>
      <c r="DJ173" s="403"/>
    </row>
    <row r="174" spans="1:114" ht="15.75" thickBot="1" x14ac:dyDescent="0.3">
      <c r="A174" s="408"/>
      <c r="B174" s="414"/>
      <c r="C174" s="414"/>
      <c r="D174" s="415"/>
      <c r="E174" s="68" t="s">
        <v>22</v>
      </c>
      <c r="F174" s="68" t="s">
        <v>600</v>
      </c>
      <c r="G174" s="68" t="s">
        <v>601</v>
      </c>
      <c r="H174" s="68" t="s">
        <v>589</v>
      </c>
      <c r="I174" s="68" t="s">
        <v>601</v>
      </c>
      <c r="J174" s="411"/>
      <c r="K174" s="413"/>
      <c r="L174" s="295"/>
      <c r="M174" s="295"/>
      <c r="N174" s="403"/>
      <c r="O174" s="400" t="s">
        <v>925</v>
      </c>
      <c r="P174" s="400" t="s">
        <v>926</v>
      </c>
      <c r="Q174" s="400"/>
      <c r="R174" s="400"/>
      <c r="S174" s="400"/>
      <c r="T174" s="398"/>
      <c r="U174" s="398"/>
      <c r="V174" s="398"/>
      <c r="W174" s="398"/>
      <c r="X174" s="398"/>
      <c r="Y174" s="398"/>
      <c r="Z174" s="398"/>
      <c r="AA174" s="398"/>
      <c r="AB174" s="398"/>
      <c r="AC174" s="398"/>
      <c r="AD174" s="398"/>
      <c r="AE174" s="398"/>
      <c r="AF174" s="398"/>
      <c r="AG174" s="398"/>
      <c r="AH174" s="398"/>
      <c r="AI174" s="398"/>
      <c r="AJ174" s="398"/>
      <c r="AK174" s="398"/>
      <c r="AL174" s="398"/>
      <c r="AM174" s="398"/>
      <c r="AN174" s="398"/>
      <c r="AO174" s="398"/>
      <c r="AP174" s="398"/>
      <c r="AQ174" s="398"/>
      <c r="AR174" s="398"/>
      <c r="AS174" s="398"/>
      <c r="AT174" s="398"/>
      <c r="AU174" s="398"/>
      <c r="AV174" s="398"/>
      <c r="AW174" s="398"/>
      <c r="AX174" s="398"/>
      <c r="AY174" s="398"/>
      <c r="AZ174" s="398"/>
      <c r="BA174" s="398"/>
      <c r="BB174" s="398"/>
      <c r="BC174" s="398"/>
      <c r="BD174" s="398"/>
      <c r="BE174" s="398"/>
      <c r="BF174" s="398"/>
      <c r="BG174" s="398"/>
      <c r="BH174" s="398"/>
      <c r="BI174" s="398"/>
      <c r="BJ174" s="398"/>
      <c r="BK174" s="398"/>
      <c r="BL174" s="398"/>
      <c r="BM174" s="398"/>
      <c r="BN174" s="398"/>
      <c r="BO174" s="398"/>
      <c r="BP174" s="398"/>
      <c r="BQ174" s="398"/>
      <c r="BR174" s="398"/>
      <c r="BS174" s="398"/>
      <c r="BT174" s="398"/>
      <c r="BU174" s="398"/>
      <c r="BV174" s="398"/>
      <c r="BW174" s="398"/>
      <c r="BX174" s="398"/>
      <c r="BY174" s="398"/>
      <c r="BZ174" s="398"/>
      <c r="CA174" s="398"/>
      <c r="CB174" s="398"/>
      <c r="CC174" s="398"/>
      <c r="CD174" s="398"/>
      <c r="CE174" s="398"/>
      <c r="CF174" s="398"/>
      <c r="CG174" s="398"/>
      <c r="CH174" s="398"/>
      <c r="CI174" s="398"/>
      <c r="CJ174" s="398"/>
      <c r="CK174" s="398"/>
      <c r="CL174" s="398"/>
      <c r="CM174" s="398"/>
      <c r="CN174" s="398"/>
      <c r="CO174" s="398"/>
      <c r="CP174" s="398"/>
      <c r="CQ174" s="398"/>
      <c r="CR174" s="398"/>
      <c r="CS174" s="398"/>
      <c r="CT174" s="398"/>
      <c r="CU174" s="398"/>
      <c r="CV174" s="398"/>
      <c r="CW174" s="398"/>
      <c r="CX174" s="398"/>
      <c r="CY174" s="398"/>
      <c r="CZ174" s="398"/>
      <c r="DA174" s="398"/>
      <c r="DB174" s="398"/>
      <c r="DC174" s="398"/>
      <c r="DD174" s="398"/>
      <c r="DE174" s="398"/>
      <c r="DF174" s="398"/>
      <c r="DG174" s="398"/>
      <c r="DH174" s="398"/>
      <c r="DI174" s="398"/>
      <c r="DJ174" s="398"/>
    </row>
    <row r="175" spans="1:114" ht="15.75" thickBot="1" x14ac:dyDescent="0.3">
      <c r="A175" s="409"/>
      <c r="B175" s="69">
        <v>1</v>
      </c>
      <c r="C175" s="69">
        <v>2</v>
      </c>
      <c r="D175" s="69">
        <v>3</v>
      </c>
      <c r="E175" s="70">
        <v>4</v>
      </c>
      <c r="F175" s="70">
        <f>+E175+1</f>
        <v>5</v>
      </c>
      <c r="G175" s="70" t="s">
        <v>652</v>
      </c>
      <c r="H175" s="70">
        <v>7</v>
      </c>
      <c r="I175" s="71" t="s">
        <v>651</v>
      </c>
      <c r="J175" s="42" t="s">
        <v>650</v>
      </c>
      <c r="K175" s="303" t="s">
        <v>653</v>
      </c>
      <c r="L175" s="296"/>
      <c r="M175" s="296"/>
      <c r="N175" s="403"/>
      <c r="O175" s="402"/>
      <c r="P175" s="402"/>
      <c r="Q175" s="402"/>
      <c r="R175" s="402"/>
      <c r="S175" s="402"/>
      <c r="T175" s="399"/>
      <c r="U175" s="399"/>
      <c r="V175" s="399"/>
      <c r="W175" s="399"/>
      <c r="X175" s="399"/>
      <c r="Y175" s="399"/>
      <c r="Z175" s="399"/>
      <c r="AA175" s="399"/>
      <c r="AB175" s="399"/>
      <c r="AC175" s="399"/>
      <c r="AD175" s="399"/>
      <c r="AE175" s="399"/>
      <c r="AF175" s="399"/>
      <c r="AG175" s="399"/>
      <c r="AH175" s="399"/>
      <c r="AI175" s="399"/>
      <c r="AJ175" s="399"/>
      <c r="AK175" s="399"/>
      <c r="AL175" s="399"/>
      <c r="AM175" s="399"/>
      <c r="AN175" s="399"/>
      <c r="AO175" s="399"/>
      <c r="AP175" s="399"/>
      <c r="AQ175" s="399"/>
      <c r="AR175" s="399"/>
      <c r="AS175" s="399"/>
      <c r="AT175" s="399"/>
      <c r="AU175" s="399"/>
      <c r="AV175" s="399"/>
      <c r="AW175" s="399"/>
      <c r="AX175" s="399"/>
      <c r="AY175" s="399"/>
      <c r="AZ175" s="399"/>
      <c r="BA175" s="399"/>
      <c r="BB175" s="399"/>
      <c r="BC175" s="399"/>
      <c r="BD175" s="399"/>
      <c r="BE175" s="399"/>
      <c r="BF175" s="399"/>
      <c r="BG175" s="399"/>
      <c r="BH175" s="399"/>
      <c r="BI175" s="399"/>
      <c r="BJ175" s="399"/>
      <c r="BK175" s="399"/>
      <c r="BL175" s="399"/>
      <c r="BM175" s="399"/>
      <c r="BN175" s="399"/>
      <c r="BO175" s="399"/>
      <c r="BP175" s="399"/>
      <c r="BQ175" s="399"/>
      <c r="BR175" s="399"/>
      <c r="BS175" s="399"/>
      <c r="BT175" s="399"/>
      <c r="BU175" s="399"/>
      <c r="BV175" s="399"/>
      <c r="BW175" s="399"/>
      <c r="BX175" s="399"/>
      <c r="BY175" s="399"/>
      <c r="BZ175" s="399"/>
      <c r="CA175" s="399"/>
      <c r="CB175" s="399"/>
      <c r="CC175" s="399"/>
      <c r="CD175" s="399"/>
      <c r="CE175" s="399"/>
      <c r="CF175" s="399"/>
      <c r="CG175" s="399"/>
      <c r="CH175" s="399"/>
      <c r="CI175" s="399"/>
      <c r="CJ175" s="399"/>
      <c r="CK175" s="399"/>
      <c r="CL175" s="399"/>
      <c r="CM175" s="399"/>
      <c r="CN175" s="399"/>
      <c r="CO175" s="399"/>
      <c r="CP175" s="399"/>
      <c r="CQ175" s="399"/>
      <c r="CR175" s="399"/>
      <c r="CS175" s="399"/>
      <c r="CT175" s="399"/>
      <c r="CU175" s="399"/>
      <c r="CV175" s="399"/>
      <c r="CW175" s="399"/>
      <c r="CX175" s="399"/>
      <c r="CY175" s="399"/>
      <c r="CZ175" s="399"/>
      <c r="DA175" s="399"/>
      <c r="DB175" s="399"/>
      <c r="DC175" s="399"/>
      <c r="DD175" s="399"/>
      <c r="DE175" s="399"/>
      <c r="DF175" s="399"/>
      <c r="DG175" s="399"/>
      <c r="DH175" s="399"/>
      <c r="DI175" s="399"/>
      <c r="DJ175" s="399"/>
    </row>
    <row r="176" spans="1:114" x14ac:dyDescent="0.25">
      <c r="A176" s="72"/>
      <c r="B176" s="72" t="s">
        <v>668</v>
      </c>
      <c r="C176" s="97"/>
      <c r="D176" s="98"/>
      <c r="E176" s="99"/>
      <c r="F176" s="99"/>
      <c r="G176" s="99"/>
      <c r="H176" s="99"/>
      <c r="I176" s="100"/>
      <c r="J176" s="63"/>
      <c r="K176" s="63"/>
      <c r="L176" s="296"/>
      <c r="M176" s="296"/>
      <c r="N176" s="314">
        <f t="shared" ref="N176:N231" si="40">SUM(O176:DK176)</f>
        <v>0</v>
      </c>
      <c r="O176" s="310"/>
      <c r="P176" s="315"/>
      <c r="Q176" s="315"/>
      <c r="R176" s="315"/>
      <c r="S176" s="315"/>
      <c r="T176" s="55"/>
      <c r="U176" s="55"/>
      <c r="V176" s="55"/>
      <c r="W176" s="55"/>
      <c r="X176" s="55"/>
      <c r="Y176" s="55"/>
      <c r="Z176" s="55"/>
      <c r="AA176" s="55"/>
      <c r="AB176" s="55"/>
      <c r="AC176" s="55"/>
      <c r="AD176" s="55"/>
      <c r="AE176" s="55"/>
      <c r="AF176" s="55"/>
      <c r="AG176" s="55"/>
      <c r="AH176" s="55"/>
      <c r="AI176" s="55"/>
      <c r="AJ176" s="55"/>
      <c r="AK176" s="55"/>
      <c r="AL176" s="55"/>
      <c r="AM176" s="55"/>
      <c r="AN176" s="55"/>
      <c r="AO176" s="55"/>
      <c r="AP176" s="55"/>
      <c r="AQ176" s="55"/>
      <c r="AR176" s="55"/>
      <c r="AS176" s="55"/>
      <c r="AT176" s="55"/>
      <c r="AU176" s="55"/>
      <c r="AV176" s="55"/>
      <c r="AW176" s="55"/>
      <c r="AX176" s="55"/>
      <c r="AY176" s="55"/>
      <c r="AZ176" s="55"/>
      <c r="BA176" s="55"/>
      <c r="BB176" s="55"/>
      <c r="BC176" s="55"/>
      <c r="BD176" s="55"/>
      <c r="BE176" s="55"/>
      <c r="BF176" s="55"/>
      <c r="BG176" s="55"/>
      <c r="BH176" s="55"/>
      <c r="BI176" s="55"/>
      <c r="BJ176" s="55"/>
      <c r="BK176" s="55"/>
      <c r="BL176" s="55"/>
      <c r="BM176" s="55"/>
      <c r="BN176" s="55"/>
      <c r="BO176" s="55"/>
      <c r="BP176" s="55"/>
      <c r="BQ176" s="55"/>
      <c r="BR176" s="55"/>
      <c r="BS176" s="55"/>
      <c r="BT176" s="55"/>
      <c r="BU176" s="55"/>
      <c r="BV176" s="55"/>
      <c r="BW176" s="55"/>
      <c r="BX176" s="55"/>
      <c r="BY176" s="55"/>
      <c r="BZ176" s="55"/>
      <c r="CA176" s="55"/>
      <c r="CB176" s="55"/>
      <c r="CC176" s="55"/>
      <c r="CD176" s="55"/>
      <c r="CE176" s="55"/>
      <c r="CF176" s="55"/>
      <c r="CG176" s="55"/>
      <c r="CH176" s="55"/>
      <c r="CI176" s="55"/>
      <c r="CJ176" s="55"/>
      <c r="CK176" s="55"/>
      <c r="CL176" s="55"/>
      <c r="CM176" s="55"/>
      <c r="CN176" s="55"/>
      <c r="CO176" s="55"/>
      <c r="CP176" s="55"/>
      <c r="CQ176" s="55"/>
      <c r="CR176" s="55"/>
      <c r="CS176" s="55"/>
      <c r="CT176" s="55"/>
      <c r="CU176" s="55"/>
      <c r="CV176" s="55"/>
      <c r="CW176" s="55"/>
      <c r="CX176" s="55"/>
      <c r="CY176" s="55"/>
      <c r="CZ176" s="55"/>
      <c r="DA176" s="55"/>
      <c r="DB176" s="55"/>
      <c r="DC176" s="55"/>
      <c r="DD176" s="55"/>
      <c r="DE176" s="55"/>
      <c r="DF176" s="55"/>
      <c r="DG176" s="55"/>
      <c r="DH176" s="55"/>
      <c r="DI176" s="55"/>
      <c r="DJ176" s="55"/>
    </row>
    <row r="177" spans="1:114" x14ac:dyDescent="0.25">
      <c r="A177" s="351"/>
      <c r="B177" s="351"/>
      <c r="C177" s="425"/>
      <c r="D177" s="426"/>
      <c r="E177" s="427"/>
      <c r="F177" s="427"/>
      <c r="G177" s="427"/>
      <c r="H177" s="427"/>
      <c r="I177" s="428"/>
      <c r="J177" s="429"/>
      <c r="K177" s="429"/>
      <c r="L177" s="296"/>
      <c r="M177" s="296"/>
      <c r="N177" s="348"/>
      <c r="O177" s="310" t="s">
        <v>1004</v>
      </c>
      <c r="P177" s="349" t="s">
        <v>1009</v>
      </c>
      <c r="Q177" s="349" t="s">
        <v>1146</v>
      </c>
      <c r="R177" s="349" t="s">
        <v>1147</v>
      </c>
      <c r="S177" s="349"/>
      <c r="T177" s="346"/>
      <c r="U177" s="346"/>
      <c r="V177" s="346"/>
      <c r="W177" s="346"/>
      <c r="X177" s="346"/>
      <c r="Y177" s="346"/>
      <c r="Z177" s="346"/>
      <c r="AA177" s="346"/>
      <c r="AB177" s="346"/>
      <c r="AC177" s="346"/>
      <c r="AD177" s="346"/>
      <c r="AE177" s="346"/>
      <c r="AF177" s="346"/>
      <c r="AG177" s="346"/>
      <c r="AH177" s="346"/>
      <c r="AI177" s="346"/>
      <c r="AJ177" s="346"/>
      <c r="AK177" s="346"/>
      <c r="AL177" s="346"/>
      <c r="AM177" s="346"/>
      <c r="AN177" s="346"/>
      <c r="AO177" s="346"/>
      <c r="AP177" s="346"/>
      <c r="AQ177" s="346"/>
      <c r="AR177" s="346"/>
      <c r="AS177" s="346"/>
      <c r="AT177" s="346"/>
      <c r="AU177" s="346"/>
      <c r="AV177" s="346"/>
      <c r="AW177" s="346"/>
      <c r="AX177" s="346"/>
      <c r="AY177" s="346"/>
      <c r="AZ177" s="346"/>
      <c r="BA177" s="346"/>
      <c r="BB177" s="346"/>
      <c r="BC177" s="346"/>
      <c r="BD177" s="346"/>
      <c r="BE177" s="346"/>
      <c r="BF177" s="346"/>
      <c r="BG177" s="346"/>
      <c r="BH177" s="346"/>
      <c r="BI177" s="346"/>
      <c r="BJ177" s="346"/>
      <c r="BK177" s="346"/>
      <c r="BL177" s="346"/>
      <c r="BM177" s="346"/>
      <c r="BN177" s="346"/>
      <c r="BO177" s="346"/>
      <c r="BP177" s="346"/>
      <c r="BQ177" s="346"/>
      <c r="BR177" s="346"/>
      <c r="BS177" s="346"/>
      <c r="BT177" s="346"/>
      <c r="BU177" s="346"/>
      <c r="BV177" s="346"/>
      <c r="BW177" s="346"/>
      <c r="BX177" s="346"/>
      <c r="BY177" s="346"/>
      <c r="BZ177" s="346"/>
      <c r="CA177" s="346"/>
      <c r="CB177" s="346"/>
      <c r="CC177" s="346"/>
      <c r="CD177" s="346"/>
      <c r="CE177" s="346"/>
      <c r="CF177" s="346"/>
      <c r="CG177" s="346"/>
      <c r="CH177" s="346"/>
      <c r="CI177" s="346"/>
      <c r="CJ177" s="346"/>
      <c r="CK177" s="346"/>
      <c r="CL177" s="346"/>
      <c r="CM177" s="346"/>
      <c r="CN177" s="346"/>
      <c r="CO177" s="346"/>
      <c r="CP177" s="346"/>
      <c r="CQ177" s="346"/>
      <c r="CR177" s="346"/>
      <c r="CS177" s="346"/>
      <c r="CT177" s="346"/>
      <c r="CU177" s="346"/>
      <c r="CV177" s="346"/>
      <c r="CW177" s="346"/>
      <c r="CX177" s="346"/>
      <c r="CY177" s="346"/>
      <c r="CZ177" s="346"/>
      <c r="DA177" s="346"/>
      <c r="DB177" s="346"/>
      <c r="DC177" s="346"/>
      <c r="DD177" s="346"/>
      <c r="DE177" s="346"/>
      <c r="DF177" s="346"/>
      <c r="DG177" s="346"/>
      <c r="DH177" s="346"/>
      <c r="DI177" s="346"/>
      <c r="DJ177" s="346"/>
    </row>
    <row r="178" spans="1:114" x14ac:dyDescent="0.25">
      <c r="A178" s="120">
        <v>1</v>
      </c>
      <c r="B178" s="79" t="s">
        <v>103</v>
      </c>
      <c r="C178" s="80">
        <v>1500</v>
      </c>
      <c r="D178" s="81">
        <v>198.48</v>
      </c>
      <c r="E178" s="59">
        <v>0</v>
      </c>
      <c r="F178" s="59"/>
      <c r="G178" s="56">
        <f t="shared" ref="G178:G230" si="41">+E178+F178</f>
        <v>0</v>
      </c>
      <c r="H178" s="55">
        <f>1000-1000</f>
        <v>0</v>
      </c>
      <c r="I178" s="56">
        <f t="shared" ref="I178:I230" si="42">+G178-H178</f>
        <v>0</v>
      </c>
      <c r="J178" s="56">
        <f t="shared" ref="J178:J230" si="43">I178*C178</f>
        <v>0</v>
      </c>
      <c r="K178" s="57">
        <f t="shared" ref="K178:K230" si="44">+D178*I178</f>
        <v>0</v>
      </c>
      <c r="L178" s="297"/>
      <c r="M178" s="297"/>
      <c r="N178" s="314">
        <f t="shared" si="40"/>
        <v>1459</v>
      </c>
      <c r="O178" s="310">
        <v>200</v>
      </c>
      <c r="P178" s="315">
        <v>200</v>
      </c>
      <c r="Q178" s="315">
        <v>199</v>
      </c>
      <c r="R178" s="315">
        <v>860</v>
      </c>
      <c r="S178" s="315"/>
      <c r="T178" s="55"/>
      <c r="U178" s="55"/>
      <c r="V178" s="55"/>
      <c r="W178" s="55"/>
      <c r="X178" s="55"/>
      <c r="Y178" s="55"/>
      <c r="Z178" s="55"/>
      <c r="AA178" s="55"/>
      <c r="AB178" s="55"/>
      <c r="AC178" s="55"/>
      <c r="AD178" s="55"/>
      <c r="AE178" s="55"/>
      <c r="AF178" s="55"/>
      <c r="AG178" s="55"/>
      <c r="AH178" s="55"/>
      <c r="AI178" s="55"/>
      <c r="AJ178" s="55"/>
      <c r="AK178" s="55"/>
      <c r="AL178" s="55"/>
      <c r="AM178" s="55"/>
      <c r="AN178" s="55"/>
      <c r="AO178" s="55"/>
      <c r="AP178" s="55"/>
      <c r="AQ178" s="55"/>
      <c r="AR178" s="55"/>
      <c r="AS178" s="55"/>
      <c r="AT178" s="55"/>
      <c r="AU178" s="55"/>
      <c r="AV178" s="55"/>
      <c r="AW178" s="55"/>
      <c r="AX178" s="55"/>
      <c r="AY178" s="55"/>
      <c r="AZ178" s="55"/>
      <c r="BA178" s="55"/>
      <c r="BB178" s="55"/>
      <c r="BC178" s="55"/>
      <c r="BD178" s="55"/>
      <c r="BE178" s="55"/>
      <c r="BF178" s="55"/>
      <c r="BG178" s="55"/>
      <c r="BH178" s="55"/>
      <c r="BI178" s="55"/>
      <c r="BJ178" s="55"/>
      <c r="BK178" s="55"/>
      <c r="BL178" s="55"/>
      <c r="BM178" s="55"/>
      <c r="BN178" s="55"/>
      <c r="BO178" s="55"/>
      <c r="BP178" s="55"/>
      <c r="BQ178" s="55"/>
      <c r="BR178" s="55"/>
      <c r="BS178" s="55"/>
      <c r="BT178" s="55"/>
      <c r="BU178" s="55"/>
      <c r="BV178" s="55"/>
      <c r="BW178" s="55"/>
      <c r="BX178" s="55"/>
      <c r="BY178" s="55"/>
      <c r="BZ178" s="55"/>
      <c r="CA178" s="55"/>
      <c r="CB178" s="55"/>
      <c r="CC178" s="55"/>
      <c r="CD178" s="55"/>
      <c r="CE178" s="55"/>
      <c r="CF178" s="55"/>
      <c r="CG178" s="55"/>
      <c r="CH178" s="55"/>
      <c r="CI178" s="55"/>
      <c r="CJ178" s="55"/>
      <c r="CK178" s="55"/>
      <c r="CL178" s="55"/>
      <c r="CM178" s="55"/>
      <c r="CN178" s="55"/>
      <c r="CO178" s="55"/>
      <c r="CP178" s="55"/>
      <c r="CQ178" s="55"/>
      <c r="CR178" s="55"/>
      <c r="CS178" s="55"/>
      <c r="CT178" s="55"/>
      <c r="CU178" s="55"/>
      <c r="CV178" s="55"/>
      <c r="CW178" s="55"/>
      <c r="CX178" s="55"/>
      <c r="CY178" s="55"/>
      <c r="CZ178" s="55"/>
      <c r="DA178" s="55"/>
      <c r="DB178" s="55"/>
      <c r="DC178" s="55"/>
      <c r="DD178" s="55"/>
      <c r="DE178" s="55"/>
      <c r="DF178" s="55"/>
      <c r="DG178" s="55"/>
      <c r="DH178" s="55"/>
      <c r="DI178" s="55"/>
      <c r="DJ178" s="55"/>
    </row>
    <row r="179" spans="1:114" x14ac:dyDescent="0.25">
      <c r="A179" s="339"/>
      <c r="B179" s="340"/>
      <c r="C179" s="341"/>
      <c r="D179" s="342"/>
      <c r="E179" s="343"/>
      <c r="F179" s="343"/>
      <c r="G179" s="345"/>
      <c r="H179" s="346"/>
      <c r="I179" s="345"/>
      <c r="J179" s="345"/>
      <c r="K179" s="347"/>
      <c r="L179" s="297"/>
      <c r="M179" s="297"/>
      <c r="N179" s="348"/>
      <c r="O179" s="310" t="s">
        <v>1009</v>
      </c>
      <c r="P179" s="349" t="s">
        <v>1004</v>
      </c>
      <c r="Q179" s="349" t="s">
        <v>1145</v>
      </c>
      <c r="R179" s="349"/>
      <c r="S179" s="349"/>
      <c r="T179" s="346"/>
      <c r="U179" s="346"/>
      <c r="V179" s="346"/>
      <c r="W179" s="346"/>
      <c r="X179" s="346"/>
      <c r="Y179" s="346"/>
      <c r="Z179" s="346"/>
      <c r="AA179" s="346"/>
      <c r="AB179" s="346"/>
      <c r="AC179" s="346"/>
      <c r="AD179" s="346"/>
      <c r="AE179" s="346"/>
      <c r="AF179" s="346"/>
      <c r="AG179" s="346"/>
      <c r="AH179" s="346"/>
      <c r="AI179" s="346"/>
      <c r="AJ179" s="346"/>
      <c r="AK179" s="346"/>
      <c r="AL179" s="346"/>
      <c r="AM179" s="346"/>
      <c r="AN179" s="346"/>
      <c r="AO179" s="346"/>
      <c r="AP179" s="346"/>
      <c r="AQ179" s="346"/>
      <c r="AR179" s="346"/>
      <c r="AS179" s="346"/>
      <c r="AT179" s="346"/>
      <c r="AU179" s="346"/>
      <c r="AV179" s="346"/>
      <c r="AW179" s="346"/>
      <c r="AX179" s="346"/>
      <c r="AY179" s="346"/>
      <c r="AZ179" s="346"/>
      <c r="BA179" s="346"/>
      <c r="BB179" s="346"/>
      <c r="BC179" s="346"/>
      <c r="BD179" s="346"/>
      <c r="BE179" s="346"/>
      <c r="BF179" s="346"/>
      <c r="BG179" s="346"/>
      <c r="BH179" s="346"/>
      <c r="BI179" s="346"/>
      <c r="BJ179" s="346"/>
      <c r="BK179" s="346"/>
      <c r="BL179" s="346"/>
      <c r="BM179" s="346"/>
      <c r="BN179" s="346"/>
      <c r="BO179" s="346"/>
      <c r="BP179" s="346"/>
      <c r="BQ179" s="346"/>
      <c r="BR179" s="346"/>
      <c r="BS179" s="346"/>
      <c r="BT179" s="346"/>
      <c r="BU179" s="346"/>
      <c r="BV179" s="346"/>
      <c r="BW179" s="346"/>
      <c r="BX179" s="346"/>
      <c r="BY179" s="346"/>
      <c r="BZ179" s="346"/>
      <c r="CA179" s="346"/>
      <c r="CB179" s="346"/>
      <c r="CC179" s="346"/>
      <c r="CD179" s="346"/>
      <c r="CE179" s="346"/>
      <c r="CF179" s="346"/>
      <c r="CG179" s="346"/>
      <c r="CH179" s="346"/>
      <c r="CI179" s="346"/>
      <c r="CJ179" s="346"/>
      <c r="CK179" s="346"/>
      <c r="CL179" s="346"/>
      <c r="CM179" s="346"/>
      <c r="CN179" s="346"/>
      <c r="CO179" s="346"/>
      <c r="CP179" s="346"/>
      <c r="CQ179" s="346"/>
      <c r="CR179" s="346"/>
      <c r="CS179" s="346"/>
      <c r="CT179" s="346"/>
      <c r="CU179" s="346"/>
      <c r="CV179" s="346"/>
      <c r="CW179" s="346"/>
      <c r="CX179" s="346"/>
      <c r="CY179" s="346"/>
      <c r="CZ179" s="346"/>
      <c r="DA179" s="346"/>
      <c r="DB179" s="346"/>
      <c r="DC179" s="346"/>
      <c r="DD179" s="346"/>
      <c r="DE179" s="346"/>
      <c r="DF179" s="346"/>
      <c r="DG179" s="346"/>
      <c r="DH179" s="346"/>
      <c r="DI179" s="346"/>
      <c r="DJ179" s="346"/>
    </row>
    <row r="180" spans="1:114" x14ac:dyDescent="0.25">
      <c r="A180" s="120">
        <v>2</v>
      </c>
      <c r="B180" s="79" t="s">
        <v>103</v>
      </c>
      <c r="C180" s="80">
        <v>2500</v>
      </c>
      <c r="D180" s="81">
        <v>198.48</v>
      </c>
      <c r="E180" s="59">
        <v>0</v>
      </c>
      <c r="F180" s="59"/>
      <c r="G180" s="56">
        <f t="shared" si="41"/>
        <v>0</v>
      </c>
      <c r="H180" s="55">
        <f>1000-1000</f>
        <v>0</v>
      </c>
      <c r="I180" s="56">
        <f t="shared" si="42"/>
        <v>0</v>
      </c>
      <c r="J180" s="56">
        <f t="shared" si="43"/>
        <v>0</v>
      </c>
      <c r="K180" s="57">
        <f t="shared" si="44"/>
        <v>0</v>
      </c>
      <c r="L180" s="297"/>
      <c r="M180" s="297"/>
      <c r="N180" s="314">
        <f t="shared" si="40"/>
        <v>1270</v>
      </c>
      <c r="O180" s="310">
        <v>200</v>
      </c>
      <c r="P180" s="315">
        <v>200</v>
      </c>
      <c r="Q180" s="315">
        <v>870</v>
      </c>
      <c r="R180" s="315"/>
      <c r="S180" s="315"/>
      <c r="T180" s="55"/>
      <c r="U180" s="55"/>
      <c r="V180" s="55"/>
      <c r="W180" s="55"/>
      <c r="X180" s="55"/>
      <c r="Y180" s="55"/>
      <c r="Z180" s="55"/>
      <c r="AA180" s="55"/>
      <c r="AB180" s="55"/>
      <c r="AC180" s="55"/>
      <c r="AD180" s="55"/>
      <c r="AE180" s="55"/>
      <c r="AF180" s="55"/>
      <c r="AG180" s="55"/>
      <c r="AH180" s="55"/>
      <c r="AI180" s="55"/>
      <c r="AJ180" s="55"/>
      <c r="AK180" s="55"/>
      <c r="AL180" s="55"/>
      <c r="AM180" s="55"/>
      <c r="AN180" s="55"/>
      <c r="AO180" s="55"/>
      <c r="AP180" s="55"/>
      <c r="AQ180" s="55"/>
      <c r="AR180" s="55"/>
      <c r="AS180" s="55"/>
      <c r="AT180" s="55"/>
      <c r="AU180" s="55"/>
      <c r="AV180" s="55"/>
      <c r="AW180" s="55"/>
      <c r="AX180" s="55"/>
      <c r="AY180" s="55"/>
      <c r="AZ180" s="55"/>
      <c r="BA180" s="55"/>
      <c r="BB180" s="55"/>
      <c r="BC180" s="55"/>
      <c r="BD180" s="55"/>
      <c r="BE180" s="55"/>
      <c r="BF180" s="55"/>
      <c r="BG180" s="55"/>
      <c r="BH180" s="55"/>
      <c r="BI180" s="55"/>
      <c r="BJ180" s="55"/>
      <c r="BK180" s="55"/>
      <c r="BL180" s="55"/>
      <c r="BM180" s="55"/>
      <c r="BN180" s="55"/>
      <c r="BO180" s="55"/>
      <c r="BP180" s="55"/>
      <c r="BQ180" s="55"/>
      <c r="BR180" s="55"/>
      <c r="BS180" s="55"/>
      <c r="BT180" s="55"/>
      <c r="BU180" s="55"/>
      <c r="BV180" s="55"/>
      <c r="BW180" s="55"/>
      <c r="BX180" s="55"/>
      <c r="BY180" s="55"/>
      <c r="BZ180" s="55"/>
      <c r="CA180" s="55"/>
      <c r="CB180" s="55"/>
      <c r="CC180" s="55"/>
      <c r="CD180" s="55"/>
      <c r="CE180" s="55"/>
      <c r="CF180" s="55"/>
      <c r="CG180" s="55"/>
      <c r="CH180" s="55"/>
      <c r="CI180" s="55"/>
      <c r="CJ180" s="55"/>
      <c r="CK180" s="55"/>
      <c r="CL180" s="55"/>
      <c r="CM180" s="55"/>
      <c r="CN180" s="55"/>
      <c r="CO180" s="55"/>
      <c r="CP180" s="55"/>
      <c r="CQ180" s="55"/>
      <c r="CR180" s="55"/>
      <c r="CS180" s="55"/>
      <c r="CT180" s="55"/>
      <c r="CU180" s="55"/>
      <c r="CV180" s="55"/>
      <c r="CW180" s="55"/>
      <c r="CX180" s="55"/>
      <c r="CY180" s="55"/>
      <c r="CZ180" s="55"/>
      <c r="DA180" s="55"/>
      <c r="DB180" s="55"/>
      <c r="DC180" s="55"/>
      <c r="DD180" s="55"/>
      <c r="DE180" s="55"/>
      <c r="DF180" s="55"/>
      <c r="DG180" s="55"/>
      <c r="DH180" s="55"/>
      <c r="DI180" s="55"/>
      <c r="DJ180" s="55"/>
    </row>
    <row r="181" spans="1:114" x14ac:dyDescent="0.25">
      <c r="A181" s="339"/>
      <c r="B181" s="340"/>
      <c r="C181" s="341"/>
      <c r="D181" s="342"/>
      <c r="E181" s="343"/>
      <c r="F181" s="343"/>
      <c r="G181" s="345"/>
      <c r="H181" s="346"/>
      <c r="I181" s="345"/>
      <c r="J181" s="345"/>
      <c r="K181" s="347"/>
      <c r="L181" s="297"/>
      <c r="M181" s="297"/>
      <c r="N181" s="348"/>
      <c r="O181" s="310" t="s">
        <v>1147</v>
      </c>
      <c r="P181" s="349" t="s">
        <v>1009</v>
      </c>
      <c r="Q181" s="349" t="s">
        <v>1004</v>
      </c>
      <c r="R181" s="349" t="s">
        <v>1148</v>
      </c>
      <c r="S181" s="349" t="s">
        <v>931</v>
      </c>
      <c r="T181" s="346" t="s">
        <v>1149</v>
      </c>
      <c r="U181" s="346"/>
      <c r="V181" s="346"/>
      <c r="W181" s="346"/>
      <c r="X181" s="346"/>
      <c r="Y181" s="346"/>
      <c r="Z181" s="346"/>
      <c r="AA181" s="346"/>
      <c r="AB181" s="346"/>
      <c r="AC181" s="346"/>
      <c r="AD181" s="346"/>
      <c r="AE181" s="346"/>
      <c r="AF181" s="346"/>
      <c r="AG181" s="346"/>
      <c r="AH181" s="346"/>
      <c r="AI181" s="346"/>
      <c r="AJ181" s="346"/>
      <c r="AK181" s="346"/>
      <c r="AL181" s="346"/>
      <c r="AM181" s="346"/>
      <c r="AN181" s="346"/>
      <c r="AO181" s="346"/>
      <c r="AP181" s="346"/>
      <c r="AQ181" s="346"/>
      <c r="AR181" s="346"/>
      <c r="AS181" s="346"/>
      <c r="AT181" s="346"/>
      <c r="AU181" s="346"/>
      <c r="AV181" s="346"/>
      <c r="AW181" s="346"/>
      <c r="AX181" s="346"/>
      <c r="AY181" s="346"/>
      <c r="AZ181" s="346"/>
      <c r="BA181" s="346"/>
      <c r="BB181" s="346"/>
      <c r="BC181" s="346"/>
      <c r="BD181" s="346"/>
      <c r="BE181" s="346"/>
      <c r="BF181" s="346"/>
      <c r="BG181" s="346"/>
      <c r="BH181" s="346"/>
      <c r="BI181" s="346"/>
      <c r="BJ181" s="346"/>
      <c r="BK181" s="346"/>
      <c r="BL181" s="346"/>
      <c r="BM181" s="346"/>
      <c r="BN181" s="346"/>
      <c r="BO181" s="346"/>
      <c r="BP181" s="346"/>
      <c r="BQ181" s="346"/>
      <c r="BR181" s="346"/>
      <c r="BS181" s="346"/>
      <c r="BT181" s="346"/>
      <c r="BU181" s="346"/>
      <c r="BV181" s="346"/>
      <c r="BW181" s="346"/>
      <c r="BX181" s="346"/>
      <c r="BY181" s="346"/>
      <c r="BZ181" s="346"/>
      <c r="CA181" s="346"/>
      <c r="CB181" s="346"/>
      <c r="CC181" s="346"/>
      <c r="CD181" s="346"/>
      <c r="CE181" s="346"/>
      <c r="CF181" s="346"/>
      <c r="CG181" s="346"/>
      <c r="CH181" s="346"/>
      <c r="CI181" s="346"/>
      <c r="CJ181" s="346"/>
      <c r="CK181" s="346"/>
      <c r="CL181" s="346"/>
      <c r="CM181" s="346"/>
      <c r="CN181" s="346"/>
      <c r="CO181" s="346"/>
      <c r="CP181" s="346"/>
      <c r="CQ181" s="346"/>
      <c r="CR181" s="346"/>
      <c r="CS181" s="346"/>
      <c r="CT181" s="346"/>
      <c r="CU181" s="346"/>
      <c r="CV181" s="346"/>
      <c r="CW181" s="346"/>
      <c r="CX181" s="346"/>
      <c r="CY181" s="346"/>
      <c r="CZ181" s="346"/>
      <c r="DA181" s="346"/>
      <c r="DB181" s="346"/>
      <c r="DC181" s="346"/>
      <c r="DD181" s="346"/>
      <c r="DE181" s="346"/>
      <c r="DF181" s="346"/>
      <c r="DG181" s="346"/>
      <c r="DH181" s="346"/>
      <c r="DI181" s="346"/>
      <c r="DJ181" s="346"/>
    </row>
    <row r="182" spans="1:114" x14ac:dyDescent="0.25">
      <c r="A182" s="120">
        <v>3</v>
      </c>
      <c r="B182" s="79" t="s">
        <v>103</v>
      </c>
      <c r="C182" s="80">
        <v>4000</v>
      </c>
      <c r="D182" s="81">
        <v>198.48</v>
      </c>
      <c r="E182" s="59">
        <v>0</v>
      </c>
      <c r="F182" s="59"/>
      <c r="G182" s="56">
        <f t="shared" si="41"/>
        <v>0</v>
      </c>
      <c r="H182" s="55">
        <f>1000-1000</f>
        <v>0</v>
      </c>
      <c r="I182" s="56">
        <f t="shared" si="42"/>
        <v>0</v>
      </c>
      <c r="J182" s="56">
        <f t="shared" si="43"/>
        <v>0</v>
      </c>
      <c r="K182" s="57">
        <f t="shared" si="44"/>
        <v>0</v>
      </c>
      <c r="L182" s="297"/>
      <c r="M182" s="297"/>
      <c r="N182" s="314">
        <f t="shared" si="40"/>
        <v>1839</v>
      </c>
      <c r="O182" s="310">
        <v>860</v>
      </c>
      <c r="P182" s="315">
        <v>200</v>
      </c>
      <c r="Q182" s="315">
        <v>200</v>
      </c>
      <c r="R182" s="315">
        <v>195</v>
      </c>
      <c r="S182" s="315">
        <v>194</v>
      </c>
      <c r="T182" s="55">
        <v>190</v>
      </c>
      <c r="U182" s="55"/>
      <c r="V182" s="55"/>
      <c r="W182" s="55"/>
      <c r="X182" s="55"/>
      <c r="Y182" s="55"/>
      <c r="Z182" s="55"/>
      <c r="AA182" s="55"/>
      <c r="AB182" s="55"/>
      <c r="AC182" s="55"/>
      <c r="AD182" s="55"/>
      <c r="AE182" s="55"/>
      <c r="AF182" s="55"/>
      <c r="AG182" s="55"/>
      <c r="AH182" s="55"/>
      <c r="AI182" s="55"/>
      <c r="AJ182" s="55"/>
      <c r="AK182" s="55"/>
      <c r="AL182" s="55"/>
      <c r="AM182" s="55"/>
      <c r="AN182" s="55"/>
      <c r="AO182" s="55"/>
      <c r="AP182" s="55"/>
      <c r="AQ182" s="55"/>
      <c r="AR182" s="55"/>
      <c r="AS182" s="55"/>
      <c r="AT182" s="55"/>
      <c r="AU182" s="55"/>
      <c r="AV182" s="55"/>
      <c r="AW182" s="55"/>
      <c r="AX182" s="55"/>
      <c r="AY182" s="55"/>
      <c r="AZ182" s="55"/>
      <c r="BA182" s="55"/>
      <c r="BB182" s="55"/>
      <c r="BC182" s="55"/>
      <c r="BD182" s="55"/>
      <c r="BE182" s="55"/>
      <c r="BF182" s="55"/>
      <c r="BG182" s="55"/>
      <c r="BH182" s="55"/>
      <c r="BI182" s="55"/>
      <c r="BJ182" s="55"/>
      <c r="BK182" s="55"/>
      <c r="BL182" s="55"/>
      <c r="BM182" s="55"/>
      <c r="BN182" s="55"/>
      <c r="BO182" s="55"/>
      <c r="BP182" s="55"/>
      <c r="BQ182" s="55"/>
      <c r="BR182" s="55"/>
      <c r="BS182" s="55"/>
      <c r="BT182" s="55"/>
      <c r="BU182" s="55"/>
      <c r="BV182" s="55"/>
      <c r="BW182" s="55"/>
      <c r="BX182" s="55"/>
      <c r="BY182" s="55"/>
      <c r="BZ182" s="55"/>
      <c r="CA182" s="55"/>
      <c r="CB182" s="55"/>
      <c r="CC182" s="55"/>
      <c r="CD182" s="55"/>
      <c r="CE182" s="55"/>
      <c r="CF182" s="55"/>
      <c r="CG182" s="55"/>
      <c r="CH182" s="55"/>
      <c r="CI182" s="55"/>
      <c r="CJ182" s="55"/>
      <c r="CK182" s="55"/>
      <c r="CL182" s="55"/>
      <c r="CM182" s="55"/>
      <c r="CN182" s="55"/>
      <c r="CO182" s="55"/>
      <c r="CP182" s="55"/>
      <c r="CQ182" s="55"/>
      <c r="CR182" s="55"/>
      <c r="CS182" s="55"/>
      <c r="CT182" s="55"/>
      <c r="CU182" s="55"/>
      <c r="CV182" s="55"/>
      <c r="CW182" s="55"/>
      <c r="CX182" s="55"/>
      <c r="CY182" s="55"/>
      <c r="CZ182" s="55"/>
      <c r="DA182" s="55"/>
      <c r="DB182" s="55"/>
      <c r="DC182" s="55"/>
      <c r="DD182" s="55"/>
      <c r="DE182" s="55"/>
      <c r="DF182" s="55"/>
      <c r="DG182" s="55"/>
      <c r="DH182" s="55"/>
      <c r="DI182" s="55"/>
      <c r="DJ182" s="55"/>
    </row>
    <row r="183" spans="1:114" x14ac:dyDescent="0.25">
      <c r="A183" s="339"/>
      <c r="B183" s="340"/>
      <c r="C183" s="341"/>
      <c r="D183" s="342"/>
      <c r="E183" s="343"/>
      <c r="F183" s="343"/>
      <c r="G183" s="345"/>
      <c r="H183" s="346"/>
      <c r="I183" s="345"/>
      <c r="J183" s="345"/>
      <c r="K183" s="347"/>
      <c r="L183" s="297"/>
      <c r="M183" s="297"/>
      <c r="N183" s="348"/>
      <c r="O183" s="310" t="s">
        <v>1147</v>
      </c>
      <c r="P183" s="349" t="s">
        <v>1146</v>
      </c>
      <c r="Q183" s="349" t="s">
        <v>1004</v>
      </c>
      <c r="R183" s="349" t="s">
        <v>1009</v>
      </c>
      <c r="S183" s="349" t="s">
        <v>977</v>
      </c>
      <c r="T183" s="346" t="s">
        <v>931</v>
      </c>
      <c r="U183" s="346" t="s">
        <v>1149</v>
      </c>
      <c r="V183" s="346"/>
      <c r="W183" s="346"/>
      <c r="X183" s="346"/>
      <c r="Y183" s="346"/>
      <c r="Z183" s="346"/>
      <c r="AA183" s="346"/>
      <c r="AB183" s="346"/>
      <c r="AC183" s="346"/>
      <c r="AD183" s="346"/>
      <c r="AE183" s="346"/>
      <c r="AF183" s="346"/>
      <c r="AG183" s="346"/>
      <c r="AH183" s="346"/>
      <c r="AI183" s="346"/>
      <c r="AJ183" s="346"/>
      <c r="AK183" s="346"/>
      <c r="AL183" s="346"/>
      <c r="AM183" s="346"/>
      <c r="AN183" s="346"/>
      <c r="AO183" s="346"/>
      <c r="AP183" s="346"/>
      <c r="AQ183" s="346"/>
      <c r="AR183" s="346"/>
      <c r="AS183" s="346"/>
      <c r="AT183" s="346"/>
      <c r="AU183" s="346"/>
      <c r="AV183" s="346"/>
      <c r="AW183" s="346"/>
      <c r="AX183" s="346"/>
      <c r="AY183" s="346"/>
      <c r="AZ183" s="346"/>
      <c r="BA183" s="346"/>
      <c r="BB183" s="346"/>
      <c r="BC183" s="346"/>
      <c r="BD183" s="346"/>
      <c r="BE183" s="346"/>
      <c r="BF183" s="346"/>
      <c r="BG183" s="346"/>
      <c r="BH183" s="346"/>
      <c r="BI183" s="346"/>
      <c r="BJ183" s="346"/>
      <c r="BK183" s="346"/>
      <c r="BL183" s="346"/>
      <c r="BM183" s="346"/>
      <c r="BN183" s="346"/>
      <c r="BO183" s="346"/>
      <c r="BP183" s="346"/>
      <c r="BQ183" s="346"/>
      <c r="BR183" s="346"/>
      <c r="BS183" s="346"/>
      <c r="BT183" s="346"/>
      <c r="BU183" s="346"/>
      <c r="BV183" s="346"/>
      <c r="BW183" s="346"/>
      <c r="BX183" s="346"/>
      <c r="BY183" s="346"/>
      <c r="BZ183" s="346"/>
      <c r="CA183" s="346"/>
      <c r="CB183" s="346"/>
      <c r="CC183" s="346"/>
      <c r="CD183" s="346"/>
      <c r="CE183" s="346"/>
      <c r="CF183" s="346"/>
      <c r="CG183" s="346"/>
      <c r="CH183" s="346"/>
      <c r="CI183" s="346"/>
      <c r="CJ183" s="346"/>
      <c r="CK183" s="346"/>
      <c r="CL183" s="346"/>
      <c r="CM183" s="346"/>
      <c r="CN183" s="346"/>
      <c r="CO183" s="346"/>
      <c r="CP183" s="346"/>
      <c r="CQ183" s="346"/>
      <c r="CR183" s="346"/>
      <c r="CS183" s="346"/>
      <c r="CT183" s="346"/>
      <c r="CU183" s="346"/>
      <c r="CV183" s="346"/>
      <c r="CW183" s="346"/>
      <c r="CX183" s="346"/>
      <c r="CY183" s="346"/>
      <c r="CZ183" s="346"/>
      <c r="DA183" s="346"/>
      <c r="DB183" s="346"/>
      <c r="DC183" s="346"/>
      <c r="DD183" s="346"/>
      <c r="DE183" s="346"/>
      <c r="DF183" s="346"/>
      <c r="DG183" s="346"/>
      <c r="DH183" s="346"/>
      <c r="DI183" s="346"/>
      <c r="DJ183" s="346"/>
    </row>
    <row r="184" spans="1:114" x14ac:dyDescent="0.25">
      <c r="A184" s="120">
        <v>4</v>
      </c>
      <c r="B184" s="79" t="s">
        <v>103</v>
      </c>
      <c r="C184" s="80">
        <v>7500</v>
      </c>
      <c r="D184" s="81">
        <v>198.48</v>
      </c>
      <c r="E184" s="59">
        <v>0</v>
      </c>
      <c r="F184" s="59"/>
      <c r="G184" s="56">
        <f t="shared" si="41"/>
        <v>0</v>
      </c>
      <c r="H184" s="55">
        <f>1000-1000</f>
        <v>0</v>
      </c>
      <c r="I184" s="56">
        <f t="shared" si="42"/>
        <v>0</v>
      </c>
      <c r="J184" s="56">
        <f t="shared" si="43"/>
        <v>0</v>
      </c>
      <c r="K184" s="57">
        <f t="shared" si="44"/>
        <v>0</v>
      </c>
      <c r="L184" s="297"/>
      <c r="M184" s="297"/>
      <c r="N184" s="314">
        <f t="shared" si="40"/>
        <v>2049</v>
      </c>
      <c r="O184" s="310">
        <v>870</v>
      </c>
      <c r="P184" s="315">
        <v>196</v>
      </c>
      <c r="Q184" s="315">
        <v>200</v>
      </c>
      <c r="R184" s="315">
        <v>200</v>
      </c>
      <c r="S184" s="315">
        <v>190</v>
      </c>
      <c r="T184" s="55">
        <v>193</v>
      </c>
      <c r="U184" s="55">
        <v>200</v>
      </c>
      <c r="V184" s="55"/>
      <c r="W184" s="55"/>
      <c r="X184" s="55"/>
      <c r="Y184" s="55"/>
      <c r="Z184" s="55"/>
      <c r="AA184" s="55"/>
      <c r="AB184" s="55"/>
      <c r="AC184" s="55"/>
      <c r="AD184" s="55"/>
      <c r="AE184" s="55"/>
      <c r="AF184" s="55"/>
      <c r="AG184" s="55"/>
      <c r="AH184" s="55"/>
      <c r="AI184" s="55"/>
      <c r="AJ184" s="55"/>
      <c r="AK184" s="55"/>
      <c r="AL184" s="55"/>
      <c r="AM184" s="55"/>
      <c r="AN184" s="55"/>
      <c r="AO184" s="55"/>
      <c r="AP184" s="55"/>
      <c r="AQ184" s="55"/>
      <c r="AR184" s="55"/>
      <c r="AS184" s="55"/>
      <c r="AT184" s="55"/>
      <c r="AU184" s="55"/>
      <c r="AV184" s="55"/>
      <c r="AW184" s="55"/>
      <c r="AX184" s="55"/>
      <c r="AY184" s="55"/>
      <c r="AZ184" s="55"/>
      <c r="BA184" s="55"/>
      <c r="BB184" s="55"/>
      <c r="BC184" s="55"/>
      <c r="BD184" s="55"/>
      <c r="BE184" s="55"/>
      <c r="BF184" s="55"/>
      <c r="BG184" s="55"/>
      <c r="BH184" s="55"/>
      <c r="BI184" s="55"/>
      <c r="BJ184" s="55"/>
      <c r="BK184" s="55"/>
      <c r="BL184" s="55"/>
      <c r="BM184" s="55"/>
      <c r="BN184" s="55"/>
      <c r="BO184" s="55"/>
      <c r="BP184" s="55"/>
      <c r="BQ184" s="55"/>
      <c r="BR184" s="55"/>
      <c r="BS184" s="55"/>
      <c r="BT184" s="55"/>
      <c r="BU184" s="55"/>
      <c r="BV184" s="55"/>
      <c r="BW184" s="55"/>
      <c r="BX184" s="55"/>
      <c r="BY184" s="55"/>
      <c r="BZ184" s="55"/>
      <c r="CA184" s="55"/>
      <c r="CB184" s="55"/>
      <c r="CC184" s="55"/>
      <c r="CD184" s="55"/>
      <c r="CE184" s="55"/>
      <c r="CF184" s="55"/>
      <c r="CG184" s="55"/>
      <c r="CH184" s="55"/>
      <c r="CI184" s="55"/>
      <c r="CJ184" s="55"/>
      <c r="CK184" s="55"/>
      <c r="CL184" s="55"/>
      <c r="CM184" s="55"/>
      <c r="CN184" s="55"/>
      <c r="CO184" s="55"/>
      <c r="CP184" s="55"/>
      <c r="CQ184" s="55"/>
      <c r="CR184" s="55"/>
      <c r="CS184" s="55"/>
      <c r="CT184" s="55"/>
      <c r="CU184" s="55"/>
      <c r="CV184" s="55"/>
      <c r="CW184" s="55"/>
      <c r="CX184" s="55"/>
      <c r="CY184" s="55"/>
      <c r="CZ184" s="55"/>
      <c r="DA184" s="55"/>
      <c r="DB184" s="55"/>
      <c r="DC184" s="55"/>
      <c r="DD184" s="55"/>
      <c r="DE184" s="55"/>
      <c r="DF184" s="55"/>
      <c r="DG184" s="55"/>
      <c r="DH184" s="55"/>
      <c r="DI184" s="55"/>
      <c r="DJ184" s="55"/>
    </row>
    <row r="185" spans="1:114" x14ac:dyDescent="0.25">
      <c r="A185" s="339"/>
      <c r="B185" s="340"/>
      <c r="C185" s="341"/>
      <c r="D185" s="342"/>
      <c r="E185" s="343"/>
      <c r="F185" s="343"/>
      <c r="G185" s="345"/>
      <c r="H185" s="346"/>
      <c r="I185" s="345"/>
      <c r="J185" s="345"/>
      <c r="K185" s="347"/>
      <c r="L185" s="297"/>
      <c r="M185" s="297"/>
      <c r="N185" s="348"/>
      <c r="O185" s="390" t="s">
        <v>1009</v>
      </c>
      <c r="P185" s="350" t="s">
        <v>1146</v>
      </c>
      <c r="Q185" s="349"/>
      <c r="R185" s="349"/>
      <c r="S185" s="349"/>
      <c r="T185" s="346"/>
      <c r="U185" s="346"/>
      <c r="V185" s="346"/>
      <c r="W185" s="346"/>
      <c r="X185" s="346"/>
      <c r="Y185" s="346"/>
      <c r="Z185" s="346"/>
      <c r="AA185" s="346"/>
      <c r="AB185" s="346"/>
      <c r="AC185" s="346"/>
      <c r="AD185" s="346"/>
      <c r="AE185" s="346"/>
      <c r="AF185" s="346"/>
      <c r="AG185" s="346"/>
      <c r="AH185" s="346"/>
      <c r="AI185" s="346"/>
      <c r="AJ185" s="346"/>
      <c r="AK185" s="346"/>
      <c r="AL185" s="346"/>
      <c r="AM185" s="346"/>
      <c r="AN185" s="346"/>
      <c r="AO185" s="346"/>
      <c r="AP185" s="346"/>
      <c r="AQ185" s="346"/>
      <c r="AR185" s="346"/>
      <c r="AS185" s="346"/>
      <c r="AT185" s="346"/>
      <c r="AU185" s="346"/>
      <c r="AV185" s="346"/>
      <c r="AW185" s="346"/>
      <c r="AX185" s="346"/>
      <c r="AY185" s="346"/>
      <c r="AZ185" s="346"/>
      <c r="BA185" s="346"/>
      <c r="BB185" s="346"/>
      <c r="BC185" s="346"/>
      <c r="BD185" s="346"/>
      <c r="BE185" s="346"/>
      <c r="BF185" s="346"/>
      <c r="BG185" s="346"/>
      <c r="BH185" s="346"/>
      <c r="BI185" s="346"/>
      <c r="BJ185" s="346"/>
      <c r="BK185" s="346"/>
      <c r="BL185" s="346"/>
      <c r="BM185" s="346"/>
      <c r="BN185" s="346"/>
      <c r="BO185" s="346"/>
      <c r="BP185" s="346"/>
      <c r="BQ185" s="346"/>
      <c r="BR185" s="346"/>
      <c r="BS185" s="346"/>
      <c r="BT185" s="346"/>
      <c r="BU185" s="346"/>
      <c r="BV185" s="346"/>
      <c r="BW185" s="346"/>
      <c r="BX185" s="346"/>
      <c r="BY185" s="346"/>
      <c r="BZ185" s="346"/>
      <c r="CA185" s="346"/>
      <c r="CB185" s="346"/>
      <c r="CC185" s="346"/>
      <c r="CD185" s="346"/>
      <c r="CE185" s="346"/>
      <c r="CF185" s="346"/>
      <c r="CG185" s="346"/>
      <c r="CH185" s="346"/>
      <c r="CI185" s="346"/>
      <c r="CJ185" s="346"/>
      <c r="CK185" s="346"/>
      <c r="CL185" s="346"/>
      <c r="CM185" s="346"/>
      <c r="CN185" s="346"/>
      <c r="CO185" s="346"/>
      <c r="CP185" s="346"/>
      <c r="CQ185" s="346"/>
      <c r="CR185" s="346"/>
      <c r="CS185" s="346"/>
      <c r="CT185" s="346"/>
      <c r="CU185" s="346"/>
      <c r="CV185" s="346"/>
      <c r="CW185" s="346"/>
      <c r="CX185" s="346"/>
      <c r="CY185" s="346"/>
      <c r="CZ185" s="346"/>
      <c r="DA185" s="346"/>
      <c r="DB185" s="346"/>
      <c r="DC185" s="346"/>
      <c r="DD185" s="346"/>
      <c r="DE185" s="346"/>
      <c r="DF185" s="346"/>
      <c r="DG185" s="346"/>
      <c r="DH185" s="346"/>
      <c r="DI185" s="346"/>
      <c r="DJ185" s="346"/>
    </row>
    <row r="186" spans="1:114" x14ac:dyDescent="0.25">
      <c r="A186" s="339"/>
      <c r="B186" s="340" t="s">
        <v>1150</v>
      </c>
      <c r="C186" s="341">
        <v>1500</v>
      </c>
      <c r="D186" s="342"/>
      <c r="E186" s="343"/>
      <c r="F186" s="343"/>
      <c r="G186" s="345"/>
      <c r="H186" s="346"/>
      <c r="I186" s="345"/>
      <c r="J186" s="345"/>
      <c r="K186" s="347"/>
      <c r="L186" s="297"/>
      <c r="M186" s="297"/>
      <c r="N186" s="314">
        <f t="shared" si="40"/>
        <v>3920</v>
      </c>
      <c r="O186" s="390">
        <v>1920</v>
      </c>
      <c r="P186" s="350">
        <v>2000</v>
      </c>
      <c r="Q186" s="349"/>
      <c r="R186" s="349"/>
      <c r="S186" s="349"/>
      <c r="T186" s="346"/>
      <c r="U186" s="346"/>
      <c r="V186" s="346"/>
      <c r="W186" s="346"/>
      <c r="X186" s="346"/>
      <c r="Y186" s="346"/>
      <c r="Z186" s="346"/>
      <c r="AA186" s="346"/>
      <c r="AB186" s="346"/>
      <c r="AC186" s="346"/>
      <c r="AD186" s="346"/>
      <c r="AE186" s="346"/>
      <c r="AF186" s="346"/>
      <c r="AG186" s="346"/>
      <c r="AH186" s="346"/>
      <c r="AI186" s="346"/>
      <c r="AJ186" s="346"/>
      <c r="AK186" s="346"/>
      <c r="AL186" s="346"/>
      <c r="AM186" s="346"/>
      <c r="AN186" s="346"/>
      <c r="AO186" s="346"/>
      <c r="AP186" s="346"/>
      <c r="AQ186" s="346"/>
      <c r="AR186" s="346"/>
      <c r="AS186" s="346"/>
      <c r="AT186" s="346"/>
      <c r="AU186" s="346"/>
      <c r="AV186" s="346"/>
      <c r="AW186" s="346"/>
      <c r="AX186" s="346"/>
      <c r="AY186" s="346"/>
      <c r="AZ186" s="346"/>
      <c r="BA186" s="346"/>
      <c r="BB186" s="346"/>
      <c r="BC186" s="346"/>
      <c r="BD186" s="346"/>
      <c r="BE186" s="346"/>
      <c r="BF186" s="346"/>
      <c r="BG186" s="346"/>
      <c r="BH186" s="346"/>
      <c r="BI186" s="346"/>
      <c r="BJ186" s="346"/>
      <c r="BK186" s="346"/>
      <c r="BL186" s="346"/>
      <c r="BM186" s="346"/>
      <c r="BN186" s="346"/>
      <c r="BO186" s="346"/>
      <c r="BP186" s="346"/>
      <c r="BQ186" s="346"/>
      <c r="BR186" s="346"/>
      <c r="BS186" s="346"/>
      <c r="BT186" s="346"/>
      <c r="BU186" s="346"/>
      <c r="BV186" s="346"/>
      <c r="BW186" s="346"/>
      <c r="BX186" s="346"/>
      <c r="BY186" s="346"/>
      <c r="BZ186" s="346"/>
      <c r="CA186" s="346"/>
      <c r="CB186" s="346"/>
      <c r="CC186" s="346"/>
      <c r="CD186" s="346"/>
      <c r="CE186" s="346"/>
      <c r="CF186" s="346"/>
      <c r="CG186" s="346"/>
      <c r="CH186" s="346"/>
      <c r="CI186" s="346"/>
      <c r="CJ186" s="346"/>
      <c r="CK186" s="346"/>
      <c r="CL186" s="346"/>
      <c r="CM186" s="346"/>
      <c r="CN186" s="346"/>
      <c r="CO186" s="346"/>
      <c r="CP186" s="346"/>
      <c r="CQ186" s="346"/>
      <c r="CR186" s="346"/>
      <c r="CS186" s="346"/>
      <c r="CT186" s="346"/>
      <c r="CU186" s="346"/>
      <c r="CV186" s="346"/>
      <c r="CW186" s="346"/>
      <c r="CX186" s="346"/>
      <c r="CY186" s="346"/>
      <c r="CZ186" s="346"/>
      <c r="DA186" s="346"/>
      <c r="DB186" s="346"/>
      <c r="DC186" s="346"/>
      <c r="DD186" s="346"/>
      <c r="DE186" s="346"/>
      <c r="DF186" s="346"/>
      <c r="DG186" s="346"/>
      <c r="DH186" s="346"/>
      <c r="DI186" s="346"/>
      <c r="DJ186" s="346"/>
    </row>
    <row r="187" spans="1:114" x14ac:dyDescent="0.25">
      <c r="A187" s="339"/>
      <c r="B187" s="340"/>
      <c r="C187" s="341"/>
      <c r="D187" s="342"/>
      <c r="E187" s="343"/>
      <c r="F187" s="343"/>
      <c r="G187" s="345"/>
      <c r="H187" s="346"/>
      <c r="I187" s="345"/>
      <c r="J187" s="345"/>
      <c r="K187" s="347"/>
      <c r="L187" s="297"/>
      <c r="M187" s="297"/>
      <c r="N187" s="348"/>
      <c r="O187" s="390" t="s">
        <v>931</v>
      </c>
      <c r="P187" s="350" t="s">
        <v>1009</v>
      </c>
      <c r="Q187" s="349"/>
      <c r="R187" s="349"/>
      <c r="S187" s="349"/>
      <c r="T187" s="346"/>
      <c r="U187" s="346"/>
      <c r="V187" s="346"/>
      <c r="W187" s="346"/>
      <c r="X187" s="346"/>
      <c r="Y187" s="346"/>
      <c r="Z187" s="346"/>
      <c r="AA187" s="346"/>
      <c r="AB187" s="346"/>
      <c r="AC187" s="346"/>
      <c r="AD187" s="346"/>
      <c r="AE187" s="346"/>
      <c r="AF187" s="346"/>
      <c r="AG187" s="346"/>
      <c r="AH187" s="346"/>
      <c r="AI187" s="346"/>
      <c r="AJ187" s="346"/>
      <c r="AK187" s="346"/>
      <c r="AL187" s="346"/>
      <c r="AM187" s="346"/>
      <c r="AN187" s="346"/>
      <c r="AO187" s="346"/>
      <c r="AP187" s="346"/>
      <c r="AQ187" s="346"/>
      <c r="AR187" s="346"/>
      <c r="AS187" s="346"/>
      <c r="AT187" s="346"/>
      <c r="AU187" s="346"/>
      <c r="AV187" s="346"/>
      <c r="AW187" s="346"/>
      <c r="AX187" s="346"/>
      <c r="AY187" s="346"/>
      <c r="AZ187" s="346"/>
      <c r="BA187" s="346"/>
      <c r="BB187" s="346"/>
      <c r="BC187" s="346"/>
      <c r="BD187" s="346"/>
      <c r="BE187" s="346"/>
      <c r="BF187" s="346"/>
      <c r="BG187" s="346"/>
      <c r="BH187" s="346"/>
      <c r="BI187" s="346"/>
      <c r="BJ187" s="346"/>
      <c r="BK187" s="346"/>
      <c r="BL187" s="346"/>
      <c r="BM187" s="346"/>
      <c r="BN187" s="346"/>
      <c r="BO187" s="346"/>
      <c r="BP187" s="346"/>
      <c r="BQ187" s="346"/>
      <c r="BR187" s="346"/>
      <c r="BS187" s="346"/>
      <c r="BT187" s="346"/>
      <c r="BU187" s="346"/>
      <c r="BV187" s="346"/>
      <c r="BW187" s="346"/>
      <c r="BX187" s="346"/>
      <c r="BY187" s="346"/>
      <c r="BZ187" s="346"/>
      <c r="CA187" s="346"/>
      <c r="CB187" s="346"/>
      <c r="CC187" s="346"/>
      <c r="CD187" s="346"/>
      <c r="CE187" s="346"/>
      <c r="CF187" s="346"/>
      <c r="CG187" s="346"/>
      <c r="CH187" s="346"/>
      <c r="CI187" s="346"/>
      <c r="CJ187" s="346"/>
      <c r="CK187" s="346"/>
      <c r="CL187" s="346"/>
      <c r="CM187" s="346"/>
      <c r="CN187" s="346"/>
      <c r="CO187" s="346"/>
      <c r="CP187" s="346"/>
      <c r="CQ187" s="346"/>
      <c r="CR187" s="346"/>
      <c r="CS187" s="346"/>
      <c r="CT187" s="346"/>
      <c r="CU187" s="346"/>
      <c r="CV187" s="346"/>
      <c r="CW187" s="346"/>
      <c r="CX187" s="346"/>
      <c r="CY187" s="346"/>
      <c r="CZ187" s="346"/>
      <c r="DA187" s="346"/>
      <c r="DB187" s="346"/>
      <c r="DC187" s="346"/>
      <c r="DD187" s="346"/>
      <c r="DE187" s="346"/>
      <c r="DF187" s="346"/>
      <c r="DG187" s="346"/>
      <c r="DH187" s="346"/>
      <c r="DI187" s="346"/>
      <c r="DJ187" s="346"/>
    </row>
    <row r="188" spans="1:114" x14ac:dyDescent="0.25">
      <c r="A188" s="339"/>
      <c r="B188" s="340" t="s">
        <v>1151</v>
      </c>
      <c r="C188" s="341">
        <v>2500</v>
      </c>
      <c r="D188" s="342"/>
      <c r="E188" s="343"/>
      <c r="F188" s="343"/>
      <c r="G188" s="345"/>
      <c r="H188" s="346"/>
      <c r="I188" s="345"/>
      <c r="J188" s="345"/>
      <c r="K188" s="347"/>
      <c r="L188" s="297"/>
      <c r="M188" s="297"/>
      <c r="N188" s="314">
        <f t="shared" si="40"/>
        <v>3588</v>
      </c>
      <c r="O188" s="390">
        <v>1800</v>
      </c>
      <c r="P188" s="350">
        <v>1788</v>
      </c>
      <c r="Q188" s="349"/>
      <c r="R188" s="349"/>
      <c r="S188" s="349"/>
      <c r="T188" s="346"/>
      <c r="U188" s="346"/>
      <c r="V188" s="346"/>
      <c r="W188" s="346"/>
      <c r="X188" s="346"/>
      <c r="Y188" s="346"/>
      <c r="Z188" s="346"/>
      <c r="AA188" s="346"/>
      <c r="AB188" s="346"/>
      <c r="AC188" s="346"/>
      <c r="AD188" s="346"/>
      <c r="AE188" s="346"/>
      <c r="AF188" s="346"/>
      <c r="AG188" s="346"/>
      <c r="AH188" s="346"/>
      <c r="AI188" s="346"/>
      <c r="AJ188" s="346"/>
      <c r="AK188" s="346"/>
      <c r="AL188" s="346"/>
      <c r="AM188" s="346"/>
      <c r="AN188" s="346"/>
      <c r="AO188" s="346"/>
      <c r="AP188" s="346"/>
      <c r="AQ188" s="346"/>
      <c r="AR188" s="346"/>
      <c r="AS188" s="346"/>
      <c r="AT188" s="346"/>
      <c r="AU188" s="346"/>
      <c r="AV188" s="346"/>
      <c r="AW188" s="346"/>
      <c r="AX188" s="346"/>
      <c r="AY188" s="346"/>
      <c r="AZ188" s="346"/>
      <c r="BA188" s="346"/>
      <c r="BB188" s="346"/>
      <c r="BC188" s="346"/>
      <c r="BD188" s="346"/>
      <c r="BE188" s="346"/>
      <c r="BF188" s="346"/>
      <c r="BG188" s="346"/>
      <c r="BH188" s="346"/>
      <c r="BI188" s="346"/>
      <c r="BJ188" s="346"/>
      <c r="BK188" s="346"/>
      <c r="BL188" s="346"/>
      <c r="BM188" s="346"/>
      <c r="BN188" s="346"/>
      <c r="BO188" s="346"/>
      <c r="BP188" s="346"/>
      <c r="BQ188" s="346"/>
      <c r="BR188" s="346"/>
      <c r="BS188" s="346"/>
      <c r="BT188" s="346"/>
      <c r="BU188" s="346"/>
      <c r="BV188" s="346"/>
      <c r="BW188" s="346"/>
      <c r="BX188" s="346"/>
      <c r="BY188" s="346"/>
      <c r="BZ188" s="346"/>
      <c r="CA188" s="346"/>
      <c r="CB188" s="346"/>
      <c r="CC188" s="346"/>
      <c r="CD188" s="346"/>
      <c r="CE188" s="346"/>
      <c r="CF188" s="346"/>
      <c r="CG188" s="346"/>
      <c r="CH188" s="346"/>
      <c r="CI188" s="346"/>
      <c r="CJ188" s="346"/>
      <c r="CK188" s="346"/>
      <c r="CL188" s="346"/>
      <c r="CM188" s="346"/>
      <c r="CN188" s="346"/>
      <c r="CO188" s="346"/>
      <c r="CP188" s="346"/>
      <c r="CQ188" s="346"/>
      <c r="CR188" s="346"/>
      <c r="CS188" s="346"/>
      <c r="CT188" s="346"/>
      <c r="CU188" s="346"/>
      <c r="CV188" s="346"/>
      <c r="CW188" s="346"/>
      <c r="CX188" s="346"/>
      <c r="CY188" s="346"/>
      <c r="CZ188" s="346"/>
      <c r="DA188" s="346"/>
      <c r="DB188" s="346"/>
      <c r="DC188" s="346"/>
      <c r="DD188" s="346"/>
      <c r="DE188" s="346"/>
      <c r="DF188" s="346"/>
      <c r="DG188" s="346"/>
      <c r="DH188" s="346"/>
      <c r="DI188" s="346"/>
      <c r="DJ188" s="346"/>
    </row>
    <row r="189" spans="1:114" x14ac:dyDescent="0.25">
      <c r="A189" s="339"/>
      <c r="B189" s="340"/>
      <c r="C189" s="341"/>
      <c r="D189" s="342"/>
      <c r="E189" s="343"/>
      <c r="F189" s="343"/>
      <c r="G189" s="345"/>
      <c r="H189" s="346"/>
      <c r="I189" s="345"/>
      <c r="J189" s="345"/>
      <c r="K189" s="347"/>
      <c r="L189" s="297"/>
      <c r="M189" s="297"/>
      <c r="N189" s="348"/>
      <c r="O189" s="390" t="s">
        <v>1009</v>
      </c>
      <c r="P189" s="350"/>
      <c r="Q189" s="349"/>
      <c r="R189" s="349"/>
      <c r="S189" s="349"/>
      <c r="T189" s="346"/>
      <c r="U189" s="346"/>
      <c r="V189" s="346"/>
      <c r="W189" s="346"/>
      <c r="X189" s="346"/>
      <c r="Y189" s="346"/>
      <c r="Z189" s="346"/>
      <c r="AA189" s="346"/>
      <c r="AB189" s="346"/>
      <c r="AC189" s="346"/>
      <c r="AD189" s="346"/>
      <c r="AE189" s="346"/>
      <c r="AF189" s="346"/>
      <c r="AG189" s="346"/>
      <c r="AH189" s="346"/>
      <c r="AI189" s="346"/>
      <c r="AJ189" s="346"/>
      <c r="AK189" s="346"/>
      <c r="AL189" s="346"/>
      <c r="AM189" s="346"/>
      <c r="AN189" s="346"/>
      <c r="AO189" s="346"/>
      <c r="AP189" s="346"/>
      <c r="AQ189" s="346"/>
      <c r="AR189" s="346"/>
      <c r="AS189" s="346"/>
      <c r="AT189" s="346"/>
      <c r="AU189" s="346"/>
      <c r="AV189" s="346"/>
      <c r="AW189" s="346"/>
      <c r="AX189" s="346"/>
      <c r="AY189" s="346"/>
      <c r="AZ189" s="346"/>
      <c r="BA189" s="346"/>
      <c r="BB189" s="346"/>
      <c r="BC189" s="346"/>
      <c r="BD189" s="346"/>
      <c r="BE189" s="346"/>
      <c r="BF189" s="346"/>
      <c r="BG189" s="346"/>
      <c r="BH189" s="346"/>
      <c r="BI189" s="346"/>
      <c r="BJ189" s="346"/>
      <c r="BK189" s="346"/>
      <c r="BL189" s="346"/>
      <c r="BM189" s="346"/>
      <c r="BN189" s="346"/>
      <c r="BO189" s="346"/>
      <c r="BP189" s="346"/>
      <c r="BQ189" s="346"/>
      <c r="BR189" s="346"/>
      <c r="BS189" s="346"/>
      <c r="BT189" s="346"/>
      <c r="BU189" s="346"/>
      <c r="BV189" s="346"/>
      <c r="BW189" s="346"/>
      <c r="BX189" s="346"/>
      <c r="BY189" s="346"/>
      <c r="BZ189" s="346"/>
      <c r="CA189" s="346"/>
      <c r="CB189" s="346"/>
      <c r="CC189" s="346"/>
      <c r="CD189" s="346"/>
      <c r="CE189" s="346"/>
      <c r="CF189" s="346"/>
      <c r="CG189" s="346"/>
      <c r="CH189" s="346"/>
      <c r="CI189" s="346"/>
      <c r="CJ189" s="346"/>
      <c r="CK189" s="346"/>
      <c r="CL189" s="346"/>
      <c r="CM189" s="346"/>
      <c r="CN189" s="346"/>
      <c r="CO189" s="346"/>
      <c r="CP189" s="346"/>
      <c r="CQ189" s="346"/>
      <c r="CR189" s="346"/>
      <c r="CS189" s="346"/>
      <c r="CT189" s="346"/>
      <c r="CU189" s="346"/>
      <c r="CV189" s="346"/>
      <c r="CW189" s="346"/>
      <c r="CX189" s="346"/>
      <c r="CY189" s="346"/>
      <c r="CZ189" s="346"/>
      <c r="DA189" s="346"/>
      <c r="DB189" s="346"/>
      <c r="DC189" s="346"/>
      <c r="DD189" s="346"/>
      <c r="DE189" s="346"/>
      <c r="DF189" s="346"/>
      <c r="DG189" s="346"/>
      <c r="DH189" s="346"/>
      <c r="DI189" s="346"/>
      <c r="DJ189" s="346"/>
    </row>
    <row r="190" spans="1:114" x14ac:dyDescent="0.25">
      <c r="A190" s="339"/>
      <c r="B190" s="340" t="s">
        <v>1152</v>
      </c>
      <c r="C190" s="341">
        <v>2000</v>
      </c>
      <c r="D190" s="342"/>
      <c r="E190" s="343"/>
      <c r="F190" s="343"/>
      <c r="G190" s="345"/>
      <c r="H190" s="346"/>
      <c r="I190" s="345"/>
      <c r="J190" s="345"/>
      <c r="K190" s="347"/>
      <c r="L190" s="297"/>
      <c r="M190" s="297"/>
      <c r="N190" s="314">
        <f t="shared" si="40"/>
        <v>1416</v>
      </c>
      <c r="O190" s="390">
        <v>1416</v>
      </c>
      <c r="P190" s="350"/>
      <c r="Q190" s="349"/>
      <c r="R190" s="349"/>
      <c r="S190" s="349"/>
      <c r="T190" s="346"/>
      <c r="U190" s="346"/>
      <c r="V190" s="346"/>
      <c r="W190" s="346"/>
      <c r="X190" s="346"/>
      <c r="Y190" s="346"/>
      <c r="Z190" s="346"/>
      <c r="AA190" s="346"/>
      <c r="AB190" s="346"/>
      <c r="AC190" s="346"/>
      <c r="AD190" s="346"/>
      <c r="AE190" s="346"/>
      <c r="AF190" s="346"/>
      <c r="AG190" s="346"/>
      <c r="AH190" s="346"/>
      <c r="AI190" s="346"/>
      <c r="AJ190" s="346"/>
      <c r="AK190" s="346"/>
      <c r="AL190" s="346"/>
      <c r="AM190" s="346"/>
      <c r="AN190" s="346"/>
      <c r="AO190" s="346"/>
      <c r="AP190" s="346"/>
      <c r="AQ190" s="346"/>
      <c r="AR190" s="346"/>
      <c r="AS190" s="346"/>
      <c r="AT190" s="346"/>
      <c r="AU190" s="346"/>
      <c r="AV190" s="346"/>
      <c r="AW190" s="346"/>
      <c r="AX190" s="346"/>
      <c r="AY190" s="346"/>
      <c r="AZ190" s="346"/>
      <c r="BA190" s="346"/>
      <c r="BB190" s="346"/>
      <c r="BC190" s="346"/>
      <c r="BD190" s="346"/>
      <c r="BE190" s="346"/>
      <c r="BF190" s="346"/>
      <c r="BG190" s="346"/>
      <c r="BH190" s="346"/>
      <c r="BI190" s="346"/>
      <c r="BJ190" s="346"/>
      <c r="BK190" s="346"/>
      <c r="BL190" s="346"/>
      <c r="BM190" s="346"/>
      <c r="BN190" s="346"/>
      <c r="BO190" s="346"/>
      <c r="BP190" s="346"/>
      <c r="BQ190" s="346"/>
      <c r="BR190" s="346"/>
      <c r="BS190" s="346"/>
      <c r="BT190" s="346"/>
      <c r="BU190" s="346"/>
      <c r="BV190" s="346"/>
      <c r="BW190" s="346"/>
      <c r="BX190" s="346"/>
      <c r="BY190" s="346"/>
      <c r="BZ190" s="346"/>
      <c r="CA190" s="346"/>
      <c r="CB190" s="346"/>
      <c r="CC190" s="346"/>
      <c r="CD190" s="346"/>
      <c r="CE190" s="346"/>
      <c r="CF190" s="346"/>
      <c r="CG190" s="346"/>
      <c r="CH190" s="346"/>
      <c r="CI190" s="346"/>
      <c r="CJ190" s="346"/>
      <c r="CK190" s="346"/>
      <c r="CL190" s="346"/>
      <c r="CM190" s="346"/>
      <c r="CN190" s="346"/>
      <c r="CO190" s="346"/>
      <c r="CP190" s="346"/>
      <c r="CQ190" s="346"/>
      <c r="CR190" s="346"/>
      <c r="CS190" s="346"/>
      <c r="CT190" s="346"/>
      <c r="CU190" s="346"/>
      <c r="CV190" s="346"/>
      <c r="CW190" s="346"/>
      <c r="CX190" s="346"/>
      <c r="CY190" s="346"/>
      <c r="CZ190" s="346"/>
      <c r="DA190" s="346"/>
      <c r="DB190" s="346"/>
      <c r="DC190" s="346"/>
      <c r="DD190" s="346"/>
      <c r="DE190" s="346"/>
      <c r="DF190" s="346"/>
      <c r="DG190" s="346"/>
      <c r="DH190" s="346"/>
      <c r="DI190" s="346"/>
      <c r="DJ190" s="346"/>
    </row>
    <row r="191" spans="1:114" x14ac:dyDescent="0.25">
      <c r="A191" s="339"/>
      <c r="B191" s="340"/>
      <c r="C191" s="341"/>
      <c r="D191" s="342"/>
      <c r="E191" s="343"/>
      <c r="F191" s="343"/>
      <c r="G191" s="345"/>
      <c r="H191" s="346"/>
      <c r="I191" s="345"/>
      <c r="J191" s="345"/>
      <c r="K191" s="347"/>
      <c r="L191" s="297"/>
      <c r="M191" s="297"/>
      <c r="N191" s="348"/>
      <c r="O191" s="390" t="s">
        <v>1009</v>
      </c>
      <c r="P191" s="395" t="s">
        <v>1146</v>
      </c>
      <c r="Q191" s="349"/>
      <c r="R191" s="349"/>
      <c r="S191" s="349"/>
      <c r="T191" s="346"/>
      <c r="U191" s="346"/>
      <c r="V191" s="346"/>
      <c r="W191" s="346"/>
      <c r="X191" s="346"/>
      <c r="Y191" s="346"/>
      <c r="Z191" s="346"/>
      <c r="AA191" s="346"/>
      <c r="AB191" s="346"/>
      <c r="AC191" s="346"/>
      <c r="AD191" s="346"/>
      <c r="AE191" s="346"/>
      <c r="AF191" s="346"/>
      <c r="AG191" s="346"/>
      <c r="AH191" s="346"/>
      <c r="AI191" s="346"/>
      <c r="AJ191" s="346"/>
      <c r="AK191" s="346"/>
      <c r="AL191" s="346"/>
      <c r="AM191" s="346"/>
      <c r="AN191" s="346"/>
      <c r="AO191" s="346"/>
      <c r="AP191" s="346"/>
      <c r="AQ191" s="346"/>
      <c r="AR191" s="346"/>
      <c r="AS191" s="346"/>
      <c r="AT191" s="346"/>
      <c r="AU191" s="346"/>
      <c r="AV191" s="346"/>
      <c r="AW191" s="346"/>
      <c r="AX191" s="346"/>
      <c r="AY191" s="346"/>
      <c r="AZ191" s="346"/>
      <c r="BA191" s="346"/>
      <c r="BB191" s="346"/>
      <c r="BC191" s="346"/>
      <c r="BD191" s="346"/>
      <c r="BE191" s="346"/>
      <c r="BF191" s="346"/>
      <c r="BG191" s="346"/>
      <c r="BH191" s="346"/>
      <c r="BI191" s="346"/>
      <c r="BJ191" s="346"/>
      <c r="BK191" s="346"/>
      <c r="BL191" s="346"/>
      <c r="BM191" s="346"/>
      <c r="BN191" s="346"/>
      <c r="BO191" s="346"/>
      <c r="BP191" s="346"/>
      <c r="BQ191" s="346"/>
      <c r="BR191" s="346"/>
      <c r="BS191" s="346"/>
      <c r="BT191" s="346"/>
      <c r="BU191" s="346"/>
      <c r="BV191" s="346"/>
      <c r="BW191" s="346"/>
      <c r="BX191" s="346"/>
      <c r="BY191" s="346"/>
      <c r="BZ191" s="346"/>
      <c r="CA191" s="346"/>
      <c r="CB191" s="346"/>
      <c r="CC191" s="346"/>
      <c r="CD191" s="346"/>
      <c r="CE191" s="346"/>
      <c r="CF191" s="346"/>
      <c r="CG191" s="346"/>
      <c r="CH191" s="346"/>
      <c r="CI191" s="346"/>
      <c r="CJ191" s="346"/>
      <c r="CK191" s="346"/>
      <c r="CL191" s="346"/>
      <c r="CM191" s="346"/>
      <c r="CN191" s="346"/>
      <c r="CO191" s="346"/>
      <c r="CP191" s="346"/>
      <c r="CQ191" s="346"/>
      <c r="CR191" s="346"/>
      <c r="CS191" s="346"/>
      <c r="CT191" s="346"/>
      <c r="CU191" s="346"/>
      <c r="CV191" s="346"/>
      <c r="CW191" s="346"/>
      <c r="CX191" s="346"/>
      <c r="CY191" s="346"/>
      <c r="CZ191" s="346"/>
      <c r="DA191" s="346"/>
      <c r="DB191" s="346"/>
      <c r="DC191" s="346"/>
      <c r="DD191" s="346"/>
      <c r="DE191" s="346"/>
      <c r="DF191" s="346"/>
      <c r="DG191" s="346"/>
      <c r="DH191" s="346"/>
      <c r="DI191" s="346"/>
      <c r="DJ191" s="346"/>
    </row>
    <row r="192" spans="1:114" x14ac:dyDescent="0.25">
      <c r="A192" s="339"/>
      <c r="B192" s="340" t="s">
        <v>1153</v>
      </c>
      <c r="C192" s="341">
        <v>1500</v>
      </c>
      <c r="D192" s="342"/>
      <c r="E192" s="343"/>
      <c r="F192" s="343"/>
      <c r="G192" s="345"/>
      <c r="H192" s="346"/>
      <c r="I192" s="345"/>
      <c r="J192" s="345"/>
      <c r="K192" s="347"/>
      <c r="L192" s="297"/>
      <c r="M192" s="297"/>
      <c r="N192" s="314">
        <f t="shared" si="40"/>
        <v>3540</v>
      </c>
      <c r="O192" s="390">
        <v>1800</v>
      </c>
      <c r="P192" s="395">
        <v>1740</v>
      </c>
      <c r="Q192" s="349"/>
      <c r="R192" s="349"/>
      <c r="S192" s="349"/>
      <c r="T192" s="346"/>
      <c r="U192" s="346"/>
      <c r="V192" s="346"/>
      <c r="W192" s="346"/>
      <c r="X192" s="346"/>
      <c r="Y192" s="346"/>
      <c r="Z192" s="346"/>
      <c r="AA192" s="346"/>
      <c r="AB192" s="346"/>
      <c r="AC192" s="346"/>
      <c r="AD192" s="346"/>
      <c r="AE192" s="346"/>
      <c r="AF192" s="346"/>
      <c r="AG192" s="346"/>
      <c r="AH192" s="346"/>
      <c r="AI192" s="346"/>
      <c r="AJ192" s="346"/>
      <c r="AK192" s="346"/>
      <c r="AL192" s="346"/>
      <c r="AM192" s="346"/>
      <c r="AN192" s="346"/>
      <c r="AO192" s="346"/>
      <c r="AP192" s="346"/>
      <c r="AQ192" s="346"/>
      <c r="AR192" s="346"/>
      <c r="AS192" s="346"/>
      <c r="AT192" s="346"/>
      <c r="AU192" s="346"/>
      <c r="AV192" s="346"/>
      <c r="AW192" s="346"/>
      <c r="AX192" s="346"/>
      <c r="AY192" s="346"/>
      <c r="AZ192" s="346"/>
      <c r="BA192" s="346"/>
      <c r="BB192" s="346"/>
      <c r="BC192" s="346"/>
      <c r="BD192" s="346"/>
      <c r="BE192" s="346"/>
      <c r="BF192" s="346"/>
      <c r="BG192" s="346"/>
      <c r="BH192" s="346"/>
      <c r="BI192" s="346"/>
      <c r="BJ192" s="346"/>
      <c r="BK192" s="346"/>
      <c r="BL192" s="346"/>
      <c r="BM192" s="346"/>
      <c r="BN192" s="346"/>
      <c r="BO192" s="346"/>
      <c r="BP192" s="346"/>
      <c r="BQ192" s="346"/>
      <c r="BR192" s="346"/>
      <c r="BS192" s="346"/>
      <c r="BT192" s="346"/>
      <c r="BU192" s="346"/>
      <c r="BV192" s="346"/>
      <c r="BW192" s="346"/>
      <c r="BX192" s="346"/>
      <c r="BY192" s="346"/>
      <c r="BZ192" s="346"/>
      <c r="CA192" s="346"/>
      <c r="CB192" s="346"/>
      <c r="CC192" s="346"/>
      <c r="CD192" s="346"/>
      <c r="CE192" s="346"/>
      <c r="CF192" s="346"/>
      <c r="CG192" s="346"/>
      <c r="CH192" s="346"/>
      <c r="CI192" s="346"/>
      <c r="CJ192" s="346"/>
      <c r="CK192" s="346"/>
      <c r="CL192" s="346"/>
      <c r="CM192" s="346"/>
      <c r="CN192" s="346"/>
      <c r="CO192" s="346"/>
      <c r="CP192" s="346"/>
      <c r="CQ192" s="346"/>
      <c r="CR192" s="346"/>
      <c r="CS192" s="346"/>
      <c r="CT192" s="346"/>
      <c r="CU192" s="346"/>
      <c r="CV192" s="346"/>
      <c r="CW192" s="346"/>
      <c r="CX192" s="346"/>
      <c r="CY192" s="346"/>
      <c r="CZ192" s="346"/>
      <c r="DA192" s="346"/>
      <c r="DB192" s="346"/>
      <c r="DC192" s="346"/>
      <c r="DD192" s="346"/>
      <c r="DE192" s="346"/>
      <c r="DF192" s="346"/>
      <c r="DG192" s="346"/>
      <c r="DH192" s="346"/>
      <c r="DI192" s="346"/>
      <c r="DJ192" s="346"/>
    </row>
    <row r="193" spans="1:114" x14ac:dyDescent="0.25">
      <c r="A193" s="339"/>
      <c r="B193" s="340"/>
      <c r="C193" s="341"/>
      <c r="D193" s="342"/>
      <c r="E193" s="343"/>
      <c r="F193" s="343"/>
      <c r="G193" s="345"/>
      <c r="H193" s="346"/>
      <c r="I193" s="345"/>
      <c r="J193" s="345"/>
      <c r="K193" s="347"/>
      <c r="L193" s="297"/>
      <c r="M193" s="297"/>
      <c r="N193" s="348"/>
      <c r="O193" s="390" t="s">
        <v>1149</v>
      </c>
      <c r="P193" s="350" t="s">
        <v>1009</v>
      </c>
      <c r="Q193" s="349"/>
      <c r="R193" s="349"/>
      <c r="S193" s="349"/>
      <c r="T193" s="346"/>
      <c r="U193" s="346"/>
      <c r="V193" s="346"/>
      <c r="W193" s="346"/>
      <c r="X193" s="346"/>
      <c r="Y193" s="346"/>
      <c r="Z193" s="346"/>
      <c r="AA193" s="346"/>
      <c r="AB193" s="346"/>
      <c r="AC193" s="346"/>
      <c r="AD193" s="346"/>
      <c r="AE193" s="346"/>
      <c r="AF193" s="346"/>
      <c r="AG193" s="346"/>
      <c r="AH193" s="346"/>
      <c r="AI193" s="346"/>
      <c r="AJ193" s="346"/>
      <c r="AK193" s="346"/>
      <c r="AL193" s="346"/>
      <c r="AM193" s="346"/>
      <c r="AN193" s="346"/>
      <c r="AO193" s="346"/>
      <c r="AP193" s="346"/>
      <c r="AQ193" s="346"/>
      <c r="AR193" s="346"/>
      <c r="AS193" s="346"/>
      <c r="AT193" s="346"/>
      <c r="AU193" s="346"/>
      <c r="AV193" s="346"/>
      <c r="AW193" s="346"/>
      <c r="AX193" s="346"/>
      <c r="AY193" s="346"/>
      <c r="AZ193" s="346"/>
      <c r="BA193" s="346"/>
      <c r="BB193" s="346"/>
      <c r="BC193" s="346"/>
      <c r="BD193" s="346"/>
      <c r="BE193" s="346"/>
      <c r="BF193" s="346"/>
      <c r="BG193" s="346"/>
      <c r="BH193" s="346"/>
      <c r="BI193" s="346"/>
      <c r="BJ193" s="346"/>
      <c r="BK193" s="346"/>
      <c r="BL193" s="346"/>
      <c r="BM193" s="346"/>
      <c r="BN193" s="346"/>
      <c r="BO193" s="346"/>
      <c r="BP193" s="346"/>
      <c r="BQ193" s="346"/>
      <c r="BR193" s="346"/>
      <c r="BS193" s="346"/>
      <c r="BT193" s="346"/>
      <c r="BU193" s="346"/>
      <c r="BV193" s="346"/>
      <c r="BW193" s="346"/>
      <c r="BX193" s="346"/>
      <c r="BY193" s="346"/>
      <c r="BZ193" s="346"/>
      <c r="CA193" s="346"/>
      <c r="CB193" s="346"/>
      <c r="CC193" s="346"/>
      <c r="CD193" s="346"/>
      <c r="CE193" s="346"/>
      <c r="CF193" s="346"/>
      <c r="CG193" s="346"/>
      <c r="CH193" s="346"/>
      <c r="CI193" s="346"/>
      <c r="CJ193" s="346"/>
      <c r="CK193" s="346"/>
      <c r="CL193" s="346"/>
      <c r="CM193" s="346"/>
      <c r="CN193" s="346"/>
      <c r="CO193" s="346"/>
      <c r="CP193" s="346"/>
      <c r="CQ193" s="346"/>
      <c r="CR193" s="346"/>
      <c r="CS193" s="346"/>
      <c r="CT193" s="346"/>
      <c r="CU193" s="346"/>
      <c r="CV193" s="346"/>
      <c r="CW193" s="346"/>
      <c r="CX193" s="346"/>
      <c r="CY193" s="346"/>
      <c r="CZ193" s="346"/>
      <c r="DA193" s="346"/>
      <c r="DB193" s="346"/>
      <c r="DC193" s="346"/>
      <c r="DD193" s="346"/>
      <c r="DE193" s="346"/>
      <c r="DF193" s="346"/>
      <c r="DG193" s="346"/>
      <c r="DH193" s="346"/>
      <c r="DI193" s="346"/>
      <c r="DJ193" s="346"/>
    </row>
    <row r="194" spans="1:114" x14ac:dyDescent="0.25">
      <c r="A194" s="339"/>
      <c r="B194" s="340" t="s">
        <v>1154</v>
      </c>
      <c r="C194" s="341">
        <v>2500</v>
      </c>
      <c r="D194" s="342"/>
      <c r="E194" s="343"/>
      <c r="F194" s="343"/>
      <c r="G194" s="345"/>
      <c r="H194" s="346"/>
      <c r="I194" s="345"/>
      <c r="J194" s="345"/>
      <c r="K194" s="347"/>
      <c r="L194" s="297"/>
      <c r="M194" s="297"/>
      <c r="N194" s="314">
        <f t="shared" si="40"/>
        <v>3980</v>
      </c>
      <c r="O194" s="390">
        <v>2000</v>
      </c>
      <c r="P194" s="350">
        <v>1980</v>
      </c>
      <c r="Q194" s="349"/>
      <c r="R194" s="349"/>
      <c r="S194" s="349"/>
      <c r="T194" s="346"/>
      <c r="U194" s="346"/>
      <c r="V194" s="346"/>
      <c r="W194" s="346"/>
      <c r="X194" s="346"/>
      <c r="Y194" s="346"/>
      <c r="Z194" s="346"/>
      <c r="AA194" s="346"/>
      <c r="AB194" s="346"/>
      <c r="AC194" s="346"/>
      <c r="AD194" s="346"/>
      <c r="AE194" s="346"/>
      <c r="AF194" s="346"/>
      <c r="AG194" s="346"/>
      <c r="AH194" s="346"/>
      <c r="AI194" s="346"/>
      <c r="AJ194" s="346"/>
      <c r="AK194" s="346"/>
      <c r="AL194" s="346"/>
      <c r="AM194" s="346"/>
      <c r="AN194" s="346"/>
      <c r="AO194" s="346"/>
      <c r="AP194" s="346"/>
      <c r="AQ194" s="346"/>
      <c r="AR194" s="346"/>
      <c r="AS194" s="346"/>
      <c r="AT194" s="346"/>
      <c r="AU194" s="346"/>
      <c r="AV194" s="346"/>
      <c r="AW194" s="346"/>
      <c r="AX194" s="346"/>
      <c r="AY194" s="346"/>
      <c r="AZ194" s="346"/>
      <c r="BA194" s="346"/>
      <c r="BB194" s="346"/>
      <c r="BC194" s="346"/>
      <c r="BD194" s="346"/>
      <c r="BE194" s="346"/>
      <c r="BF194" s="346"/>
      <c r="BG194" s="346"/>
      <c r="BH194" s="346"/>
      <c r="BI194" s="346"/>
      <c r="BJ194" s="346"/>
      <c r="BK194" s="346"/>
      <c r="BL194" s="346"/>
      <c r="BM194" s="346"/>
      <c r="BN194" s="346"/>
      <c r="BO194" s="346"/>
      <c r="BP194" s="346"/>
      <c r="BQ194" s="346"/>
      <c r="BR194" s="346"/>
      <c r="BS194" s="346"/>
      <c r="BT194" s="346"/>
      <c r="BU194" s="346"/>
      <c r="BV194" s="346"/>
      <c r="BW194" s="346"/>
      <c r="BX194" s="346"/>
      <c r="BY194" s="346"/>
      <c r="BZ194" s="346"/>
      <c r="CA194" s="346"/>
      <c r="CB194" s="346"/>
      <c r="CC194" s="346"/>
      <c r="CD194" s="346"/>
      <c r="CE194" s="346"/>
      <c r="CF194" s="346"/>
      <c r="CG194" s="346"/>
      <c r="CH194" s="346"/>
      <c r="CI194" s="346"/>
      <c r="CJ194" s="346"/>
      <c r="CK194" s="346"/>
      <c r="CL194" s="346"/>
      <c r="CM194" s="346"/>
      <c r="CN194" s="346"/>
      <c r="CO194" s="346"/>
      <c r="CP194" s="346"/>
      <c r="CQ194" s="346"/>
      <c r="CR194" s="346"/>
      <c r="CS194" s="346"/>
      <c r="CT194" s="346"/>
      <c r="CU194" s="346"/>
      <c r="CV194" s="346"/>
      <c r="CW194" s="346"/>
      <c r="CX194" s="346"/>
      <c r="CY194" s="346"/>
      <c r="CZ194" s="346"/>
      <c r="DA194" s="346"/>
      <c r="DB194" s="346"/>
      <c r="DC194" s="346"/>
      <c r="DD194" s="346"/>
      <c r="DE194" s="346"/>
      <c r="DF194" s="346"/>
      <c r="DG194" s="346"/>
      <c r="DH194" s="346"/>
      <c r="DI194" s="346"/>
      <c r="DJ194" s="346"/>
    </row>
    <row r="195" spans="1:114" x14ac:dyDescent="0.25">
      <c r="A195" s="339"/>
      <c r="B195" s="340"/>
      <c r="C195" s="341"/>
      <c r="D195" s="342"/>
      <c r="E195" s="343"/>
      <c r="F195" s="343"/>
      <c r="G195" s="345"/>
      <c r="H195" s="346"/>
      <c r="I195" s="345"/>
      <c r="J195" s="345"/>
      <c r="K195" s="347"/>
      <c r="L195" s="297"/>
      <c r="M195" s="297"/>
      <c r="N195" s="348"/>
      <c r="O195" s="390" t="s">
        <v>1009</v>
      </c>
      <c r="P195" s="350" t="s">
        <v>1146</v>
      </c>
      <c r="Q195" s="349"/>
      <c r="R195" s="349"/>
      <c r="S195" s="349"/>
      <c r="T195" s="346"/>
      <c r="U195" s="346"/>
      <c r="V195" s="346"/>
      <c r="W195" s="346"/>
      <c r="X195" s="346"/>
      <c r="Y195" s="346"/>
      <c r="Z195" s="346"/>
      <c r="AA195" s="346"/>
      <c r="AB195" s="346"/>
      <c r="AC195" s="346"/>
      <c r="AD195" s="346"/>
      <c r="AE195" s="346"/>
      <c r="AF195" s="346"/>
      <c r="AG195" s="346"/>
      <c r="AH195" s="346"/>
      <c r="AI195" s="346"/>
      <c r="AJ195" s="346"/>
      <c r="AK195" s="346"/>
      <c r="AL195" s="346"/>
      <c r="AM195" s="346"/>
      <c r="AN195" s="346"/>
      <c r="AO195" s="346"/>
      <c r="AP195" s="346"/>
      <c r="AQ195" s="346"/>
      <c r="AR195" s="346"/>
      <c r="AS195" s="346"/>
      <c r="AT195" s="346"/>
      <c r="AU195" s="346"/>
      <c r="AV195" s="346"/>
      <c r="AW195" s="346"/>
      <c r="AX195" s="346"/>
      <c r="AY195" s="346"/>
      <c r="AZ195" s="346"/>
      <c r="BA195" s="346"/>
      <c r="BB195" s="346"/>
      <c r="BC195" s="346"/>
      <c r="BD195" s="346"/>
      <c r="BE195" s="346"/>
      <c r="BF195" s="346"/>
      <c r="BG195" s="346"/>
      <c r="BH195" s="346"/>
      <c r="BI195" s="346"/>
      <c r="BJ195" s="346"/>
      <c r="BK195" s="346"/>
      <c r="BL195" s="346"/>
      <c r="BM195" s="346"/>
      <c r="BN195" s="346"/>
      <c r="BO195" s="346"/>
      <c r="BP195" s="346"/>
      <c r="BQ195" s="346"/>
      <c r="BR195" s="346"/>
      <c r="BS195" s="346"/>
      <c r="BT195" s="346"/>
      <c r="BU195" s="346"/>
      <c r="BV195" s="346"/>
      <c r="BW195" s="346"/>
      <c r="BX195" s="346"/>
      <c r="BY195" s="346"/>
      <c r="BZ195" s="346"/>
      <c r="CA195" s="346"/>
      <c r="CB195" s="346"/>
      <c r="CC195" s="346"/>
      <c r="CD195" s="346"/>
      <c r="CE195" s="346"/>
      <c r="CF195" s="346"/>
      <c r="CG195" s="346"/>
      <c r="CH195" s="346"/>
      <c r="CI195" s="346"/>
      <c r="CJ195" s="346"/>
      <c r="CK195" s="346"/>
      <c r="CL195" s="346"/>
      <c r="CM195" s="346"/>
      <c r="CN195" s="346"/>
      <c r="CO195" s="346"/>
      <c r="CP195" s="346"/>
      <c r="CQ195" s="346"/>
      <c r="CR195" s="346"/>
      <c r="CS195" s="346"/>
      <c r="CT195" s="346"/>
      <c r="CU195" s="346"/>
      <c r="CV195" s="346"/>
      <c r="CW195" s="346"/>
      <c r="CX195" s="346"/>
      <c r="CY195" s="346"/>
      <c r="CZ195" s="346"/>
      <c r="DA195" s="346"/>
      <c r="DB195" s="346"/>
      <c r="DC195" s="346"/>
      <c r="DD195" s="346"/>
      <c r="DE195" s="346"/>
      <c r="DF195" s="346"/>
      <c r="DG195" s="346"/>
      <c r="DH195" s="346"/>
      <c r="DI195" s="346"/>
      <c r="DJ195" s="346"/>
    </row>
    <row r="196" spans="1:114" x14ac:dyDescent="0.25">
      <c r="A196" s="339"/>
      <c r="B196" s="340" t="s">
        <v>1155</v>
      </c>
      <c r="C196" s="341">
        <v>1500</v>
      </c>
      <c r="D196" s="342"/>
      <c r="E196" s="343"/>
      <c r="F196" s="343"/>
      <c r="G196" s="345"/>
      <c r="H196" s="346"/>
      <c r="I196" s="345"/>
      <c r="J196" s="345"/>
      <c r="K196" s="347"/>
      <c r="L196" s="297"/>
      <c r="M196" s="297"/>
      <c r="N196" s="314">
        <f t="shared" si="40"/>
        <v>3196</v>
      </c>
      <c r="O196" s="390">
        <v>1600</v>
      </c>
      <c r="P196" s="350">
        <v>1596</v>
      </c>
      <c r="Q196" s="349"/>
      <c r="R196" s="349"/>
      <c r="S196" s="349"/>
      <c r="T196" s="346"/>
      <c r="U196" s="346"/>
      <c r="V196" s="346"/>
      <c r="W196" s="346"/>
      <c r="X196" s="346"/>
      <c r="Y196" s="346"/>
      <c r="Z196" s="346"/>
      <c r="AA196" s="346"/>
      <c r="AB196" s="346"/>
      <c r="AC196" s="346"/>
      <c r="AD196" s="346"/>
      <c r="AE196" s="346"/>
      <c r="AF196" s="346"/>
      <c r="AG196" s="346"/>
      <c r="AH196" s="346"/>
      <c r="AI196" s="346"/>
      <c r="AJ196" s="346"/>
      <c r="AK196" s="346"/>
      <c r="AL196" s="346"/>
      <c r="AM196" s="346"/>
      <c r="AN196" s="346"/>
      <c r="AO196" s="346"/>
      <c r="AP196" s="346"/>
      <c r="AQ196" s="346"/>
      <c r="AR196" s="346"/>
      <c r="AS196" s="346"/>
      <c r="AT196" s="346"/>
      <c r="AU196" s="346"/>
      <c r="AV196" s="346"/>
      <c r="AW196" s="346"/>
      <c r="AX196" s="346"/>
      <c r="AY196" s="346"/>
      <c r="AZ196" s="346"/>
      <c r="BA196" s="346"/>
      <c r="BB196" s="346"/>
      <c r="BC196" s="346"/>
      <c r="BD196" s="346"/>
      <c r="BE196" s="346"/>
      <c r="BF196" s="346"/>
      <c r="BG196" s="346"/>
      <c r="BH196" s="346"/>
      <c r="BI196" s="346"/>
      <c r="BJ196" s="346"/>
      <c r="BK196" s="346"/>
      <c r="BL196" s="346"/>
      <c r="BM196" s="346"/>
      <c r="BN196" s="346"/>
      <c r="BO196" s="346"/>
      <c r="BP196" s="346"/>
      <c r="BQ196" s="346"/>
      <c r="BR196" s="346"/>
      <c r="BS196" s="346"/>
      <c r="BT196" s="346"/>
      <c r="BU196" s="346"/>
      <c r="BV196" s="346"/>
      <c r="BW196" s="346"/>
      <c r="BX196" s="346"/>
      <c r="BY196" s="346"/>
      <c r="BZ196" s="346"/>
      <c r="CA196" s="346"/>
      <c r="CB196" s="346"/>
      <c r="CC196" s="346"/>
      <c r="CD196" s="346"/>
      <c r="CE196" s="346"/>
      <c r="CF196" s="346"/>
      <c r="CG196" s="346"/>
      <c r="CH196" s="346"/>
      <c r="CI196" s="346"/>
      <c r="CJ196" s="346"/>
      <c r="CK196" s="346"/>
      <c r="CL196" s="346"/>
      <c r="CM196" s="346"/>
      <c r="CN196" s="346"/>
      <c r="CO196" s="346"/>
      <c r="CP196" s="346"/>
      <c r="CQ196" s="346"/>
      <c r="CR196" s="346"/>
      <c r="CS196" s="346"/>
      <c r="CT196" s="346"/>
      <c r="CU196" s="346"/>
      <c r="CV196" s="346"/>
      <c r="CW196" s="346"/>
      <c r="CX196" s="346"/>
      <c r="CY196" s="346"/>
      <c r="CZ196" s="346"/>
      <c r="DA196" s="346"/>
      <c r="DB196" s="346"/>
      <c r="DC196" s="346"/>
      <c r="DD196" s="346"/>
      <c r="DE196" s="346"/>
      <c r="DF196" s="346"/>
      <c r="DG196" s="346"/>
      <c r="DH196" s="346"/>
      <c r="DI196" s="346"/>
      <c r="DJ196" s="346"/>
    </row>
    <row r="197" spans="1:114" x14ac:dyDescent="0.25">
      <c r="A197" s="339"/>
      <c r="B197" s="340"/>
      <c r="C197" s="341"/>
      <c r="D197" s="342"/>
      <c r="E197" s="343"/>
      <c r="F197" s="343"/>
      <c r="G197" s="345"/>
      <c r="H197" s="346"/>
      <c r="I197" s="345"/>
      <c r="J197" s="345"/>
      <c r="K197" s="347"/>
      <c r="L197" s="297"/>
      <c r="M197" s="297"/>
      <c r="N197" s="348"/>
      <c r="O197" s="390" t="s">
        <v>1009</v>
      </c>
      <c r="P197" s="350"/>
      <c r="Q197" s="349"/>
      <c r="R197" s="349"/>
      <c r="S197" s="349"/>
      <c r="T197" s="346"/>
      <c r="U197" s="346"/>
      <c r="V197" s="346"/>
      <c r="W197" s="346"/>
      <c r="X197" s="346"/>
      <c r="Y197" s="346"/>
      <c r="Z197" s="346"/>
      <c r="AA197" s="346"/>
      <c r="AB197" s="346"/>
      <c r="AC197" s="346"/>
      <c r="AD197" s="346"/>
      <c r="AE197" s="346"/>
      <c r="AF197" s="346"/>
      <c r="AG197" s="346"/>
      <c r="AH197" s="346"/>
      <c r="AI197" s="346"/>
      <c r="AJ197" s="346"/>
      <c r="AK197" s="346"/>
      <c r="AL197" s="346"/>
      <c r="AM197" s="346"/>
      <c r="AN197" s="346"/>
      <c r="AO197" s="346"/>
      <c r="AP197" s="346"/>
      <c r="AQ197" s="346"/>
      <c r="AR197" s="346"/>
      <c r="AS197" s="346"/>
      <c r="AT197" s="346"/>
      <c r="AU197" s="346"/>
      <c r="AV197" s="346"/>
      <c r="AW197" s="346"/>
      <c r="AX197" s="346"/>
      <c r="AY197" s="346"/>
      <c r="AZ197" s="346"/>
      <c r="BA197" s="346"/>
      <c r="BB197" s="346"/>
      <c r="BC197" s="346"/>
      <c r="BD197" s="346"/>
      <c r="BE197" s="346"/>
      <c r="BF197" s="346"/>
      <c r="BG197" s="346"/>
      <c r="BH197" s="346"/>
      <c r="BI197" s="346"/>
      <c r="BJ197" s="346"/>
      <c r="BK197" s="346"/>
      <c r="BL197" s="346"/>
      <c r="BM197" s="346"/>
      <c r="BN197" s="346"/>
      <c r="BO197" s="346"/>
      <c r="BP197" s="346"/>
      <c r="BQ197" s="346"/>
      <c r="BR197" s="346"/>
      <c r="BS197" s="346"/>
      <c r="BT197" s="346"/>
      <c r="BU197" s="346"/>
      <c r="BV197" s="346"/>
      <c r="BW197" s="346"/>
      <c r="BX197" s="346"/>
      <c r="BY197" s="346"/>
      <c r="BZ197" s="346"/>
      <c r="CA197" s="346"/>
      <c r="CB197" s="346"/>
      <c r="CC197" s="346"/>
      <c r="CD197" s="346"/>
      <c r="CE197" s="346"/>
      <c r="CF197" s="346"/>
      <c r="CG197" s="346"/>
      <c r="CH197" s="346"/>
      <c r="CI197" s="346"/>
      <c r="CJ197" s="346"/>
      <c r="CK197" s="346"/>
      <c r="CL197" s="346"/>
      <c r="CM197" s="346"/>
      <c r="CN197" s="346"/>
      <c r="CO197" s="346"/>
      <c r="CP197" s="346"/>
      <c r="CQ197" s="346"/>
      <c r="CR197" s="346"/>
      <c r="CS197" s="346"/>
      <c r="CT197" s="346"/>
      <c r="CU197" s="346"/>
      <c r="CV197" s="346"/>
      <c r="CW197" s="346"/>
      <c r="CX197" s="346"/>
      <c r="CY197" s="346"/>
      <c r="CZ197" s="346"/>
      <c r="DA197" s="346"/>
      <c r="DB197" s="346"/>
      <c r="DC197" s="346"/>
      <c r="DD197" s="346"/>
      <c r="DE197" s="346"/>
      <c r="DF197" s="346"/>
      <c r="DG197" s="346"/>
      <c r="DH197" s="346"/>
      <c r="DI197" s="346"/>
      <c r="DJ197" s="346"/>
    </row>
    <row r="198" spans="1:114" x14ac:dyDescent="0.25">
      <c r="A198" s="339"/>
      <c r="B198" s="340" t="s">
        <v>1156</v>
      </c>
      <c r="C198" s="341">
        <v>2500</v>
      </c>
      <c r="D198" s="342"/>
      <c r="E198" s="343"/>
      <c r="F198" s="343"/>
      <c r="G198" s="345"/>
      <c r="H198" s="346"/>
      <c r="I198" s="345"/>
      <c r="J198" s="345"/>
      <c r="K198" s="347"/>
      <c r="L198" s="297"/>
      <c r="M198" s="297"/>
      <c r="N198" s="314">
        <f t="shared" si="40"/>
        <v>1200</v>
      </c>
      <c r="O198" s="390">
        <v>1200</v>
      </c>
      <c r="P198" s="350"/>
      <c r="Q198" s="349"/>
      <c r="R198" s="349"/>
      <c r="S198" s="349"/>
      <c r="T198" s="346"/>
      <c r="U198" s="346"/>
      <c r="V198" s="346"/>
      <c r="W198" s="346"/>
      <c r="X198" s="346"/>
      <c r="Y198" s="346"/>
      <c r="Z198" s="346"/>
      <c r="AA198" s="346"/>
      <c r="AB198" s="346"/>
      <c r="AC198" s="346"/>
      <c r="AD198" s="346"/>
      <c r="AE198" s="346"/>
      <c r="AF198" s="346"/>
      <c r="AG198" s="346"/>
      <c r="AH198" s="346"/>
      <c r="AI198" s="346"/>
      <c r="AJ198" s="346"/>
      <c r="AK198" s="346"/>
      <c r="AL198" s="346"/>
      <c r="AM198" s="346"/>
      <c r="AN198" s="346"/>
      <c r="AO198" s="346"/>
      <c r="AP198" s="346"/>
      <c r="AQ198" s="346"/>
      <c r="AR198" s="346"/>
      <c r="AS198" s="346"/>
      <c r="AT198" s="346"/>
      <c r="AU198" s="346"/>
      <c r="AV198" s="346"/>
      <c r="AW198" s="346"/>
      <c r="AX198" s="346"/>
      <c r="AY198" s="346"/>
      <c r="AZ198" s="346"/>
      <c r="BA198" s="346"/>
      <c r="BB198" s="346"/>
      <c r="BC198" s="346"/>
      <c r="BD198" s="346"/>
      <c r="BE198" s="346"/>
      <c r="BF198" s="346"/>
      <c r="BG198" s="346"/>
      <c r="BH198" s="346"/>
      <c r="BI198" s="346"/>
      <c r="BJ198" s="346"/>
      <c r="BK198" s="346"/>
      <c r="BL198" s="346"/>
      <c r="BM198" s="346"/>
      <c r="BN198" s="346"/>
      <c r="BO198" s="346"/>
      <c r="BP198" s="346"/>
      <c r="BQ198" s="346"/>
      <c r="BR198" s="346"/>
      <c r="BS198" s="346"/>
      <c r="BT198" s="346"/>
      <c r="BU198" s="346"/>
      <c r="BV198" s="346"/>
      <c r="BW198" s="346"/>
      <c r="BX198" s="346"/>
      <c r="BY198" s="346"/>
      <c r="BZ198" s="346"/>
      <c r="CA198" s="346"/>
      <c r="CB198" s="346"/>
      <c r="CC198" s="346"/>
      <c r="CD198" s="346"/>
      <c r="CE198" s="346"/>
      <c r="CF198" s="346"/>
      <c r="CG198" s="346"/>
      <c r="CH198" s="346"/>
      <c r="CI198" s="346"/>
      <c r="CJ198" s="346"/>
      <c r="CK198" s="346"/>
      <c r="CL198" s="346"/>
      <c r="CM198" s="346"/>
      <c r="CN198" s="346"/>
      <c r="CO198" s="346"/>
      <c r="CP198" s="346"/>
      <c r="CQ198" s="346"/>
      <c r="CR198" s="346"/>
      <c r="CS198" s="346"/>
      <c r="CT198" s="346"/>
      <c r="CU198" s="346"/>
      <c r="CV198" s="346"/>
      <c r="CW198" s="346"/>
      <c r="CX198" s="346"/>
      <c r="CY198" s="346"/>
      <c r="CZ198" s="346"/>
      <c r="DA198" s="346"/>
      <c r="DB198" s="346"/>
      <c r="DC198" s="346"/>
      <c r="DD198" s="346"/>
      <c r="DE198" s="346"/>
      <c r="DF198" s="346"/>
      <c r="DG198" s="346"/>
      <c r="DH198" s="346"/>
      <c r="DI198" s="346"/>
      <c r="DJ198" s="346"/>
    </row>
    <row r="199" spans="1:114" x14ac:dyDescent="0.25">
      <c r="A199" s="339"/>
      <c r="B199" s="340"/>
      <c r="C199" s="341"/>
      <c r="D199" s="342"/>
      <c r="E199" s="343"/>
      <c r="F199" s="343"/>
      <c r="G199" s="345"/>
      <c r="H199" s="346"/>
      <c r="I199" s="345"/>
      <c r="J199" s="345"/>
      <c r="K199" s="347"/>
      <c r="L199" s="297"/>
      <c r="M199" s="297"/>
      <c r="N199" s="348"/>
      <c r="O199" s="390" t="s">
        <v>1158</v>
      </c>
      <c r="P199" s="350" t="s">
        <v>1009</v>
      </c>
      <c r="Q199" s="349"/>
      <c r="R199" s="349"/>
      <c r="S199" s="349"/>
      <c r="T199" s="346"/>
      <c r="U199" s="346"/>
      <c r="V199" s="346"/>
      <c r="W199" s="346"/>
      <c r="X199" s="346"/>
      <c r="Y199" s="346"/>
      <c r="Z199" s="346"/>
      <c r="AA199" s="346"/>
      <c r="AB199" s="346"/>
      <c r="AC199" s="346"/>
      <c r="AD199" s="346"/>
      <c r="AE199" s="346"/>
      <c r="AF199" s="346"/>
      <c r="AG199" s="346"/>
      <c r="AH199" s="346"/>
      <c r="AI199" s="346"/>
      <c r="AJ199" s="346"/>
      <c r="AK199" s="346"/>
      <c r="AL199" s="346"/>
      <c r="AM199" s="346"/>
      <c r="AN199" s="346"/>
      <c r="AO199" s="346"/>
      <c r="AP199" s="346"/>
      <c r="AQ199" s="346"/>
      <c r="AR199" s="346"/>
      <c r="AS199" s="346"/>
      <c r="AT199" s="346"/>
      <c r="AU199" s="346"/>
      <c r="AV199" s="346"/>
      <c r="AW199" s="346"/>
      <c r="AX199" s="346"/>
      <c r="AY199" s="346"/>
      <c r="AZ199" s="346"/>
      <c r="BA199" s="346"/>
      <c r="BB199" s="346"/>
      <c r="BC199" s="346"/>
      <c r="BD199" s="346"/>
      <c r="BE199" s="346"/>
      <c r="BF199" s="346"/>
      <c r="BG199" s="346"/>
      <c r="BH199" s="346"/>
      <c r="BI199" s="346"/>
      <c r="BJ199" s="346"/>
      <c r="BK199" s="346"/>
      <c r="BL199" s="346"/>
      <c r="BM199" s="346"/>
      <c r="BN199" s="346"/>
      <c r="BO199" s="346"/>
      <c r="BP199" s="346"/>
      <c r="BQ199" s="346"/>
      <c r="BR199" s="346"/>
      <c r="BS199" s="346"/>
      <c r="BT199" s="346"/>
      <c r="BU199" s="346"/>
      <c r="BV199" s="346"/>
      <c r="BW199" s="346"/>
      <c r="BX199" s="346"/>
      <c r="BY199" s="346"/>
      <c r="BZ199" s="346"/>
      <c r="CA199" s="346"/>
      <c r="CB199" s="346"/>
      <c r="CC199" s="346"/>
      <c r="CD199" s="346"/>
      <c r="CE199" s="346"/>
      <c r="CF199" s="346"/>
      <c r="CG199" s="346"/>
      <c r="CH199" s="346"/>
      <c r="CI199" s="346"/>
      <c r="CJ199" s="346"/>
      <c r="CK199" s="346"/>
      <c r="CL199" s="346"/>
      <c r="CM199" s="346"/>
      <c r="CN199" s="346"/>
      <c r="CO199" s="346"/>
      <c r="CP199" s="346"/>
      <c r="CQ199" s="346"/>
      <c r="CR199" s="346"/>
      <c r="CS199" s="346"/>
      <c r="CT199" s="346"/>
      <c r="CU199" s="346"/>
      <c r="CV199" s="346"/>
      <c r="CW199" s="346"/>
      <c r="CX199" s="346"/>
      <c r="CY199" s="346"/>
      <c r="CZ199" s="346"/>
      <c r="DA199" s="346"/>
      <c r="DB199" s="346"/>
      <c r="DC199" s="346"/>
      <c r="DD199" s="346"/>
      <c r="DE199" s="346"/>
      <c r="DF199" s="346"/>
      <c r="DG199" s="346"/>
      <c r="DH199" s="346"/>
      <c r="DI199" s="346"/>
      <c r="DJ199" s="346"/>
    </row>
    <row r="200" spans="1:114" x14ac:dyDescent="0.25">
      <c r="A200" s="339"/>
      <c r="B200" s="340" t="s">
        <v>1157</v>
      </c>
      <c r="C200" s="341">
        <v>1500</v>
      </c>
      <c r="D200" s="342"/>
      <c r="E200" s="343"/>
      <c r="F200" s="343"/>
      <c r="G200" s="345"/>
      <c r="H200" s="346"/>
      <c r="I200" s="345"/>
      <c r="J200" s="345"/>
      <c r="K200" s="347"/>
      <c r="L200" s="297"/>
      <c r="M200" s="297"/>
      <c r="N200" s="314">
        <f t="shared" si="40"/>
        <v>4768</v>
      </c>
      <c r="O200" s="390">
        <v>2384</v>
      </c>
      <c r="P200" s="350">
        <v>2384</v>
      </c>
      <c r="Q200" s="349"/>
      <c r="R200" s="349"/>
      <c r="S200" s="349"/>
      <c r="T200" s="346"/>
      <c r="U200" s="346"/>
      <c r="V200" s="346"/>
      <c r="W200" s="346"/>
      <c r="X200" s="346"/>
      <c r="Y200" s="346"/>
      <c r="Z200" s="346"/>
      <c r="AA200" s="346"/>
      <c r="AB200" s="346"/>
      <c r="AC200" s="346"/>
      <c r="AD200" s="346"/>
      <c r="AE200" s="346"/>
      <c r="AF200" s="346"/>
      <c r="AG200" s="346"/>
      <c r="AH200" s="346"/>
      <c r="AI200" s="346"/>
      <c r="AJ200" s="346"/>
      <c r="AK200" s="346"/>
      <c r="AL200" s="346"/>
      <c r="AM200" s="346"/>
      <c r="AN200" s="346"/>
      <c r="AO200" s="346"/>
      <c r="AP200" s="346"/>
      <c r="AQ200" s="346"/>
      <c r="AR200" s="346"/>
      <c r="AS200" s="346"/>
      <c r="AT200" s="346"/>
      <c r="AU200" s="346"/>
      <c r="AV200" s="346"/>
      <c r="AW200" s="346"/>
      <c r="AX200" s="346"/>
      <c r="AY200" s="346"/>
      <c r="AZ200" s="346"/>
      <c r="BA200" s="346"/>
      <c r="BB200" s="346"/>
      <c r="BC200" s="346"/>
      <c r="BD200" s="346"/>
      <c r="BE200" s="346"/>
      <c r="BF200" s="346"/>
      <c r="BG200" s="346"/>
      <c r="BH200" s="346"/>
      <c r="BI200" s="346"/>
      <c r="BJ200" s="346"/>
      <c r="BK200" s="346"/>
      <c r="BL200" s="346"/>
      <c r="BM200" s="346"/>
      <c r="BN200" s="346"/>
      <c r="BO200" s="346"/>
      <c r="BP200" s="346"/>
      <c r="BQ200" s="346"/>
      <c r="BR200" s="346"/>
      <c r="BS200" s="346"/>
      <c r="BT200" s="346"/>
      <c r="BU200" s="346"/>
      <c r="BV200" s="346"/>
      <c r="BW200" s="346"/>
      <c r="BX200" s="346"/>
      <c r="BY200" s="346"/>
      <c r="BZ200" s="346"/>
      <c r="CA200" s="346"/>
      <c r="CB200" s="346"/>
      <c r="CC200" s="346"/>
      <c r="CD200" s="346"/>
      <c r="CE200" s="346"/>
      <c r="CF200" s="346"/>
      <c r="CG200" s="346"/>
      <c r="CH200" s="346"/>
      <c r="CI200" s="346"/>
      <c r="CJ200" s="346"/>
      <c r="CK200" s="346"/>
      <c r="CL200" s="346"/>
      <c r="CM200" s="346"/>
      <c r="CN200" s="346"/>
      <c r="CO200" s="346"/>
      <c r="CP200" s="346"/>
      <c r="CQ200" s="346"/>
      <c r="CR200" s="346"/>
      <c r="CS200" s="346"/>
      <c r="CT200" s="346"/>
      <c r="CU200" s="346"/>
      <c r="CV200" s="346"/>
      <c r="CW200" s="346"/>
      <c r="CX200" s="346"/>
      <c r="CY200" s="346"/>
      <c r="CZ200" s="346"/>
      <c r="DA200" s="346"/>
      <c r="DB200" s="346"/>
      <c r="DC200" s="346"/>
      <c r="DD200" s="346"/>
      <c r="DE200" s="346"/>
      <c r="DF200" s="346"/>
      <c r="DG200" s="346"/>
      <c r="DH200" s="346"/>
      <c r="DI200" s="346"/>
      <c r="DJ200" s="346"/>
    </row>
    <row r="201" spans="1:114" x14ac:dyDescent="0.25">
      <c r="A201" s="339"/>
      <c r="B201" s="340"/>
      <c r="C201" s="341"/>
      <c r="D201" s="342"/>
      <c r="E201" s="343"/>
      <c r="F201" s="343"/>
      <c r="G201" s="345"/>
      <c r="H201" s="346"/>
      <c r="I201" s="345"/>
      <c r="J201" s="345"/>
      <c r="K201" s="347"/>
      <c r="L201" s="297"/>
      <c r="M201" s="297"/>
      <c r="N201" s="348"/>
      <c r="O201" s="390" t="s">
        <v>1009</v>
      </c>
      <c r="P201" s="350" t="s">
        <v>1146</v>
      </c>
      <c r="Q201" s="349"/>
      <c r="R201" s="349"/>
      <c r="S201" s="349"/>
      <c r="T201" s="346"/>
      <c r="U201" s="346"/>
      <c r="V201" s="346"/>
      <c r="W201" s="346"/>
      <c r="X201" s="346"/>
      <c r="Y201" s="346"/>
      <c r="Z201" s="346"/>
      <c r="AA201" s="346"/>
      <c r="AB201" s="346"/>
      <c r="AC201" s="346"/>
      <c r="AD201" s="346"/>
      <c r="AE201" s="346"/>
      <c r="AF201" s="346"/>
      <c r="AG201" s="346"/>
      <c r="AH201" s="346"/>
      <c r="AI201" s="346"/>
      <c r="AJ201" s="346"/>
      <c r="AK201" s="346"/>
      <c r="AL201" s="346"/>
      <c r="AM201" s="346"/>
      <c r="AN201" s="346"/>
      <c r="AO201" s="346"/>
      <c r="AP201" s="346"/>
      <c r="AQ201" s="346"/>
      <c r="AR201" s="346"/>
      <c r="AS201" s="346"/>
      <c r="AT201" s="346"/>
      <c r="AU201" s="346"/>
      <c r="AV201" s="346"/>
      <c r="AW201" s="346"/>
      <c r="AX201" s="346"/>
      <c r="AY201" s="346"/>
      <c r="AZ201" s="346"/>
      <c r="BA201" s="346"/>
      <c r="BB201" s="346"/>
      <c r="BC201" s="346"/>
      <c r="BD201" s="346"/>
      <c r="BE201" s="346"/>
      <c r="BF201" s="346"/>
      <c r="BG201" s="346"/>
      <c r="BH201" s="346"/>
      <c r="BI201" s="346"/>
      <c r="BJ201" s="346"/>
      <c r="BK201" s="346"/>
      <c r="BL201" s="346"/>
      <c r="BM201" s="346"/>
      <c r="BN201" s="346"/>
      <c r="BO201" s="346"/>
      <c r="BP201" s="346"/>
      <c r="BQ201" s="346"/>
      <c r="BR201" s="346"/>
      <c r="BS201" s="346"/>
      <c r="BT201" s="346"/>
      <c r="BU201" s="346"/>
      <c r="BV201" s="346"/>
      <c r="BW201" s="346"/>
      <c r="BX201" s="346"/>
      <c r="BY201" s="346"/>
      <c r="BZ201" s="346"/>
      <c r="CA201" s="346"/>
      <c r="CB201" s="346"/>
      <c r="CC201" s="346"/>
      <c r="CD201" s="346"/>
      <c r="CE201" s="346"/>
      <c r="CF201" s="346"/>
      <c r="CG201" s="346"/>
      <c r="CH201" s="346"/>
      <c r="CI201" s="346"/>
      <c r="CJ201" s="346"/>
      <c r="CK201" s="346"/>
      <c r="CL201" s="346"/>
      <c r="CM201" s="346"/>
      <c r="CN201" s="346"/>
      <c r="CO201" s="346"/>
      <c r="CP201" s="346"/>
      <c r="CQ201" s="346"/>
      <c r="CR201" s="346"/>
      <c r="CS201" s="346"/>
      <c r="CT201" s="346"/>
      <c r="CU201" s="346"/>
      <c r="CV201" s="346"/>
      <c r="CW201" s="346"/>
      <c r="CX201" s="346"/>
      <c r="CY201" s="346"/>
      <c r="CZ201" s="346"/>
      <c r="DA201" s="346"/>
      <c r="DB201" s="346"/>
      <c r="DC201" s="346"/>
      <c r="DD201" s="346"/>
      <c r="DE201" s="346"/>
      <c r="DF201" s="346"/>
      <c r="DG201" s="346"/>
      <c r="DH201" s="346"/>
      <c r="DI201" s="346"/>
      <c r="DJ201" s="346"/>
    </row>
    <row r="202" spans="1:114" x14ac:dyDescent="0.25">
      <c r="A202" s="339"/>
      <c r="B202" s="340" t="s">
        <v>50</v>
      </c>
      <c r="C202" s="341">
        <v>1500</v>
      </c>
      <c r="D202" s="342"/>
      <c r="E202" s="343"/>
      <c r="F202" s="343"/>
      <c r="G202" s="345"/>
      <c r="H202" s="346"/>
      <c r="I202" s="345"/>
      <c r="J202" s="345"/>
      <c r="K202" s="347"/>
      <c r="L202" s="297"/>
      <c r="M202" s="297"/>
      <c r="N202" s="314">
        <f t="shared" si="40"/>
        <v>2342</v>
      </c>
      <c r="O202" s="390">
        <v>1800</v>
      </c>
      <c r="P202" s="350">
        <v>542</v>
      </c>
      <c r="Q202" s="349"/>
      <c r="R202" s="349"/>
      <c r="S202" s="349"/>
      <c r="T202" s="346"/>
      <c r="U202" s="346"/>
      <c r="V202" s="346"/>
      <c r="W202" s="346"/>
      <c r="X202" s="346"/>
      <c r="Y202" s="346"/>
      <c r="Z202" s="346"/>
      <c r="AA202" s="346"/>
      <c r="AB202" s="346"/>
      <c r="AC202" s="346"/>
      <c r="AD202" s="346"/>
      <c r="AE202" s="346"/>
      <c r="AF202" s="346"/>
      <c r="AG202" s="346"/>
      <c r="AH202" s="346"/>
      <c r="AI202" s="346"/>
      <c r="AJ202" s="346"/>
      <c r="AK202" s="346"/>
      <c r="AL202" s="346"/>
      <c r="AM202" s="346"/>
      <c r="AN202" s="346"/>
      <c r="AO202" s="346"/>
      <c r="AP202" s="346"/>
      <c r="AQ202" s="346"/>
      <c r="AR202" s="346"/>
      <c r="AS202" s="346"/>
      <c r="AT202" s="346"/>
      <c r="AU202" s="346"/>
      <c r="AV202" s="346"/>
      <c r="AW202" s="346"/>
      <c r="AX202" s="346"/>
      <c r="AY202" s="346"/>
      <c r="AZ202" s="346"/>
      <c r="BA202" s="346"/>
      <c r="BB202" s="346"/>
      <c r="BC202" s="346"/>
      <c r="BD202" s="346"/>
      <c r="BE202" s="346"/>
      <c r="BF202" s="346"/>
      <c r="BG202" s="346"/>
      <c r="BH202" s="346"/>
      <c r="BI202" s="346"/>
      <c r="BJ202" s="346"/>
      <c r="BK202" s="346"/>
      <c r="BL202" s="346"/>
      <c r="BM202" s="346"/>
      <c r="BN202" s="346"/>
      <c r="BO202" s="346"/>
      <c r="BP202" s="346"/>
      <c r="BQ202" s="346"/>
      <c r="BR202" s="346"/>
      <c r="BS202" s="346"/>
      <c r="BT202" s="346"/>
      <c r="BU202" s="346"/>
      <c r="BV202" s="346"/>
      <c r="BW202" s="346"/>
      <c r="BX202" s="346"/>
      <c r="BY202" s="346"/>
      <c r="BZ202" s="346"/>
      <c r="CA202" s="346"/>
      <c r="CB202" s="346"/>
      <c r="CC202" s="346"/>
      <c r="CD202" s="346"/>
      <c r="CE202" s="346"/>
      <c r="CF202" s="346"/>
      <c r="CG202" s="346"/>
      <c r="CH202" s="346"/>
      <c r="CI202" s="346"/>
      <c r="CJ202" s="346"/>
      <c r="CK202" s="346"/>
      <c r="CL202" s="346"/>
      <c r="CM202" s="346"/>
      <c r="CN202" s="346"/>
      <c r="CO202" s="346"/>
      <c r="CP202" s="346"/>
      <c r="CQ202" s="346"/>
      <c r="CR202" s="346"/>
      <c r="CS202" s="346"/>
      <c r="CT202" s="346"/>
      <c r="CU202" s="346"/>
      <c r="CV202" s="346"/>
      <c r="CW202" s="346"/>
      <c r="CX202" s="346"/>
      <c r="CY202" s="346"/>
      <c r="CZ202" s="346"/>
      <c r="DA202" s="346"/>
      <c r="DB202" s="346"/>
      <c r="DC202" s="346"/>
      <c r="DD202" s="346"/>
      <c r="DE202" s="346"/>
      <c r="DF202" s="346"/>
      <c r="DG202" s="346"/>
      <c r="DH202" s="346"/>
      <c r="DI202" s="346"/>
      <c r="DJ202" s="346"/>
    </row>
    <row r="203" spans="1:114" x14ac:dyDescent="0.25">
      <c r="A203" s="339"/>
      <c r="B203" s="340"/>
      <c r="C203" s="341"/>
      <c r="D203" s="342"/>
      <c r="E203" s="343"/>
      <c r="F203" s="343"/>
      <c r="G203" s="345"/>
      <c r="H203" s="346"/>
      <c r="I203" s="345"/>
      <c r="J203" s="345"/>
      <c r="K203" s="347"/>
      <c r="L203" s="297"/>
      <c r="M203" s="297"/>
      <c r="N203" s="348"/>
      <c r="O203" s="390" t="s">
        <v>1009</v>
      </c>
      <c r="P203" s="350" t="s">
        <v>1146</v>
      </c>
      <c r="Q203" s="349"/>
      <c r="R203" s="349"/>
      <c r="S203" s="349"/>
      <c r="T203" s="346"/>
      <c r="U203" s="346"/>
      <c r="V203" s="346"/>
      <c r="W203" s="346"/>
      <c r="X203" s="346"/>
      <c r="Y203" s="346"/>
      <c r="Z203" s="346"/>
      <c r="AA203" s="346"/>
      <c r="AB203" s="346"/>
      <c r="AC203" s="346"/>
      <c r="AD203" s="346"/>
      <c r="AE203" s="346"/>
      <c r="AF203" s="346"/>
      <c r="AG203" s="346"/>
      <c r="AH203" s="346"/>
      <c r="AI203" s="346"/>
      <c r="AJ203" s="346"/>
      <c r="AK203" s="346"/>
      <c r="AL203" s="346"/>
      <c r="AM203" s="346"/>
      <c r="AN203" s="346"/>
      <c r="AO203" s="346"/>
      <c r="AP203" s="346"/>
      <c r="AQ203" s="346"/>
      <c r="AR203" s="346"/>
      <c r="AS203" s="346"/>
      <c r="AT203" s="346"/>
      <c r="AU203" s="346"/>
      <c r="AV203" s="346"/>
      <c r="AW203" s="346"/>
      <c r="AX203" s="346"/>
      <c r="AY203" s="346"/>
      <c r="AZ203" s="346"/>
      <c r="BA203" s="346"/>
      <c r="BB203" s="346"/>
      <c r="BC203" s="346"/>
      <c r="BD203" s="346"/>
      <c r="BE203" s="346"/>
      <c r="BF203" s="346"/>
      <c r="BG203" s="346"/>
      <c r="BH203" s="346"/>
      <c r="BI203" s="346"/>
      <c r="BJ203" s="346"/>
      <c r="BK203" s="346"/>
      <c r="BL203" s="346"/>
      <c r="BM203" s="346"/>
      <c r="BN203" s="346"/>
      <c r="BO203" s="346"/>
      <c r="BP203" s="346"/>
      <c r="BQ203" s="346"/>
      <c r="BR203" s="346"/>
      <c r="BS203" s="346"/>
      <c r="BT203" s="346"/>
      <c r="BU203" s="346"/>
      <c r="BV203" s="346"/>
      <c r="BW203" s="346"/>
      <c r="BX203" s="346"/>
      <c r="BY203" s="346"/>
      <c r="BZ203" s="346"/>
      <c r="CA203" s="346"/>
      <c r="CB203" s="346"/>
      <c r="CC203" s="346"/>
      <c r="CD203" s="346"/>
      <c r="CE203" s="346"/>
      <c r="CF203" s="346"/>
      <c r="CG203" s="346"/>
      <c r="CH203" s="346"/>
      <c r="CI203" s="346"/>
      <c r="CJ203" s="346"/>
      <c r="CK203" s="346"/>
      <c r="CL203" s="346"/>
      <c r="CM203" s="346"/>
      <c r="CN203" s="346"/>
      <c r="CO203" s="346"/>
      <c r="CP203" s="346"/>
      <c r="CQ203" s="346"/>
      <c r="CR203" s="346"/>
      <c r="CS203" s="346"/>
      <c r="CT203" s="346"/>
      <c r="CU203" s="346"/>
      <c r="CV203" s="346"/>
      <c r="CW203" s="346"/>
      <c r="CX203" s="346"/>
      <c r="CY203" s="346"/>
      <c r="CZ203" s="346"/>
      <c r="DA203" s="346"/>
      <c r="DB203" s="346"/>
      <c r="DC203" s="346"/>
      <c r="DD203" s="346"/>
      <c r="DE203" s="346"/>
      <c r="DF203" s="346"/>
      <c r="DG203" s="346"/>
      <c r="DH203" s="346"/>
      <c r="DI203" s="346"/>
      <c r="DJ203" s="346"/>
    </row>
    <row r="204" spans="1:114" x14ac:dyDescent="0.25">
      <c r="A204" s="339"/>
      <c r="B204" s="340" t="s">
        <v>1159</v>
      </c>
      <c r="C204" s="341">
        <v>1500</v>
      </c>
      <c r="D204" s="342"/>
      <c r="E204" s="343"/>
      <c r="F204" s="343"/>
      <c r="G204" s="345"/>
      <c r="H204" s="346"/>
      <c r="I204" s="345"/>
      <c r="J204" s="345"/>
      <c r="K204" s="347"/>
      <c r="L204" s="297"/>
      <c r="M204" s="297"/>
      <c r="N204" s="314">
        <f t="shared" si="40"/>
        <v>38</v>
      </c>
      <c r="O204" s="390">
        <v>20</v>
      </c>
      <c r="P204" s="350">
        <v>18</v>
      </c>
      <c r="Q204" s="349"/>
      <c r="R204" s="349"/>
      <c r="S204" s="349"/>
      <c r="T204" s="346"/>
      <c r="U204" s="346"/>
      <c r="V204" s="346"/>
      <c r="W204" s="346"/>
      <c r="X204" s="346"/>
      <c r="Y204" s="346"/>
      <c r="Z204" s="346"/>
      <c r="AA204" s="346"/>
      <c r="AB204" s="346"/>
      <c r="AC204" s="346"/>
      <c r="AD204" s="346"/>
      <c r="AE204" s="346"/>
      <c r="AF204" s="346"/>
      <c r="AG204" s="346"/>
      <c r="AH204" s="346"/>
      <c r="AI204" s="346"/>
      <c r="AJ204" s="346"/>
      <c r="AK204" s="346"/>
      <c r="AL204" s="346"/>
      <c r="AM204" s="346"/>
      <c r="AN204" s="346"/>
      <c r="AO204" s="346"/>
      <c r="AP204" s="346"/>
      <c r="AQ204" s="346"/>
      <c r="AR204" s="346"/>
      <c r="AS204" s="346"/>
      <c r="AT204" s="346"/>
      <c r="AU204" s="346"/>
      <c r="AV204" s="346"/>
      <c r="AW204" s="346"/>
      <c r="AX204" s="346"/>
      <c r="AY204" s="346"/>
      <c r="AZ204" s="346"/>
      <c r="BA204" s="346"/>
      <c r="BB204" s="346"/>
      <c r="BC204" s="346"/>
      <c r="BD204" s="346"/>
      <c r="BE204" s="346"/>
      <c r="BF204" s="346"/>
      <c r="BG204" s="346"/>
      <c r="BH204" s="346"/>
      <c r="BI204" s="346"/>
      <c r="BJ204" s="346"/>
      <c r="BK204" s="346"/>
      <c r="BL204" s="346"/>
      <c r="BM204" s="346"/>
      <c r="BN204" s="346"/>
      <c r="BO204" s="346"/>
      <c r="BP204" s="346"/>
      <c r="BQ204" s="346"/>
      <c r="BR204" s="346"/>
      <c r="BS204" s="346"/>
      <c r="BT204" s="346"/>
      <c r="BU204" s="346"/>
      <c r="BV204" s="346"/>
      <c r="BW204" s="346"/>
      <c r="BX204" s="346"/>
      <c r="BY204" s="346"/>
      <c r="BZ204" s="346"/>
      <c r="CA204" s="346"/>
      <c r="CB204" s="346"/>
      <c r="CC204" s="346"/>
      <c r="CD204" s="346"/>
      <c r="CE204" s="346"/>
      <c r="CF204" s="346"/>
      <c r="CG204" s="346"/>
      <c r="CH204" s="346"/>
      <c r="CI204" s="346"/>
      <c r="CJ204" s="346"/>
      <c r="CK204" s="346"/>
      <c r="CL204" s="346"/>
      <c r="CM204" s="346"/>
      <c r="CN204" s="346"/>
      <c r="CO204" s="346"/>
      <c r="CP204" s="346"/>
      <c r="CQ204" s="346"/>
      <c r="CR204" s="346"/>
      <c r="CS204" s="346"/>
      <c r="CT204" s="346"/>
      <c r="CU204" s="346"/>
      <c r="CV204" s="346"/>
      <c r="CW204" s="346"/>
      <c r="CX204" s="346"/>
      <c r="CY204" s="346"/>
      <c r="CZ204" s="346"/>
      <c r="DA204" s="346"/>
      <c r="DB204" s="346"/>
      <c r="DC204" s="346"/>
      <c r="DD204" s="346"/>
      <c r="DE204" s="346"/>
      <c r="DF204" s="346"/>
      <c r="DG204" s="346"/>
      <c r="DH204" s="346"/>
      <c r="DI204" s="346"/>
      <c r="DJ204" s="346"/>
    </row>
    <row r="205" spans="1:114" x14ac:dyDescent="0.25">
      <c r="A205" s="339"/>
      <c r="B205" s="340"/>
      <c r="C205" s="341"/>
      <c r="D205" s="342"/>
      <c r="E205" s="343"/>
      <c r="F205" s="343"/>
      <c r="G205" s="345"/>
      <c r="H205" s="346"/>
      <c r="I205" s="345"/>
      <c r="J205" s="345"/>
      <c r="K205" s="347"/>
      <c r="L205" s="297"/>
      <c r="M205" s="297"/>
      <c r="N205" s="348"/>
      <c r="O205" s="390" t="s">
        <v>1146</v>
      </c>
      <c r="P205" s="350" t="s">
        <v>1009</v>
      </c>
      <c r="Q205" s="349"/>
      <c r="R205" s="349"/>
      <c r="S205" s="349"/>
      <c r="T205" s="346"/>
      <c r="U205" s="346"/>
      <c r="V205" s="346"/>
      <c r="W205" s="346"/>
      <c r="X205" s="346"/>
      <c r="Y205" s="346"/>
      <c r="Z205" s="346"/>
      <c r="AA205" s="346"/>
      <c r="AB205" s="346"/>
      <c r="AC205" s="346"/>
      <c r="AD205" s="346"/>
      <c r="AE205" s="346"/>
      <c r="AF205" s="346"/>
      <c r="AG205" s="346"/>
      <c r="AH205" s="346"/>
      <c r="AI205" s="346"/>
      <c r="AJ205" s="346"/>
      <c r="AK205" s="346"/>
      <c r="AL205" s="346"/>
      <c r="AM205" s="346"/>
      <c r="AN205" s="346"/>
      <c r="AO205" s="346"/>
      <c r="AP205" s="346"/>
      <c r="AQ205" s="346"/>
      <c r="AR205" s="346"/>
      <c r="AS205" s="346"/>
      <c r="AT205" s="346"/>
      <c r="AU205" s="346"/>
      <c r="AV205" s="346"/>
      <c r="AW205" s="346"/>
      <c r="AX205" s="346"/>
      <c r="AY205" s="346"/>
      <c r="AZ205" s="346"/>
      <c r="BA205" s="346"/>
      <c r="BB205" s="346"/>
      <c r="BC205" s="346"/>
      <c r="BD205" s="346"/>
      <c r="BE205" s="346"/>
      <c r="BF205" s="346"/>
      <c r="BG205" s="346"/>
      <c r="BH205" s="346"/>
      <c r="BI205" s="346"/>
      <c r="BJ205" s="346"/>
      <c r="BK205" s="346"/>
      <c r="BL205" s="346"/>
      <c r="BM205" s="346"/>
      <c r="BN205" s="346"/>
      <c r="BO205" s="346"/>
      <c r="BP205" s="346"/>
      <c r="BQ205" s="346"/>
      <c r="BR205" s="346"/>
      <c r="BS205" s="346"/>
      <c r="BT205" s="346"/>
      <c r="BU205" s="346"/>
      <c r="BV205" s="346"/>
      <c r="BW205" s="346"/>
      <c r="BX205" s="346"/>
      <c r="BY205" s="346"/>
      <c r="BZ205" s="346"/>
      <c r="CA205" s="346"/>
      <c r="CB205" s="346"/>
      <c r="CC205" s="346"/>
      <c r="CD205" s="346"/>
      <c r="CE205" s="346"/>
      <c r="CF205" s="346"/>
      <c r="CG205" s="346"/>
      <c r="CH205" s="346"/>
      <c r="CI205" s="346"/>
      <c r="CJ205" s="346"/>
      <c r="CK205" s="346"/>
      <c r="CL205" s="346"/>
      <c r="CM205" s="346"/>
      <c r="CN205" s="346"/>
      <c r="CO205" s="346"/>
      <c r="CP205" s="346"/>
      <c r="CQ205" s="346"/>
      <c r="CR205" s="346"/>
      <c r="CS205" s="346"/>
      <c r="CT205" s="346"/>
      <c r="CU205" s="346"/>
      <c r="CV205" s="346"/>
      <c r="CW205" s="346"/>
      <c r="CX205" s="346"/>
      <c r="CY205" s="346"/>
      <c r="CZ205" s="346"/>
      <c r="DA205" s="346"/>
      <c r="DB205" s="346"/>
      <c r="DC205" s="346"/>
      <c r="DD205" s="346"/>
      <c r="DE205" s="346"/>
      <c r="DF205" s="346"/>
      <c r="DG205" s="346"/>
      <c r="DH205" s="346"/>
      <c r="DI205" s="346"/>
      <c r="DJ205" s="346"/>
    </row>
    <row r="206" spans="1:114" x14ac:dyDescent="0.25">
      <c r="A206" s="339"/>
      <c r="B206" s="340" t="s">
        <v>1160</v>
      </c>
      <c r="C206" s="341">
        <v>1500</v>
      </c>
      <c r="D206" s="342"/>
      <c r="E206" s="343"/>
      <c r="F206" s="343"/>
      <c r="G206" s="345"/>
      <c r="H206" s="346"/>
      <c r="I206" s="345"/>
      <c r="J206" s="345"/>
      <c r="K206" s="347"/>
      <c r="L206" s="297"/>
      <c r="M206" s="297"/>
      <c r="N206" s="314">
        <f t="shared" si="40"/>
        <v>28</v>
      </c>
      <c r="O206" s="390">
        <v>8</v>
      </c>
      <c r="P206" s="350">
        <v>20</v>
      </c>
      <c r="Q206" s="349"/>
      <c r="R206" s="349"/>
      <c r="S206" s="349"/>
      <c r="T206" s="346"/>
      <c r="U206" s="346"/>
      <c r="V206" s="346"/>
      <c r="W206" s="346"/>
      <c r="X206" s="346"/>
      <c r="Y206" s="346"/>
      <c r="Z206" s="346"/>
      <c r="AA206" s="346"/>
      <c r="AB206" s="346"/>
      <c r="AC206" s="346"/>
      <c r="AD206" s="346"/>
      <c r="AE206" s="346"/>
      <c r="AF206" s="346"/>
      <c r="AG206" s="346"/>
      <c r="AH206" s="346"/>
      <c r="AI206" s="346"/>
      <c r="AJ206" s="346"/>
      <c r="AK206" s="346"/>
      <c r="AL206" s="346"/>
      <c r="AM206" s="346"/>
      <c r="AN206" s="346"/>
      <c r="AO206" s="346"/>
      <c r="AP206" s="346"/>
      <c r="AQ206" s="346"/>
      <c r="AR206" s="346"/>
      <c r="AS206" s="346"/>
      <c r="AT206" s="346"/>
      <c r="AU206" s="346"/>
      <c r="AV206" s="346"/>
      <c r="AW206" s="346"/>
      <c r="AX206" s="346"/>
      <c r="AY206" s="346"/>
      <c r="AZ206" s="346"/>
      <c r="BA206" s="346"/>
      <c r="BB206" s="346"/>
      <c r="BC206" s="346"/>
      <c r="BD206" s="346"/>
      <c r="BE206" s="346"/>
      <c r="BF206" s="346"/>
      <c r="BG206" s="346"/>
      <c r="BH206" s="346"/>
      <c r="BI206" s="346"/>
      <c r="BJ206" s="346"/>
      <c r="BK206" s="346"/>
      <c r="BL206" s="346"/>
      <c r="BM206" s="346"/>
      <c r="BN206" s="346"/>
      <c r="BO206" s="346"/>
      <c r="BP206" s="346"/>
      <c r="BQ206" s="346"/>
      <c r="BR206" s="346"/>
      <c r="BS206" s="346"/>
      <c r="BT206" s="346"/>
      <c r="BU206" s="346"/>
      <c r="BV206" s="346"/>
      <c r="BW206" s="346"/>
      <c r="BX206" s="346"/>
      <c r="BY206" s="346"/>
      <c r="BZ206" s="346"/>
      <c r="CA206" s="346"/>
      <c r="CB206" s="346"/>
      <c r="CC206" s="346"/>
      <c r="CD206" s="346"/>
      <c r="CE206" s="346"/>
      <c r="CF206" s="346"/>
      <c r="CG206" s="346"/>
      <c r="CH206" s="346"/>
      <c r="CI206" s="346"/>
      <c r="CJ206" s="346"/>
      <c r="CK206" s="346"/>
      <c r="CL206" s="346"/>
      <c r="CM206" s="346"/>
      <c r="CN206" s="346"/>
      <c r="CO206" s="346"/>
      <c r="CP206" s="346"/>
      <c r="CQ206" s="346"/>
      <c r="CR206" s="346"/>
      <c r="CS206" s="346"/>
      <c r="CT206" s="346"/>
      <c r="CU206" s="346"/>
      <c r="CV206" s="346"/>
      <c r="CW206" s="346"/>
      <c r="CX206" s="346"/>
      <c r="CY206" s="346"/>
      <c r="CZ206" s="346"/>
      <c r="DA206" s="346"/>
      <c r="DB206" s="346"/>
      <c r="DC206" s="346"/>
      <c r="DD206" s="346"/>
      <c r="DE206" s="346"/>
      <c r="DF206" s="346"/>
      <c r="DG206" s="346"/>
      <c r="DH206" s="346"/>
      <c r="DI206" s="346"/>
      <c r="DJ206" s="346"/>
    </row>
    <row r="207" spans="1:114" x14ac:dyDescent="0.25">
      <c r="A207" s="339"/>
      <c r="B207" s="340"/>
      <c r="C207" s="341"/>
      <c r="D207" s="342"/>
      <c r="E207" s="343"/>
      <c r="F207" s="343"/>
      <c r="G207" s="345"/>
      <c r="H207" s="346"/>
      <c r="I207" s="345"/>
      <c r="J207" s="345"/>
      <c r="K207" s="347"/>
      <c r="L207" s="297"/>
      <c r="M207" s="297"/>
      <c r="N207" s="348"/>
      <c r="O207" s="390" t="s">
        <v>1009</v>
      </c>
      <c r="P207" s="350" t="s">
        <v>1146</v>
      </c>
      <c r="Q207" s="349"/>
      <c r="R207" s="349"/>
      <c r="S207" s="349"/>
      <c r="T207" s="346"/>
      <c r="U207" s="346"/>
      <c r="V207" s="346"/>
      <c r="W207" s="346"/>
      <c r="X207" s="346"/>
      <c r="Y207" s="346"/>
      <c r="Z207" s="346"/>
      <c r="AA207" s="346"/>
      <c r="AB207" s="346"/>
      <c r="AC207" s="346"/>
      <c r="AD207" s="346"/>
      <c r="AE207" s="346"/>
      <c r="AF207" s="346"/>
      <c r="AG207" s="346"/>
      <c r="AH207" s="346"/>
      <c r="AI207" s="346"/>
      <c r="AJ207" s="346"/>
      <c r="AK207" s="346"/>
      <c r="AL207" s="346"/>
      <c r="AM207" s="346"/>
      <c r="AN207" s="346"/>
      <c r="AO207" s="346"/>
      <c r="AP207" s="346"/>
      <c r="AQ207" s="346"/>
      <c r="AR207" s="346"/>
      <c r="AS207" s="346"/>
      <c r="AT207" s="346"/>
      <c r="AU207" s="346"/>
      <c r="AV207" s="346"/>
      <c r="AW207" s="346"/>
      <c r="AX207" s="346"/>
      <c r="AY207" s="346"/>
      <c r="AZ207" s="346"/>
      <c r="BA207" s="346"/>
      <c r="BB207" s="346"/>
      <c r="BC207" s="346"/>
      <c r="BD207" s="346"/>
      <c r="BE207" s="346"/>
      <c r="BF207" s="346"/>
      <c r="BG207" s="346"/>
      <c r="BH207" s="346"/>
      <c r="BI207" s="346"/>
      <c r="BJ207" s="346"/>
      <c r="BK207" s="346"/>
      <c r="BL207" s="346"/>
      <c r="BM207" s="346"/>
      <c r="BN207" s="346"/>
      <c r="BO207" s="346"/>
      <c r="BP207" s="346"/>
      <c r="BQ207" s="346"/>
      <c r="BR207" s="346"/>
      <c r="BS207" s="346"/>
      <c r="BT207" s="346"/>
      <c r="BU207" s="346"/>
      <c r="BV207" s="346"/>
      <c r="BW207" s="346"/>
      <c r="BX207" s="346"/>
      <c r="BY207" s="346"/>
      <c r="BZ207" s="346"/>
      <c r="CA207" s="346"/>
      <c r="CB207" s="346"/>
      <c r="CC207" s="346"/>
      <c r="CD207" s="346"/>
      <c r="CE207" s="346"/>
      <c r="CF207" s="346"/>
      <c r="CG207" s="346"/>
      <c r="CH207" s="346"/>
      <c r="CI207" s="346"/>
      <c r="CJ207" s="346"/>
      <c r="CK207" s="346"/>
      <c r="CL207" s="346"/>
      <c r="CM207" s="346"/>
      <c r="CN207" s="346"/>
      <c r="CO207" s="346"/>
      <c r="CP207" s="346"/>
      <c r="CQ207" s="346"/>
      <c r="CR207" s="346"/>
      <c r="CS207" s="346"/>
      <c r="CT207" s="346"/>
      <c r="CU207" s="346"/>
      <c r="CV207" s="346"/>
      <c r="CW207" s="346"/>
      <c r="CX207" s="346"/>
      <c r="CY207" s="346"/>
      <c r="CZ207" s="346"/>
      <c r="DA207" s="346"/>
      <c r="DB207" s="346"/>
      <c r="DC207" s="346"/>
      <c r="DD207" s="346"/>
      <c r="DE207" s="346"/>
      <c r="DF207" s="346"/>
      <c r="DG207" s="346"/>
      <c r="DH207" s="346"/>
      <c r="DI207" s="346"/>
      <c r="DJ207" s="346"/>
    </row>
    <row r="208" spans="1:114" x14ac:dyDescent="0.25">
      <c r="A208" s="339"/>
      <c r="B208" s="340" t="s">
        <v>1161</v>
      </c>
      <c r="C208" s="341">
        <v>1500</v>
      </c>
      <c r="D208" s="342"/>
      <c r="E208" s="343"/>
      <c r="F208" s="343"/>
      <c r="G208" s="345"/>
      <c r="H208" s="346"/>
      <c r="I208" s="345"/>
      <c r="J208" s="345"/>
      <c r="K208" s="347"/>
      <c r="L208" s="297"/>
      <c r="M208" s="297"/>
      <c r="N208" s="314">
        <f t="shared" si="40"/>
        <v>38</v>
      </c>
      <c r="O208" s="390">
        <v>20</v>
      </c>
      <c r="P208" s="350">
        <v>18</v>
      </c>
      <c r="Q208" s="349"/>
      <c r="R208" s="349"/>
      <c r="S208" s="349"/>
      <c r="T208" s="346"/>
      <c r="U208" s="346"/>
      <c r="V208" s="346"/>
      <c r="W208" s="346"/>
      <c r="X208" s="346"/>
      <c r="Y208" s="346"/>
      <c r="Z208" s="346"/>
      <c r="AA208" s="346"/>
      <c r="AB208" s="346"/>
      <c r="AC208" s="346"/>
      <c r="AD208" s="346"/>
      <c r="AE208" s="346"/>
      <c r="AF208" s="346"/>
      <c r="AG208" s="346"/>
      <c r="AH208" s="346"/>
      <c r="AI208" s="346"/>
      <c r="AJ208" s="346"/>
      <c r="AK208" s="346"/>
      <c r="AL208" s="346"/>
      <c r="AM208" s="346"/>
      <c r="AN208" s="346"/>
      <c r="AO208" s="346"/>
      <c r="AP208" s="346"/>
      <c r="AQ208" s="346"/>
      <c r="AR208" s="346"/>
      <c r="AS208" s="346"/>
      <c r="AT208" s="346"/>
      <c r="AU208" s="346"/>
      <c r="AV208" s="346"/>
      <c r="AW208" s="346"/>
      <c r="AX208" s="346"/>
      <c r="AY208" s="346"/>
      <c r="AZ208" s="346"/>
      <c r="BA208" s="346"/>
      <c r="BB208" s="346"/>
      <c r="BC208" s="346"/>
      <c r="BD208" s="346"/>
      <c r="BE208" s="346"/>
      <c r="BF208" s="346"/>
      <c r="BG208" s="346"/>
      <c r="BH208" s="346"/>
      <c r="BI208" s="346"/>
      <c r="BJ208" s="346"/>
      <c r="BK208" s="346"/>
      <c r="BL208" s="346"/>
      <c r="BM208" s="346"/>
      <c r="BN208" s="346"/>
      <c r="BO208" s="346"/>
      <c r="BP208" s="346"/>
      <c r="BQ208" s="346"/>
      <c r="BR208" s="346"/>
      <c r="BS208" s="346"/>
      <c r="BT208" s="346"/>
      <c r="BU208" s="346"/>
      <c r="BV208" s="346"/>
      <c r="BW208" s="346"/>
      <c r="BX208" s="346"/>
      <c r="BY208" s="346"/>
      <c r="BZ208" s="346"/>
      <c r="CA208" s="346"/>
      <c r="CB208" s="346"/>
      <c r="CC208" s="346"/>
      <c r="CD208" s="346"/>
      <c r="CE208" s="346"/>
      <c r="CF208" s="346"/>
      <c r="CG208" s="346"/>
      <c r="CH208" s="346"/>
      <c r="CI208" s="346"/>
      <c r="CJ208" s="346"/>
      <c r="CK208" s="346"/>
      <c r="CL208" s="346"/>
      <c r="CM208" s="346"/>
      <c r="CN208" s="346"/>
      <c r="CO208" s="346"/>
      <c r="CP208" s="346"/>
      <c r="CQ208" s="346"/>
      <c r="CR208" s="346"/>
      <c r="CS208" s="346"/>
      <c r="CT208" s="346"/>
      <c r="CU208" s="346"/>
      <c r="CV208" s="346"/>
      <c r="CW208" s="346"/>
      <c r="CX208" s="346"/>
      <c r="CY208" s="346"/>
      <c r="CZ208" s="346"/>
      <c r="DA208" s="346"/>
      <c r="DB208" s="346"/>
      <c r="DC208" s="346"/>
      <c r="DD208" s="346"/>
      <c r="DE208" s="346"/>
      <c r="DF208" s="346"/>
      <c r="DG208" s="346"/>
      <c r="DH208" s="346"/>
      <c r="DI208" s="346"/>
      <c r="DJ208" s="346"/>
    </row>
    <row r="209" spans="1:114" x14ac:dyDescent="0.25">
      <c r="A209" s="339"/>
      <c r="B209" s="340"/>
      <c r="C209" s="341"/>
      <c r="D209" s="342"/>
      <c r="E209" s="343"/>
      <c r="F209" s="343"/>
      <c r="G209" s="345"/>
      <c r="H209" s="346"/>
      <c r="I209" s="345"/>
      <c r="J209" s="345"/>
      <c r="K209" s="347"/>
      <c r="L209" s="297"/>
      <c r="M209" s="297"/>
      <c r="N209" s="348"/>
      <c r="O209" s="390" t="s">
        <v>1009</v>
      </c>
      <c r="P209" s="350" t="s">
        <v>1146</v>
      </c>
      <c r="Q209" s="349"/>
      <c r="R209" s="349"/>
      <c r="S209" s="349"/>
      <c r="T209" s="346"/>
      <c r="U209" s="346"/>
      <c r="V209" s="346"/>
      <c r="W209" s="346"/>
      <c r="X209" s="346"/>
      <c r="Y209" s="346"/>
      <c r="Z209" s="346"/>
      <c r="AA209" s="346"/>
      <c r="AB209" s="346"/>
      <c r="AC209" s="346"/>
      <c r="AD209" s="346"/>
      <c r="AE209" s="346"/>
      <c r="AF209" s="346"/>
      <c r="AG209" s="346"/>
      <c r="AH209" s="346"/>
      <c r="AI209" s="346"/>
      <c r="AJ209" s="346"/>
      <c r="AK209" s="346"/>
      <c r="AL209" s="346"/>
      <c r="AM209" s="346"/>
      <c r="AN209" s="346"/>
      <c r="AO209" s="346"/>
      <c r="AP209" s="346"/>
      <c r="AQ209" s="346"/>
      <c r="AR209" s="346"/>
      <c r="AS209" s="346"/>
      <c r="AT209" s="346"/>
      <c r="AU209" s="346"/>
      <c r="AV209" s="346"/>
      <c r="AW209" s="346"/>
      <c r="AX209" s="346"/>
      <c r="AY209" s="346"/>
      <c r="AZ209" s="346"/>
      <c r="BA209" s="346"/>
      <c r="BB209" s="346"/>
      <c r="BC209" s="346"/>
      <c r="BD209" s="346"/>
      <c r="BE209" s="346"/>
      <c r="BF209" s="346"/>
      <c r="BG209" s="346"/>
      <c r="BH209" s="346"/>
      <c r="BI209" s="346"/>
      <c r="BJ209" s="346"/>
      <c r="BK209" s="346"/>
      <c r="BL209" s="346"/>
      <c r="BM209" s="346"/>
      <c r="BN209" s="346"/>
      <c r="BO209" s="346"/>
      <c r="BP209" s="346"/>
      <c r="BQ209" s="346"/>
      <c r="BR209" s="346"/>
      <c r="BS209" s="346"/>
      <c r="BT209" s="346"/>
      <c r="BU209" s="346"/>
      <c r="BV209" s="346"/>
      <c r="BW209" s="346"/>
      <c r="BX209" s="346"/>
      <c r="BY209" s="346"/>
      <c r="BZ209" s="346"/>
      <c r="CA209" s="346"/>
      <c r="CB209" s="346"/>
      <c r="CC209" s="346"/>
      <c r="CD209" s="346"/>
      <c r="CE209" s="346"/>
      <c r="CF209" s="346"/>
      <c r="CG209" s="346"/>
      <c r="CH209" s="346"/>
      <c r="CI209" s="346"/>
      <c r="CJ209" s="346"/>
      <c r="CK209" s="346"/>
      <c r="CL209" s="346"/>
      <c r="CM209" s="346"/>
      <c r="CN209" s="346"/>
      <c r="CO209" s="346"/>
      <c r="CP209" s="346"/>
      <c r="CQ209" s="346"/>
      <c r="CR209" s="346"/>
      <c r="CS209" s="346"/>
      <c r="CT209" s="346"/>
      <c r="CU209" s="346"/>
      <c r="CV209" s="346"/>
      <c r="CW209" s="346"/>
      <c r="CX209" s="346"/>
      <c r="CY209" s="346"/>
      <c r="CZ209" s="346"/>
      <c r="DA209" s="346"/>
      <c r="DB209" s="346"/>
      <c r="DC209" s="346"/>
      <c r="DD209" s="346"/>
      <c r="DE209" s="346"/>
      <c r="DF209" s="346"/>
      <c r="DG209" s="346"/>
      <c r="DH209" s="346"/>
      <c r="DI209" s="346"/>
      <c r="DJ209" s="346"/>
    </row>
    <row r="210" spans="1:114" x14ac:dyDescent="0.25">
      <c r="A210" s="339"/>
      <c r="B210" s="340" t="s">
        <v>1162</v>
      </c>
      <c r="C210" s="341">
        <v>1500</v>
      </c>
      <c r="D210" s="342"/>
      <c r="E210" s="343"/>
      <c r="F210" s="343"/>
      <c r="G210" s="345"/>
      <c r="H210" s="346"/>
      <c r="I210" s="345"/>
      <c r="J210" s="345"/>
      <c r="K210" s="347"/>
      <c r="L210" s="297"/>
      <c r="M210" s="297"/>
      <c r="N210" s="314">
        <f t="shared" si="40"/>
        <v>38</v>
      </c>
      <c r="O210" s="390">
        <v>20</v>
      </c>
      <c r="P210" s="350">
        <v>18</v>
      </c>
      <c r="Q210" s="349"/>
      <c r="R210" s="349"/>
      <c r="S210" s="349"/>
      <c r="T210" s="346"/>
      <c r="U210" s="346"/>
      <c r="V210" s="346"/>
      <c r="W210" s="346"/>
      <c r="X210" s="346"/>
      <c r="Y210" s="346"/>
      <c r="Z210" s="346"/>
      <c r="AA210" s="346"/>
      <c r="AB210" s="346"/>
      <c r="AC210" s="346"/>
      <c r="AD210" s="346"/>
      <c r="AE210" s="346"/>
      <c r="AF210" s="346"/>
      <c r="AG210" s="346"/>
      <c r="AH210" s="346"/>
      <c r="AI210" s="346"/>
      <c r="AJ210" s="346"/>
      <c r="AK210" s="346"/>
      <c r="AL210" s="346"/>
      <c r="AM210" s="346"/>
      <c r="AN210" s="346"/>
      <c r="AO210" s="346"/>
      <c r="AP210" s="346"/>
      <c r="AQ210" s="346"/>
      <c r="AR210" s="346"/>
      <c r="AS210" s="346"/>
      <c r="AT210" s="346"/>
      <c r="AU210" s="346"/>
      <c r="AV210" s="346"/>
      <c r="AW210" s="346"/>
      <c r="AX210" s="346"/>
      <c r="AY210" s="346"/>
      <c r="AZ210" s="346"/>
      <c r="BA210" s="346"/>
      <c r="BB210" s="346"/>
      <c r="BC210" s="346"/>
      <c r="BD210" s="346"/>
      <c r="BE210" s="346"/>
      <c r="BF210" s="346"/>
      <c r="BG210" s="346"/>
      <c r="BH210" s="346"/>
      <c r="BI210" s="346"/>
      <c r="BJ210" s="346"/>
      <c r="BK210" s="346"/>
      <c r="BL210" s="346"/>
      <c r="BM210" s="346"/>
      <c r="BN210" s="346"/>
      <c r="BO210" s="346"/>
      <c r="BP210" s="346"/>
      <c r="BQ210" s="346"/>
      <c r="BR210" s="346"/>
      <c r="BS210" s="346"/>
      <c r="BT210" s="346"/>
      <c r="BU210" s="346"/>
      <c r="BV210" s="346"/>
      <c r="BW210" s="346"/>
      <c r="BX210" s="346"/>
      <c r="BY210" s="346"/>
      <c r="BZ210" s="346"/>
      <c r="CA210" s="346"/>
      <c r="CB210" s="346"/>
      <c r="CC210" s="346"/>
      <c r="CD210" s="346"/>
      <c r="CE210" s="346"/>
      <c r="CF210" s="346"/>
      <c r="CG210" s="346"/>
      <c r="CH210" s="346"/>
      <c r="CI210" s="346"/>
      <c r="CJ210" s="346"/>
      <c r="CK210" s="346"/>
      <c r="CL210" s="346"/>
      <c r="CM210" s="346"/>
      <c r="CN210" s="346"/>
      <c r="CO210" s="346"/>
      <c r="CP210" s="346"/>
      <c r="CQ210" s="346"/>
      <c r="CR210" s="346"/>
      <c r="CS210" s="346"/>
      <c r="CT210" s="346"/>
      <c r="CU210" s="346"/>
      <c r="CV210" s="346"/>
      <c r="CW210" s="346"/>
      <c r="CX210" s="346"/>
      <c r="CY210" s="346"/>
      <c r="CZ210" s="346"/>
      <c r="DA210" s="346"/>
      <c r="DB210" s="346"/>
      <c r="DC210" s="346"/>
      <c r="DD210" s="346"/>
      <c r="DE210" s="346"/>
      <c r="DF210" s="346"/>
      <c r="DG210" s="346"/>
      <c r="DH210" s="346"/>
      <c r="DI210" s="346"/>
      <c r="DJ210" s="346"/>
    </row>
    <row r="211" spans="1:114" x14ac:dyDescent="0.25">
      <c r="A211" s="339"/>
      <c r="B211" s="340"/>
      <c r="C211" s="341"/>
      <c r="D211" s="342"/>
      <c r="E211" s="343"/>
      <c r="F211" s="343"/>
      <c r="G211" s="345"/>
      <c r="H211" s="346"/>
      <c r="I211" s="345"/>
      <c r="J211" s="345"/>
      <c r="K211" s="347"/>
      <c r="L211" s="297"/>
      <c r="M211" s="297"/>
      <c r="N211" s="348"/>
      <c r="O211" s="390" t="s">
        <v>1146</v>
      </c>
      <c r="P211" s="350" t="s">
        <v>1009</v>
      </c>
      <c r="Q211" s="349"/>
      <c r="R211" s="349"/>
      <c r="S211" s="349"/>
      <c r="T211" s="346"/>
      <c r="U211" s="346"/>
      <c r="V211" s="346"/>
      <c r="W211" s="346"/>
      <c r="X211" s="346"/>
      <c r="Y211" s="346"/>
      <c r="Z211" s="346"/>
      <c r="AA211" s="346"/>
      <c r="AB211" s="346"/>
      <c r="AC211" s="346"/>
      <c r="AD211" s="346"/>
      <c r="AE211" s="346"/>
      <c r="AF211" s="346"/>
      <c r="AG211" s="346"/>
      <c r="AH211" s="346"/>
      <c r="AI211" s="346"/>
      <c r="AJ211" s="346"/>
      <c r="AK211" s="346"/>
      <c r="AL211" s="346"/>
      <c r="AM211" s="346"/>
      <c r="AN211" s="346"/>
      <c r="AO211" s="346"/>
      <c r="AP211" s="346"/>
      <c r="AQ211" s="346"/>
      <c r="AR211" s="346"/>
      <c r="AS211" s="346"/>
      <c r="AT211" s="346"/>
      <c r="AU211" s="346"/>
      <c r="AV211" s="346"/>
      <c r="AW211" s="346"/>
      <c r="AX211" s="346"/>
      <c r="AY211" s="346"/>
      <c r="AZ211" s="346"/>
      <c r="BA211" s="346"/>
      <c r="BB211" s="346"/>
      <c r="BC211" s="346"/>
      <c r="BD211" s="346"/>
      <c r="BE211" s="346"/>
      <c r="BF211" s="346"/>
      <c r="BG211" s="346"/>
      <c r="BH211" s="346"/>
      <c r="BI211" s="346"/>
      <c r="BJ211" s="346"/>
      <c r="BK211" s="346"/>
      <c r="BL211" s="346"/>
      <c r="BM211" s="346"/>
      <c r="BN211" s="346"/>
      <c r="BO211" s="346"/>
      <c r="BP211" s="346"/>
      <c r="BQ211" s="346"/>
      <c r="BR211" s="346"/>
      <c r="BS211" s="346"/>
      <c r="BT211" s="346"/>
      <c r="BU211" s="346"/>
      <c r="BV211" s="346"/>
      <c r="BW211" s="346"/>
      <c r="BX211" s="346"/>
      <c r="BY211" s="346"/>
      <c r="BZ211" s="346"/>
      <c r="CA211" s="346"/>
      <c r="CB211" s="346"/>
      <c r="CC211" s="346"/>
      <c r="CD211" s="346"/>
      <c r="CE211" s="346"/>
      <c r="CF211" s="346"/>
      <c r="CG211" s="346"/>
      <c r="CH211" s="346"/>
      <c r="CI211" s="346"/>
      <c r="CJ211" s="346"/>
      <c r="CK211" s="346"/>
      <c r="CL211" s="346"/>
      <c r="CM211" s="346"/>
      <c r="CN211" s="346"/>
      <c r="CO211" s="346"/>
      <c r="CP211" s="346"/>
      <c r="CQ211" s="346"/>
      <c r="CR211" s="346"/>
      <c r="CS211" s="346"/>
      <c r="CT211" s="346"/>
      <c r="CU211" s="346"/>
      <c r="CV211" s="346"/>
      <c r="CW211" s="346"/>
      <c r="CX211" s="346"/>
      <c r="CY211" s="346"/>
      <c r="CZ211" s="346"/>
      <c r="DA211" s="346"/>
      <c r="DB211" s="346"/>
      <c r="DC211" s="346"/>
      <c r="DD211" s="346"/>
      <c r="DE211" s="346"/>
      <c r="DF211" s="346"/>
      <c r="DG211" s="346"/>
      <c r="DH211" s="346"/>
      <c r="DI211" s="346"/>
      <c r="DJ211" s="346"/>
    </row>
    <row r="212" spans="1:114" x14ac:dyDescent="0.25">
      <c r="A212" s="339"/>
      <c r="B212" s="340" t="s">
        <v>1164</v>
      </c>
      <c r="C212" s="341">
        <v>1500</v>
      </c>
      <c r="D212" s="342"/>
      <c r="E212" s="343"/>
      <c r="F212" s="343"/>
      <c r="G212" s="345"/>
      <c r="H212" s="346"/>
      <c r="I212" s="345"/>
      <c r="J212" s="345"/>
      <c r="K212" s="347"/>
      <c r="L212" s="297"/>
      <c r="M212" s="297"/>
      <c r="N212" s="314">
        <f t="shared" si="40"/>
        <v>38</v>
      </c>
      <c r="O212" s="390">
        <v>18</v>
      </c>
      <c r="P212" s="350">
        <v>20</v>
      </c>
      <c r="Q212" s="349"/>
      <c r="R212" s="349"/>
      <c r="S212" s="349"/>
      <c r="T212" s="346"/>
      <c r="U212" s="346"/>
      <c r="V212" s="346"/>
      <c r="W212" s="346"/>
      <c r="X212" s="346"/>
      <c r="Y212" s="346"/>
      <c r="Z212" s="346"/>
      <c r="AA212" s="346"/>
      <c r="AB212" s="346"/>
      <c r="AC212" s="346"/>
      <c r="AD212" s="346"/>
      <c r="AE212" s="346"/>
      <c r="AF212" s="346"/>
      <c r="AG212" s="346"/>
      <c r="AH212" s="346"/>
      <c r="AI212" s="346"/>
      <c r="AJ212" s="346"/>
      <c r="AK212" s="346"/>
      <c r="AL212" s="346"/>
      <c r="AM212" s="346"/>
      <c r="AN212" s="346"/>
      <c r="AO212" s="346"/>
      <c r="AP212" s="346"/>
      <c r="AQ212" s="346"/>
      <c r="AR212" s="346"/>
      <c r="AS212" s="346"/>
      <c r="AT212" s="346"/>
      <c r="AU212" s="346"/>
      <c r="AV212" s="346"/>
      <c r="AW212" s="346"/>
      <c r="AX212" s="346"/>
      <c r="AY212" s="346"/>
      <c r="AZ212" s="346"/>
      <c r="BA212" s="346"/>
      <c r="BB212" s="346"/>
      <c r="BC212" s="346"/>
      <c r="BD212" s="346"/>
      <c r="BE212" s="346"/>
      <c r="BF212" s="346"/>
      <c r="BG212" s="346"/>
      <c r="BH212" s="346"/>
      <c r="BI212" s="346"/>
      <c r="BJ212" s="346"/>
      <c r="BK212" s="346"/>
      <c r="BL212" s="346"/>
      <c r="BM212" s="346"/>
      <c r="BN212" s="346"/>
      <c r="BO212" s="346"/>
      <c r="BP212" s="346"/>
      <c r="BQ212" s="346"/>
      <c r="BR212" s="346"/>
      <c r="BS212" s="346"/>
      <c r="BT212" s="346"/>
      <c r="BU212" s="346"/>
      <c r="BV212" s="346"/>
      <c r="BW212" s="346"/>
      <c r="BX212" s="346"/>
      <c r="BY212" s="346"/>
      <c r="BZ212" s="346"/>
      <c r="CA212" s="346"/>
      <c r="CB212" s="346"/>
      <c r="CC212" s="346"/>
      <c r="CD212" s="346"/>
      <c r="CE212" s="346"/>
      <c r="CF212" s="346"/>
      <c r="CG212" s="346"/>
      <c r="CH212" s="346"/>
      <c r="CI212" s="346"/>
      <c r="CJ212" s="346"/>
      <c r="CK212" s="346"/>
      <c r="CL212" s="346"/>
      <c r="CM212" s="346"/>
      <c r="CN212" s="346"/>
      <c r="CO212" s="346"/>
      <c r="CP212" s="346"/>
      <c r="CQ212" s="346"/>
      <c r="CR212" s="346"/>
      <c r="CS212" s="346"/>
      <c r="CT212" s="346"/>
      <c r="CU212" s="346"/>
      <c r="CV212" s="346"/>
      <c r="CW212" s="346"/>
      <c r="CX212" s="346"/>
      <c r="CY212" s="346"/>
      <c r="CZ212" s="346"/>
      <c r="DA212" s="346"/>
      <c r="DB212" s="346"/>
      <c r="DC212" s="346"/>
      <c r="DD212" s="346"/>
      <c r="DE212" s="346"/>
      <c r="DF212" s="346"/>
      <c r="DG212" s="346"/>
      <c r="DH212" s="346"/>
      <c r="DI212" s="346"/>
      <c r="DJ212" s="346"/>
    </row>
    <row r="213" spans="1:114" x14ac:dyDescent="0.25">
      <c r="A213" s="339"/>
      <c r="B213" s="340"/>
      <c r="C213" s="341"/>
      <c r="D213" s="342"/>
      <c r="E213" s="343"/>
      <c r="F213" s="343"/>
      <c r="G213" s="345"/>
      <c r="H213" s="346"/>
      <c r="I213" s="345"/>
      <c r="J213" s="345"/>
      <c r="K213" s="347"/>
      <c r="L213" s="297"/>
      <c r="M213" s="297"/>
      <c r="N213" s="348"/>
      <c r="O213" s="390" t="s">
        <v>1009</v>
      </c>
      <c r="P213" s="350" t="s">
        <v>1146</v>
      </c>
      <c r="Q213" s="349"/>
      <c r="R213" s="349"/>
      <c r="S213" s="349"/>
      <c r="T213" s="346"/>
      <c r="U213" s="346"/>
      <c r="V213" s="346"/>
      <c r="W213" s="346"/>
      <c r="X213" s="346"/>
      <c r="Y213" s="346"/>
      <c r="Z213" s="346"/>
      <c r="AA213" s="346"/>
      <c r="AB213" s="346"/>
      <c r="AC213" s="346"/>
      <c r="AD213" s="346"/>
      <c r="AE213" s="346"/>
      <c r="AF213" s="346"/>
      <c r="AG213" s="346"/>
      <c r="AH213" s="346"/>
      <c r="AI213" s="346"/>
      <c r="AJ213" s="346"/>
      <c r="AK213" s="346"/>
      <c r="AL213" s="346"/>
      <c r="AM213" s="346"/>
      <c r="AN213" s="346"/>
      <c r="AO213" s="346"/>
      <c r="AP213" s="346"/>
      <c r="AQ213" s="346"/>
      <c r="AR213" s="346"/>
      <c r="AS213" s="346"/>
      <c r="AT213" s="346"/>
      <c r="AU213" s="346"/>
      <c r="AV213" s="346"/>
      <c r="AW213" s="346"/>
      <c r="AX213" s="346"/>
      <c r="AY213" s="346"/>
      <c r="AZ213" s="346"/>
      <c r="BA213" s="346"/>
      <c r="BB213" s="346"/>
      <c r="BC213" s="346"/>
      <c r="BD213" s="346"/>
      <c r="BE213" s="346"/>
      <c r="BF213" s="346"/>
      <c r="BG213" s="346"/>
      <c r="BH213" s="346"/>
      <c r="BI213" s="346"/>
      <c r="BJ213" s="346"/>
      <c r="BK213" s="346"/>
      <c r="BL213" s="346"/>
      <c r="BM213" s="346"/>
      <c r="BN213" s="346"/>
      <c r="BO213" s="346"/>
      <c r="BP213" s="346"/>
      <c r="BQ213" s="346"/>
      <c r="BR213" s="346"/>
      <c r="BS213" s="346"/>
      <c r="BT213" s="346"/>
      <c r="BU213" s="346"/>
      <c r="BV213" s="346"/>
      <c r="BW213" s="346"/>
      <c r="BX213" s="346"/>
      <c r="BY213" s="346"/>
      <c r="BZ213" s="346"/>
      <c r="CA213" s="346"/>
      <c r="CB213" s="346"/>
      <c r="CC213" s="346"/>
      <c r="CD213" s="346"/>
      <c r="CE213" s="346"/>
      <c r="CF213" s="346"/>
      <c r="CG213" s="346"/>
      <c r="CH213" s="346"/>
      <c r="CI213" s="346"/>
      <c r="CJ213" s="346"/>
      <c r="CK213" s="346"/>
      <c r="CL213" s="346"/>
      <c r="CM213" s="346"/>
      <c r="CN213" s="346"/>
      <c r="CO213" s="346"/>
      <c r="CP213" s="346"/>
      <c r="CQ213" s="346"/>
      <c r="CR213" s="346"/>
      <c r="CS213" s="346"/>
      <c r="CT213" s="346"/>
      <c r="CU213" s="346"/>
      <c r="CV213" s="346"/>
      <c r="CW213" s="346"/>
      <c r="CX213" s="346"/>
      <c r="CY213" s="346"/>
      <c r="CZ213" s="346"/>
      <c r="DA213" s="346"/>
      <c r="DB213" s="346"/>
      <c r="DC213" s="346"/>
      <c r="DD213" s="346"/>
      <c r="DE213" s="346"/>
      <c r="DF213" s="346"/>
      <c r="DG213" s="346"/>
      <c r="DH213" s="346"/>
      <c r="DI213" s="346"/>
      <c r="DJ213" s="346"/>
    </row>
    <row r="214" spans="1:114" x14ac:dyDescent="0.25">
      <c r="A214" s="339"/>
      <c r="B214" s="340" t="s">
        <v>1163</v>
      </c>
      <c r="C214" s="341">
        <v>1500</v>
      </c>
      <c r="D214" s="342"/>
      <c r="E214" s="343"/>
      <c r="F214" s="343"/>
      <c r="G214" s="345"/>
      <c r="H214" s="346"/>
      <c r="I214" s="345"/>
      <c r="J214" s="345"/>
      <c r="K214" s="347"/>
      <c r="L214" s="297"/>
      <c r="M214" s="297"/>
      <c r="N214" s="314">
        <f t="shared" si="40"/>
        <v>39</v>
      </c>
      <c r="O214" s="390">
        <v>20</v>
      </c>
      <c r="P214" s="350">
        <v>19</v>
      </c>
      <c r="Q214" s="349"/>
      <c r="R214" s="349"/>
      <c r="S214" s="349"/>
      <c r="T214" s="346"/>
      <c r="U214" s="346"/>
      <c r="V214" s="346"/>
      <c r="W214" s="346"/>
      <c r="X214" s="346"/>
      <c r="Y214" s="346"/>
      <c r="Z214" s="346"/>
      <c r="AA214" s="346"/>
      <c r="AB214" s="346"/>
      <c r="AC214" s="346"/>
      <c r="AD214" s="346"/>
      <c r="AE214" s="346"/>
      <c r="AF214" s="346"/>
      <c r="AG214" s="346"/>
      <c r="AH214" s="346"/>
      <c r="AI214" s="346"/>
      <c r="AJ214" s="346"/>
      <c r="AK214" s="346"/>
      <c r="AL214" s="346"/>
      <c r="AM214" s="346"/>
      <c r="AN214" s="346"/>
      <c r="AO214" s="346"/>
      <c r="AP214" s="346"/>
      <c r="AQ214" s="346"/>
      <c r="AR214" s="346"/>
      <c r="AS214" s="346"/>
      <c r="AT214" s="346"/>
      <c r="AU214" s="346"/>
      <c r="AV214" s="346"/>
      <c r="AW214" s="346"/>
      <c r="AX214" s="346"/>
      <c r="AY214" s="346"/>
      <c r="AZ214" s="346"/>
      <c r="BA214" s="346"/>
      <c r="BB214" s="346"/>
      <c r="BC214" s="346"/>
      <c r="BD214" s="346"/>
      <c r="BE214" s="346"/>
      <c r="BF214" s="346"/>
      <c r="BG214" s="346"/>
      <c r="BH214" s="346"/>
      <c r="BI214" s="346"/>
      <c r="BJ214" s="346"/>
      <c r="BK214" s="346"/>
      <c r="BL214" s="346"/>
      <c r="BM214" s="346"/>
      <c r="BN214" s="346"/>
      <c r="BO214" s="346"/>
      <c r="BP214" s="346"/>
      <c r="BQ214" s="346"/>
      <c r="BR214" s="346"/>
      <c r="BS214" s="346"/>
      <c r="BT214" s="346"/>
      <c r="BU214" s="346"/>
      <c r="BV214" s="346"/>
      <c r="BW214" s="346"/>
      <c r="BX214" s="346"/>
      <c r="BY214" s="346"/>
      <c r="BZ214" s="346"/>
      <c r="CA214" s="346"/>
      <c r="CB214" s="346"/>
      <c r="CC214" s="346"/>
      <c r="CD214" s="346"/>
      <c r="CE214" s="346"/>
      <c r="CF214" s="346"/>
      <c r="CG214" s="346"/>
      <c r="CH214" s="346"/>
      <c r="CI214" s="346"/>
      <c r="CJ214" s="346"/>
      <c r="CK214" s="346"/>
      <c r="CL214" s="346"/>
      <c r="CM214" s="346"/>
      <c r="CN214" s="346"/>
      <c r="CO214" s="346"/>
      <c r="CP214" s="346"/>
      <c r="CQ214" s="346"/>
      <c r="CR214" s="346"/>
      <c r="CS214" s="346"/>
      <c r="CT214" s="346"/>
      <c r="CU214" s="346"/>
      <c r="CV214" s="346"/>
      <c r="CW214" s="346"/>
      <c r="CX214" s="346"/>
      <c r="CY214" s="346"/>
      <c r="CZ214" s="346"/>
      <c r="DA214" s="346"/>
      <c r="DB214" s="346"/>
      <c r="DC214" s="346"/>
      <c r="DD214" s="346"/>
      <c r="DE214" s="346"/>
      <c r="DF214" s="346"/>
      <c r="DG214" s="346"/>
      <c r="DH214" s="346"/>
      <c r="DI214" s="346"/>
      <c r="DJ214" s="346"/>
    </row>
    <row r="215" spans="1:114" x14ac:dyDescent="0.25">
      <c r="A215" s="339"/>
      <c r="B215" s="340"/>
      <c r="C215" s="341"/>
      <c r="D215" s="342"/>
      <c r="E215" s="343"/>
      <c r="F215" s="343"/>
      <c r="G215" s="345"/>
      <c r="H215" s="346"/>
      <c r="I215" s="345"/>
      <c r="J215" s="345"/>
      <c r="K215" s="347"/>
      <c r="L215" s="297"/>
      <c r="M215" s="297"/>
      <c r="N215" s="348"/>
      <c r="O215" s="390" t="s">
        <v>1009</v>
      </c>
      <c r="P215" s="350" t="s">
        <v>1146</v>
      </c>
      <c r="Q215" s="349"/>
      <c r="R215" s="349"/>
      <c r="S215" s="349"/>
      <c r="T215" s="346"/>
      <c r="U215" s="346"/>
      <c r="V215" s="346"/>
      <c r="W215" s="346"/>
      <c r="X215" s="346"/>
      <c r="Y215" s="346"/>
      <c r="Z215" s="346"/>
      <c r="AA215" s="346"/>
      <c r="AB215" s="346"/>
      <c r="AC215" s="346"/>
      <c r="AD215" s="346"/>
      <c r="AE215" s="346"/>
      <c r="AF215" s="346"/>
      <c r="AG215" s="346"/>
      <c r="AH215" s="346"/>
      <c r="AI215" s="346"/>
      <c r="AJ215" s="346"/>
      <c r="AK215" s="346"/>
      <c r="AL215" s="346"/>
      <c r="AM215" s="346"/>
      <c r="AN215" s="346"/>
      <c r="AO215" s="346"/>
      <c r="AP215" s="346"/>
      <c r="AQ215" s="346"/>
      <c r="AR215" s="346"/>
      <c r="AS215" s="346"/>
      <c r="AT215" s="346"/>
      <c r="AU215" s="346"/>
      <c r="AV215" s="346"/>
      <c r="AW215" s="346"/>
      <c r="AX215" s="346"/>
      <c r="AY215" s="346"/>
      <c r="AZ215" s="346"/>
      <c r="BA215" s="346"/>
      <c r="BB215" s="346"/>
      <c r="BC215" s="346"/>
      <c r="BD215" s="346"/>
      <c r="BE215" s="346"/>
      <c r="BF215" s="346"/>
      <c r="BG215" s="346"/>
      <c r="BH215" s="346"/>
      <c r="BI215" s="346"/>
      <c r="BJ215" s="346"/>
      <c r="BK215" s="346"/>
      <c r="BL215" s="346"/>
      <c r="BM215" s="346"/>
      <c r="BN215" s="346"/>
      <c r="BO215" s="346"/>
      <c r="BP215" s="346"/>
      <c r="BQ215" s="346"/>
      <c r="BR215" s="346"/>
      <c r="BS215" s="346"/>
      <c r="BT215" s="346"/>
      <c r="BU215" s="346"/>
      <c r="BV215" s="346"/>
      <c r="BW215" s="346"/>
      <c r="BX215" s="346"/>
      <c r="BY215" s="346"/>
      <c r="BZ215" s="346"/>
      <c r="CA215" s="346"/>
      <c r="CB215" s="346"/>
      <c r="CC215" s="346"/>
      <c r="CD215" s="346"/>
      <c r="CE215" s="346"/>
      <c r="CF215" s="346"/>
      <c r="CG215" s="346"/>
      <c r="CH215" s="346"/>
      <c r="CI215" s="346"/>
      <c r="CJ215" s="346"/>
      <c r="CK215" s="346"/>
      <c r="CL215" s="346"/>
      <c r="CM215" s="346"/>
      <c r="CN215" s="346"/>
      <c r="CO215" s="346"/>
      <c r="CP215" s="346"/>
      <c r="CQ215" s="346"/>
      <c r="CR215" s="346"/>
      <c r="CS215" s="346"/>
      <c r="CT215" s="346"/>
      <c r="CU215" s="346"/>
      <c r="CV215" s="346"/>
      <c r="CW215" s="346"/>
      <c r="CX215" s="346"/>
      <c r="CY215" s="346"/>
      <c r="CZ215" s="346"/>
      <c r="DA215" s="346"/>
      <c r="DB215" s="346"/>
      <c r="DC215" s="346"/>
      <c r="DD215" s="346"/>
      <c r="DE215" s="346"/>
      <c r="DF215" s="346"/>
      <c r="DG215" s="346"/>
      <c r="DH215" s="346"/>
      <c r="DI215" s="346"/>
      <c r="DJ215" s="346"/>
    </row>
    <row r="216" spans="1:114" x14ac:dyDescent="0.25">
      <c r="A216" s="339"/>
      <c r="B216" s="340" t="s">
        <v>1165</v>
      </c>
      <c r="C216" s="341">
        <v>1500</v>
      </c>
      <c r="D216" s="342"/>
      <c r="E216" s="343"/>
      <c r="F216" s="343"/>
      <c r="G216" s="345"/>
      <c r="H216" s="346"/>
      <c r="I216" s="345"/>
      <c r="J216" s="345"/>
      <c r="K216" s="347"/>
      <c r="L216" s="297"/>
      <c r="M216" s="297"/>
      <c r="N216" s="314">
        <f t="shared" si="40"/>
        <v>38</v>
      </c>
      <c r="O216" s="390">
        <v>20</v>
      </c>
      <c r="P216" s="350">
        <v>18</v>
      </c>
      <c r="Q216" s="349"/>
      <c r="R216" s="349"/>
      <c r="S216" s="349"/>
      <c r="T216" s="346"/>
      <c r="U216" s="346"/>
      <c r="V216" s="346"/>
      <c r="W216" s="346"/>
      <c r="X216" s="346"/>
      <c r="Y216" s="346"/>
      <c r="Z216" s="346"/>
      <c r="AA216" s="346"/>
      <c r="AB216" s="346"/>
      <c r="AC216" s="346"/>
      <c r="AD216" s="346"/>
      <c r="AE216" s="346"/>
      <c r="AF216" s="346"/>
      <c r="AG216" s="346"/>
      <c r="AH216" s="346"/>
      <c r="AI216" s="346"/>
      <c r="AJ216" s="346"/>
      <c r="AK216" s="346"/>
      <c r="AL216" s="346"/>
      <c r="AM216" s="346"/>
      <c r="AN216" s="346"/>
      <c r="AO216" s="346"/>
      <c r="AP216" s="346"/>
      <c r="AQ216" s="346"/>
      <c r="AR216" s="346"/>
      <c r="AS216" s="346"/>
      <c r="AT216" s="346"/>
      <c r="AU216" s="346"/>
      <c r="AV216" s="346"/>
      <c r="AW216" s="346"/>
      <c r="AX216" s="346"/>
      <c r="AY216" s="346"/>
      <c r="AZ216" s="346"/>
      <c r="BA216" s="346"/>
      <c r="BB216" s="346"/>
      <c r="BC216" s="346"/>
      <c r="BD216" s="346"/>
      <c r="BE216" s="346"/>
      <c r="BF216" s="346"/>
      <c r="BG216" s="346"/>
      <c r="BH216" s="346"/>
      <c r="BI216" s="346"/>
      <c r="BJ216" s="346"/>
      <c r="BK216" s="346"/>
      <c r="BL216" s="346"/>
      <c r="BM216" s="346"/>
      <c r="BN216" s="346"/>
      <c r="BO216" s="346"/>
      <c r="BP216" s="346"/>
      <c r="BQ216" s="346"/>
      <c r="BR216" s="346"/>
      <c r="BS216" s="346"/>
      <c r="BT216" s="346"/>
      <c r="BU216" s="346"/>
      <c r="BV216" s="346"/>
      <c r="BW216" s="346"/>
      <c r="BX216" s="346"/>
      <c r="BY216" s="346"/>
      <c r="BZ216" s="346"/>
      <c r="CA216" s="346"/>
      <c r="CB216" s="346"/>
      <c r="CC216" s="346"/>
      <c r="CD216" s="346"/>
      <c r="CE216" s="346"/>
      <c r="CF216" s="346"/>
      <c r="CG216" s="346"/>
      <c r="CH216" s="346"/>
      <c r="CI216" s="346"/>
      <c r="CJ216" s="346"/>
      <c r="CK216" s="346"/>
      <c r="CL216" s="346"/>
      <c r="CM216" s="346"/>
      <c r="CN216" s="346"/>
      <c r="CO216" s="346"/>
      <c r="CP216" s="346"/>
      <c r="CQ216" s="346"/>
      <c r="CR216" s="346"/>
      <c r="CS216" s="346"/>
      <c r="CT216" s="346"/>
      <c r="CU216" s="346"/>
      <c r="CV216" s="346"/>
      <c r="CW216" s="346"/>
      <c r="CX216" s="346"/>
      <c r="CY216" s="346"/>
      <c r="CZ216" s="346"/>
      <c r="DA216" s="346"/>
      <c r="DB216" s="346"/>
      <c r="DC216" s="346"/>
      <c r="DD216" s="346"/>
      <c r="DE216" s="346"/>
      <c r="DF216" s="346"/>
      <c r="DG216" s="346"/>
      <c r="DH216" s="346"/>
      <c r="DI216" s="346"/>
      <c r="DJ216" s="346"/>
    </row>
    <row r="217" spans="1:114" x14ac:dyDescent="0.25">
      <c r="A217" s="339"/>
      <c r="B217" s="340"/>
      <c r="C217" s="341"/>
      <c r="D217" s="342"/>
      <c r="E217" s="343"/>
      <c r="F217" s="343"/>
      <c r="G217" s="345"/>
      <c r="H217" s="346"/>
      <c r="I217" s="345"/>
      <c r="J217" s="345"/>
      <c r="K217" s="347"/>
      <c r="L217" s="297"/>
      <c r="M217" s="297"/>
      <c r="N217" s="348"/>
      <c r="O217" s="390" t="s">
        <v>1009</v>
      </c>
      <c r="P217" s="350" t="s">
        <v>1146</v>
      </c>
      <c r="Q217" s="349"/>
      <c r="R217" s="349"/>
      <c r="S217" s="349"/>
      <c r="T217" s="346"/>
      <c r="U217" s="346"/>
      <c r="V217" s="346"/>
      <c r="W217" s="346"/>
      <c r="X217" s="346"/>
      <c r="Y217" s="346"/>
      <c r="Z217" s="346"/>
      <c r="AA217" s="346"/>
      <c r="AB217" s="346"/>
      <c r="AC217" s="346"/>
      <c r="AD217" s="346"/>
      <c r="AE217" s="346"/>
      <c r="AF217" s="346"/>
      <c r="AG217" s="346"/>
      <c r="AH217" s="346"/>
      <c r="AI217" s="346"/>
      <c r="AJ217" s="346"/>
      <c r="AK217" s="346"/>
      <c r="AL217" s="346"/>
      <c r="AM217" s="346"/>
      <c r="AN217" s="346"/>
      <c r="AO217" s="346"/>
      <c r="AP217" s="346"/>
      <c r="AQ217" s="346"/>
      <c r="AR217" s="346"/>
      <c r="AS217" s="346"/>
      <c r="AT217" s="346"/>
      <c r="AU217" s="346"/>
      <c r="AV217" s="346"/>
      <c r="AW217" s="346"/>
      <c r="AX217" s="346"/>
      <c r="AY217" s="346"/>
      <c r="AZ217" s="346"/>
      <c r="BA217" s="346"/>
      <c r="BB217" s="346"/>
      <c r="BC217" s="346"/>
      <c r="BD217" s="346"/>
      <c r="BE217" s="346"/>
      <c r="BF217" s="346"/>
      <c r="BG217" s="346"/>
      <c r="BH217" s="346"/>
      <c r="BI217" s="346"/>
      <c r="BJ217" s="346"/>
      <c r="BK217" s="346"/>
      <c r="BL217" s="346"/>
      <c r="BM217" s="346"/>
      <c r="BN217" s="346"/>
      <c r="BO217" s="346"/>
      <c r="BP217" s="346"/>
      <c r="BQ217" s="346"/>
      <c r="BR217" s="346"/>
      <c r="BS217" s="346"/>
      <c r="BT217" s="346"/>
      <c r="BU217" s="346"/>
      <c r="BV217" s="346"/>
      <c r="BW217" s="346"/>
      <c r="BX217" s="346"/>
      <c r="BY217" s="346"/>
      <c r="BZ217" s="346"/>
      <c r="CA217" s="346"/>
      <c r="CB217" s="346"/>
      <c r="CC217" s="346"/>
      <c r="CD217" s="346"/>
      <c r="CE217" s="346"/>
      <c r="CF217" s="346"/>
      <c r="CG217" s="346"/>
      <c r="CH217" s="346"/>
      <c r="CI217" s="346"/>
      <c r="CJ217" s="346"/>
      <c r="CK217" s="346"/>
      <c r="CL217" s="346"/>
      <c r="CM217" s="346"/>
      <c r="CN217" s="346"/>
      <c r="CO217" s="346"/>
      <c r="CP217" s="346"/>
      <c r="CQ217" s="346"/>
      <c r="CR217" s="346"/>
      <c r="CS217" s="346"/>
      <c r="CT217" s="346"/>
      <c r="CU217" s="346"/>
      <c r="CV217" s="346"/>
      <c r="CW217" s="346"/>
      <c r="CX217" s="346"/>
      <c r="CY217" s="346"/>
      <c r="CZ217" s="346"/>
      <c r="DA217" s="346"/>
      <c r="DB217" s="346"/>
      <c r="DC217" s="346"/>
      <c r="DD217" s="346"/>
      <c r="DE217" s="346"/>
      <c r="DF217" s="346"/>
      <c r="DG217" s="346"/>
      <c r="DH217" s="346"/>
      <c r="DI217" s="346"/>
      <c r="DJ217" s="346"/>
    </row>
    <row r="218" spans="1:114" x14ac:dyDescent="0.25">
      <c r="A218" s="339"/>
      <c r="B218" s="340" t="s">
        <v>1166</v>
      </c>
      <c r="C218" s="341">
        <v>1500</v>
      </c>
      <c r="D218" s="342"/>
      <c r="E218" s="343"/>
      <c r="F218" s="343"/>
      <c r="G218" s="345"/>
      <c r="H218" s="346"/>
      <c r="I218" s="345"/>
      <c r="J218" s="345"/>
      <c r="K218" s="347"/>
      <c r="L218" s="297"/>
      <c r="M218" s="297"/>
      <c r="N218" s="314">
        <f t="shared" si="40"/>
        <v>39</v>
      </c>
      <c r="O218" s="390">
        <v>20</v>
      </c>
      <c r="P218" s="350">
        <v>19</v>
      </c>
      <c r="Q218" s="349"/>
      <c r="R218" s="349"/>
      <c r="S218" s="349"/>
      <c r="T218" s="346"/>
      <c r="U218" s="346"/>
      <c r="V218" s="346"/>
      <c r="W218" s="346"/>
      <c r="X218" s="346"/>
      <c r="Y218" s="346"/>
      <c r="Z218" s="346"/>
      <c r="AA218" s="346"/>
      <c r="AB218" s="346"/>
      <c r="AC218" s="346"/>
      <c r="AD218" s="346"/>
      <c r="AE218" s="346"/>
      <c r="AF218" s="346"/>
      <c r="AG218" s="346"/>
      <c r="AH218" s="346"/>
      <c r="AI218" s="346"/>
      <c r="AJ218" s="346"/>
      <c r="AK218" s="346"/>
      <c r="AL218" s="346"/>
      <c r="AM218" s="346"/>
      <c r="AN218" s="346"/>
      <c r="AO218" s="346"/>
      <c r="AP218" s="346"/>
      <c r="AQ218" s="346"/>
      <c r="AR218" s="346"/>
      <c r="AS218" s="346"/>
      <c r="AT218" s="346"/>
      <c r="AU218" s="346"/>
      <c r="AV218" s="346"/>
      <c r="AW218" s="346"/>
      <c r="AX218" s="346"/>
      <c r="AY218" s="346"/>
      <c r="AZ218" s="346"/>
      <c r="BA218" s="346"/>
      <c r="BB218" s="346"/>
      <c r="BC218" s="346"/>
      <c r="BD218" s="346"/>
      <c r="BE218" s="346"/>
      <c r="BF218" s="346"/>
      <c r="BG218" s="346"/>
      <c r="BH218" s="346"/>
      <c r="BI218" s="346"/>
      <c r="BJ218" s="346"/>
      <c r="BK218" s="346"/>
      <c r="BL218" s="346"/>
      <c r="BM218" s="346"/>
      <c r="BN218" s="346"/>
      <c r="BO218" s="346"/>
      <c r="BP218" s="346"/>
      <c r="BQ218" s="346"/>
      <c r="BR218" s="346"/>
      <c r="BS218" s="346"/>
      <c r="BT218" s="346"/>
      <c r="BU218" s="346"/>
      <c r="BV218" s="346"/>
      <c r="BW218" s="346"/>
      <c r="BX218" s="346"/>
      <c r="BY218" s="346"/>
      <c r="BZ218" s="346"/>
      <c r="CA218" s="346"/>
      <c r="CB218" s="346"/>
      <c r="CC218" s="346"/>
      <c r="CD218" s="346"/>
      <c r="CE218" s="346"/>
      <c r="CF218" s="346"/>
      <c r="CG218" s="346"/>
      <c r="CH218" s="346"/>
      <c r="CI218" s="346"/>
      <c r="CJ218" s="346"/>
      <c r="CK218" s="346"/>
      <c r="CL218" s="346"/>
      <c r="CM218" s="346"/>
      <c r="CN218" s="346"/>
      <c r="CO218" s="346"/>
      <c r="CP218" s="346"/>
      <c r="CQ218" s="346"/>
      <c r="CR218" s="346"/>
      <c r="CS218" s="346"/>
      <c r="CT218" s="346"/>
      <c r="CU218" s="346"/>
      <c r="CV218" s="346"/>
      <c r="CW218" s="346"/>
      <c r="CX218" s="346"/>
      <c r="CY218" s="346"/>
      <c r="CZ218" s="346"/>
      <c r="DA218" s="346"/>
      <c r="DB218" s="346"/>
      <c r="DC218" s="346"/>
      <c r="DD218" s="346"/>
      <c r="DE218" s="346"/>
      <c r="DF218" s="346"/>
      <c r="DG218" s="346"/>
      <c r="DH218" s="346"/>
      <c r="DI218" s="346"/>
      <c r="DJ218" s="346"/>
    </row>
    <row r="219" spans="1:114" x14ac:dyDescent="0.25">
      <c r="A219" s="339"/>
      <c r="B219" s="340"/>
      <c r="C219" s="341"/>
      <c r="D219" s="342"/>
      <c r="E219" s="343"/>
      <c r="F219" s="343"/>
      <c r="G219" s="345"/>
      <c r="H219" s="346"/>
      <c r="I219" s="345"/>
      <c r="J219" s="345"/>
      <c r="K219" s="347"/>
      <c r="L219" s="297"/>
      <c r="M219" s="297"/>
      <c r="N219" s="348"/>
      <c r="O219" s="390" t="s">
        <v>1146</v>
      </c>
      <c r="P219" s="350" t="s">
        <v>1009</v>
      </c>
      <c r="Q219" s="349"/>
      <c r="R219" s="349"/>
      <c r="S219" s="349"/>
      <c r="T219" s="346"/>
      <c r="U219" s="346"/>
      <c r="V219" s="346"/>
      <c r="W219" s="346"/>
      <c r="X219" s="346"/>
      <c r="Y219" s="346"/>
      <c r="Z219" s="346"/>
      <c r="AA219" s="346"/>
      <c r="AB219" s="346"/>
      <c r="AC219" s="346"/>
      <c r="AD219" s="346"/>
      <c r="AE219" s="346"/>
      <c r="AF219" s="346"/>
      <c r="AG219" s="346"/>
      <c r="AH219" s="346"/>
      <c r="AI219" s="346"/>
      <c r="AJ219" s="346"/>
      <c r="AK219" s="346"/>
      <c r="AL219" s="346"/>
      <c r="AM219" s="346"/>
      <c r="AN219" s="346"/>
      <c r="AO219" s="346"/>
      <c r="AP219" s="346"/>
      <c r="AQ219" s="346"/>
      <c r="AR219" s="346"/>
      <c r="AS219" s="346"/>
      <c r="AT219" s="346"/>
      <c r="AU219" s="346"/>
      <c r="AV219" s="346"/>
      <c r="AW219" s="346"/>
      <c r="AX219" s="346"/>
      <c r="AY219" s="346"/>
      <c r="AZ219" s="346"/>
      <c r="BA219" s="346"/>
      <c r="BB219" s="346"/>
      <c r="BC219" s="346"/>
      <c r="BD219" s="346"/>
      <c r="BE219" s="346"/>
      <c r="BF219" s="346"/>
      <c r="BG219" s="346"/>
      <c r="BH219" s="346"/>
      <c r="BI219" s="346"/>
      <c r="BJ219" s="346"/>
      <c r="BK219" s="346"/>
      <c r="BL219" s="346"/>
      <c r="BM219" s="346"/>
      <c r="BN219" s="346"/>
      <c r="BO219" s="346"/>
      <c r="BP219" s="346"/>
      <c r="BQ219" s="346"/>
      <c r="BR219" s="346"/>
      <c r="BS219" s="346"/>
      <c r="BT219" s="346"/>
      <c r="BU219" s="346"/>
      <c r="BV219" s="346"/>
      <c r="BW219" s="346"/>
      <c r="BX219" s="346"/>
      <c r="BY219" s="346"/>
      <c r="BZ219" s="346"/>
      <c r="CA219" s="346"/>
      <c r="CB219" s="346"/>
      <c r="CC219" s="346"/>
      <c r="CD219" s="346"/>
      <c r="CE219" s="346"/>
      <c r="CF219" s="346"/>
      <c r="CG219" s="346"/>
      <c r="CH219" s="346"/>
      <c r="CI219" s="346"/>
      <c r="CJ219" s="346"/>
      <c r="CK219" s="346"/>
      <c r="CL219" s="346"/>
      <c r="CM219" s="346"/>
      <c r="CN219" s="346"/>
      <c r="CO219" s="346"/>
      <c r="CP219" s="346"/>
      <c r="CQ219" s="346"/>
      <c r="CR219" s="346"/>
      <c r="CS219" s="346"/>
      <c r="CT219" s="346"/>
      <c r="CU219" s="346"/>
      <c r="CV219" s="346"/>
      <c r="CW219" s="346"/>
      <c r="CX219" s="346"/>
      <c r="CY219" s="346"/>
      <c r="CZ219" s="346"/>
      <c r="DA219" s="346"/>
      <c r="DB219" s="346"/>
      <c r="DC219" s="346"/>
      <c r="DD219" s="346"/>
      <c r="DE219" s="346"/>
      <c r="DF219" s="346"/>
      <c r="DG219" s="346"/>
      <c r="DH219" s="346"/>
      <c r="DI219" s="346"/>
      <c r="DJ219" s="346"/>
    </row>
    <row r="220" spans="1:114" x14ac:dyDescent="0.25">
      <c r="A220" s="339"/>
      <c r="B220" s="340" t="s">
        <v>1167</v>
      </c>
      <c r="C220" s="341">
        <v>1500</v>
      </c>
      <c r="D220" s="342"/>
      <c r="E220" s="343"/>
      <c r="F220" s="343"/>
      <c r="G220" s="345"/>
      <c r="H220" s="346"/>
      <c r="I220" s="345"/>
      <c r="J220" s="345"/>
      <c r="K220" s="347"/>
      <c r="L220" s="297"/>
      <c r="M220" s="297"/>
      <c r="N220" s="314">
        <f t="shared" si="40"/>
        <v>39</v>
      </c>
      <c r="O220" s="390">
        <v>19</v>
      </c>
      <c r="P220" s="350">
        <v>20</v>
      </c>
      <c r="Q220" s="349"/>
      <c r="R220" s="349"/>
      <c r="S220" s="349"/>
      <c r="T220" s="346"/>
      <c r="U220" s="346"/>
      <c r="V220" s="346"/>
      <c r="W220" s="346"/>
      <c r="X220" s="346"/>
      <c r="Y220" s="346"/>
      <c r="Z220" s="346"/>
      <c r="AA220" s="346"/>
      <c r="AB220" s="346"/>
      <c r="AC220" s="346"/>
      <c r="AD220" s="346"/>
      <c r="AE220" s="346"/>
      <c r="AF220" s="346"/>
      <c r="AG220" s="346"/>
      <c r="AH220" s="346"/>
      <c r="AI220" s="346"/>
      <c r="AJ220" s="346"/>
      <c r="AK220" s="346"/>
      <c r="AL220" s="346"/>
      <c r="AM220" s="346"/>
      <c r="AN220" s="346"/>
      <c r="AO220" s="346"/>
      <c r="AP220" s="346"/>
      <c r="AQ220" s="346"/>
      <c r="AR220" s="346"/>
      <c r="AS220" s="346"/>
      <c r="AT220" s="346"/>
      <c r="AU220" s="346"/>
      <c r="AV220" s="346"/>
      <c r="AW220" s="346"/>
      <c r="AX220" s="346"/>
      <c r="AY220" s="346"/>
      <c r="AZ220" s="346"/>
      <c r="BA220" s="346"/>
      <c r="BB220" s="346"/>
      <c r="BC220" s="346"/>
      <c r="BD220" s="346"/>
      <c r="BE220" s="346"/>
      <c r="BF220" s="346"/>
      <c r="BG220" s="346"/>
      <c r="BH220" s="346"/>
      <c r="BI220" s="346"/>
      <c r="BJ220" s="346"/>
      <c r="BK220" s="346"/>
      <c r="BL220" s="346"/>
      <c r="BM220" s="346"/>
      <c r="BN220" s="346"/>
      <c r="BO220" s="346"/>
      <c r="BP220" s="346"/>
      <c r="BQ220" s="346"/>
      <c r="BR220" s="346"/>
      <c r="BS220" s="346"/>
      <c r="BT220" s="346"/>
      <c r="BU220" s="346"/>
      <c r="BV220" s="346"/>
      <c r="BW220" s="346"/>
      <c r="BX220" s="346"/>
      <c r="BY220" s="346"/>
      <c r="BZ220" s="346"/>
      <c r="CA220" s="346"/>
      <c r="CB220" s="346"/>
      <c r="CC220" s="346"/>
      <c r="CD220" s="346"/>
      <c r="CE220" s="346"/>
      <c r="CF220" s="346"/>
      <c r="CG220" s="346"/>
      <c r="CH220" s="346"/>
      <c r="CI220" s="346"/>
      <c r="CJ220" s="346"/>
      <c r="CK220" s="346"/>
      <c r="CL220" s="346"/>
      <c r="CM220" s="346"/>
      <c r="CN220" s="346"/>
      <c r="CO220" s="346"/>
      <c r="CP220" s="346"/>
      <c r="CQ220" s="346"/>
      <c r="CR220" s="346"/>
      <c r="CS220" s="346"/>
      <c r="CT220" s="346"/>
      <c r="CU220" s="346"/>
      <c r="CV220" s="346"/>
      <c r="CW220" s="346"/>
      <c r="CX220" s="346"/>
      <c r="CY220" s="346"/>
      <c r="CZ220" s="346"/>
      <c r="DA220" s="346"/>
      <c r="DB220" s="346"/>
      <c r="DC220" s="346"/>
      <c r="DD220" s="346"/>
      <c r="DE220" s="346"/>
      <c r="DF220" s="346"/>
      <c r="DG220" s="346"/>
      <c r="DH220" s="346"/>
      <c r="DI220" s="346"/>
      <c r="DJ220" s="346"/>
    </row>
    <row r="221" spans="1:114" x14ac:dyDescent="0.25">
      <c r="A221" s="339"/>
      <c r="B221" s="340"/>
      <c r="C221" s="341"/>
      <c r="D221" s="342"/>
      <c r="E221" s="343"/>
      <c r="F221" s="343"/>
      <c r="G221" s="345"/>
      <c r="H221" s="346"/>
      <c r="I221" s="345"/>
      <c r="J221" s="345"/>
      <c r="K221" s="347"/>
      <c r="L221" s="297"/>
      <c r="M221" s="297"/>
      <c r="N221" s="348"/>
      <c r="O221" s="390" t="s">
        <v>1009</v>
      </c>
      <c r="P221" s="350" t="s">
        <v>1146</v>
      </c>
      <c r="Q221" s="349"/>
      <c r="R221" s="349"/>
      <c r="S221" s="349"/>
      <c r="T221" s="346"/>
      <c r="U221" s="346"/>
      <c r="V221" s="346"/>
      <c r="W221" s="346"/>
      <c r="X221" s="346"/>
      <c r="Y221" s="346"/>
      <c r="Z221" s="346"/>
      <c r="AA221" s="346"/>
      <c r="AB221" s="346"/>
      <c r="AC221" s="346"/>
      <c r="AD221" s="346"/>
      <c r="AE221" s="346"/>
      <c r="AF221" s="346"/>
      <c r="AG221" s="346"/>
      <c r="AH221" s="346"/>
      <c r="AI221" s="346"/>
      <c r="AJ221" s="346"/>
      <c r="AK221" s="346"/>
      <c r="AL221" s="346"/>
      <c r="AM221" s="346"/>
      <c r="AN221" s="346"/>
      <c r="AO221" s="346"/>
      <c r="AP221" s="346"/>
      <c r="AQ221" s="346"/>
      <c r="AR221" s="346"/>
      <c r="AS221" s="346"/>
      <c r="AT221" s="346"/>
      <c r="AU221" s="346"/>
      <c r="AV221" s="346"/>
      <c r="AW221" s="346"/>
      <c r="AX221" s="346"/>
      <c r="AY221" s="346"/>
      <c r="AZ221" s="346"/>
      <c r="BA221" s="346"/>
      <c r="BB221" s="346"/>
      <c r="BC221" s="346"/>
      <c r="BD221" s="346"/>
      <c r="BE221" s="346"/>
      <c r="BF221" s="346"/>
      <c r="BG221" s="346"/>
      <c r="BH221" s="346"/>
      <c r="BI221" s="346"/>
      <c r="BJ221" s="346"/>
      <c r="BK221" s="346"/>
      <c r="BL221" s="346"/>
      <c r="BM221" s="346"/>
      <c r="BN221" s="346"/>
      <c r="BO221" s="346"/>
      <c r="BP221" s="346"/>
      <c r="BQ221" s="346"/>
      <c r="BR221" s="346"/>
      <c r="BS221" s="346"/>
      <c r="BT221" s="346"/>
      <c r="BU221" s="346"/>
      <c r="BV221" s="346"/>
      <c r="BW221" s="346"/>
      <c r="BX221" s="346"/>
      <c r="BY221" s="346"/>
      <c r="BZ221" s="346"/>
      <c r="CA221" s="346"/>
      <c r="CB221" s="346"/>
      <c r="CC221" s="346"/>
      <c r="CD221" s="346"/>
      <c r="CE221" s="346"/>
      <c r="CF221" s="346"/>
      <c r="CG221" s="346"/>
      <c r="CH221" s="346"/>
      <c r="CI221" s="346"/>
      <c r="CJ221" s="346"/>
      <c r="CK221" s="346"/>
      <c r="CL221" s="346"/>
      <c r="CM221" s="346"/>
      <c r="CN221" s="346"/>
      <c r="CO221" s="346"/>
      <c r="CP221" s="346"/>
      <c r="CQ221" s="346"/>
      <c r="CR221" s="346"/>
      <c r="CS221" s="346"/>
      <c r="CT221" s="346"/>
      <c r="CU221" s="346"/>
      <c r="CV221" s="346"/>
      <c r="CW221" s="346"/>
      <c r="CX221" s="346"/>
      <c r="CY221" s="346"/>
      <c r="CZ221" s="346"/>
      <c r="DA221" s="346"/>
      <c r="DB221" s="346"/>
      <c r="DC221" s="346"/>
      <c r="DD221" s="346"/>
      <c r="DE221" s="346"/>
      <c r="DF221" s="346"/>
      <c r="DG221" s="346"/>
      <c r="DH221" s="346"/>
      <c r="DI221" s="346"/>
      <c r="DJ221" s="346"/>
    </row>
    <row r="222" spans="1:114" x14ac:dyDescent="0.25">
      <c r="A222" s="339"/>
      <c r="B222" s="340" t="s">
        <v>1168</v>
      </c>
      <c r="C222" s="341">
        <v>1500</v>
      </c>
      <c r="D222" s="342"/>
      <c r="E222" s="343"/>
      <c r="F222" s="343"/>
      <c r="G222" s="345"/>
      <c r="H222" s="346"/>
      <c r="I222" s="345"/>
      <c r="J222" s="345"/>
      <c r="K222" s="347"/>
      <c r="L222" s="297"/>
      <c r="M222" s="297"/>
      <c r="N222" s="314">
        <f t="shared" si="40"/>
        <v>38</v>
      </c>
      <c r="O222" s="390">
        <v>20</v>
      </c>
      <c r="P222" s="350">
        <v>18</v>
      </c>
      <c r="Q222" s="349"/>
      <c r="R222" s="349"/>
      <c r="S222" s="349"/>
      <c r="T222" s="346"/>
      <c r="U222" s="346"/>
      <c r="V222" s="346"/>
      <c r="W222" s="346"/>
      <c r="X222" s="346"/>
      <c r="Y222" s="346"/>
      <c r="Z222" s="346"/>
      <c r="AA222" s="346"/>
      <c r="AB222" s="346"/>
      <c r="AC222" s="346"/>
      <c r="AD222" s="346"/>
      <c r="AE222" s="346"/>
      <c r="AF222" s="346"/>
      <c r="AG222" s="346"/>
      <c r="AH222" s="346"/>
      <c r="AI222" s="346"/>
      <c r="AJ222" s="346"/>
      <c r="AK222" s="346"/>
      <c r="AL222" s="346"/>
      <c r="AM222" s="346"/>
      <c r="AN222" s="346"/>
      <c r="AO222" s="346"/>
      <c r="AP222" s="346"/>
      <c r="AQ222" s="346"/>
      <c r="AR222" s="346"/>
      <c r="AS222" s="346"/>
      <c r="AT222" s="346"/>
      <c r="AU222" s="346"/>
      <c r="AV222" s="346"/>
      <c r="AW222" s="346"/>
      <c r="AX222" s="346"/>
      <c r="AY222" s="346"/>
      <c r="AZ222" s="346"/>
      <c r="BA222" s="346"/>
      <c r="BB222" s="346"/>
      <c r="BC222" s="346"/>
      <c r="BD222" s="346"/>
      <c r="BE222" s="346"/>
      <c r="BF222" s="346"/>
      <c r="BG222" s="346"/>
      <c r="BH222" s="346"/>
      <c r="BI222" s="346"/>
      <c r="BJ222" s="346"/>
      <c r="BK222" s="346"/>
      <c r="BL222" s="346"/>
      <c r="BM222" s="346"/>
      <c r="BN222" s="346"/>
      <c r="BO222" s="346"/>
      <c r="BP222" s="346"/>
      <c r="BQ222" s="346"/>
      <c r="BR222" s="346"/>
      <c r="BS222" s="346"/>
      <c r="BT222" s="346"/>
      <c r="BU222" s="346"/>
      <c r="BV222" s="346"/>
      <c r="BW222" s="346"/>
      <c r="BX222" s="346"/>
      <c r="BY222" s="346"/>
      <c r="BZ222" s="346"/>
      <c r="CA222" s="346"/>
      <c r="CB222" s="346"/>
      <c r="CC222" s="346"/>
      <c r="CD222" s="346"/>
      <c r="CE222" s="346"/>
      <c r="CF222" s="346"/>
      <c r="CG222" s="346"/>
      <c r="CH222" s="346"/>
      <c r="CI222" s="346"/>
      <c r="CJ222" s="346"/>
      <c r="CK222" s="346"/>
      <c r="CL222" s="346"/>
      <c r="CM222" s="346"/>
      <c r="CN222" s="346"/>
      <c r="CO222" s="346"/>
      <c r="CP222" s="346"/>
      <c r="CQ222" s="346"/>
      <c r="CR222" s="346"/>
      <c r="CS222" s="346"/>
      <c r="CT222" s="346"/>
      <c r="CU222" s="346"/>
      <c r="CV222" s="346"/>
      <c r="CW222" s="346"/>
      <c r="CX222" s="346"/>
      <c r="CY222" s="346"/>
      <c r="CZ222" s="346"/>
      <c r="DA222" s="346"/>
      <c r="DB222" s="346"/>
      <c r="DC222" s="346"/>
      <c r="DD222" s="346"/>
      <c r="DE222" s="346"/>
      <c r="DF222" s="346"/>
      <c r="DG222" s="346"/>
      <c r="DH222" s="346"/>
      <c r="DI222" s="346"/>
      <c r="DJ222" s="346"/>
    </row>
    <row r="223" spans="1:114" x14ac:dyDescent="0.25">
      <c r="A223" s="339"/>
      <c r="B223" s="340"/>
      <c r="C223" s="341"/>
      <c r="D223" s="342"/>
      <c r="E223" s="343"/>
      <c r="F223" s="343"/>
      <c r="G223" s="345"/>
      <c r="H223" s="346"/>
      <c r="I223" s="345"/>
      <c r="J223" s="345"/>
      <c r="K223" s="347"/>
      <c r="L223" s="297"/>
      <c r="M223" s="297"/>
      <c r="N223" s="348"/>
      <c r="O223" s="390" t="s">
        <v>1009</v>
      </c>
      <c r="P223" s="350" t="s">
        <v>1146</v>
      </c>
      <c r="Q223" s="349"/>
      <c r="R223" s="349"/>
      <c r="S223" s="349"/>
      <c r="T223" s="346"/>
      <c r="U223" s="346"/>
      <c r="V223" s="346"/>
      <c r="W223" s="346"/>
      <c r="X223" s="346"/>
      <c r="Y223" s="346"/>
      <c r="Z223" s="346"/>
      <c r="AA223" s="346"/>
      <c r="AB223" s="346"/>
      <c r="AC223" s="346"/>
      <c r="AD223" s="346"/>
      <c r="AE223" s="346"/>
      <c r="AF223" s="346"/>
      <c r="AG223" s="346"/>
      <c r="AH223" s="346"/>
      <c r="AI223" s="346"/>
      <c r="AJ223" s="346"/>
      <c r="AK223" s="346"/>
      <c r="AL223" s="346"/>
      <c r="AM223" s="346"/>
      <c r="AN223" s="346"/>
      <c r="AO223" s="346"/>
      <c r="AP223" s="346"/>
      <c r="AQ223" s="346"/>
      <c r="AR223" s="346"/>
      <c r="AS223" s="346"/>
      <c r="AT223" s="346"/>
      <c r="AU223" s="346"/>
      <c r="AV223" s="346"/>
      <c r="AW223" s="346"/>
      <c r="AX223" s="346"/>
      <c r="AY223" s="346"/>
      <c r="AZ223" s="346"/>
      <c r="BA223" s="346"/>
      <c r="BB223" s="346"/>
      <c r="BC223" s="346"/>
      <c r="BD223" s="346"/>
      <c r="BE223" s="346"/>
      <c r="BF223" s="346"/>
      <c r="BG223" s="346"/>
      <c r="BH223" s="346"/>
      <c r="BI223" s="346"/>
      <c r="BJ223" s="346"/>
      <c r="BK223" s="346"/>
      <c r="BL223" s="346"/>
      <c r="BM223" s="346"/>
      <c r="BN223" s="346"/>
      <c r="BO223" s="346"/>
      <c r="BP223" s="346"/>
      <c r="BQ223" s="346"/>
      <c r="BR223" s="346"/>
      <c r="BS223" s="346"/>
      <c r="BT223" s="346"/>
      <c r="BU223" s="346"/>
      <c r="BV223" s="346"/>
      <c r="BW223" s="346"/>
      <c r="BX223" s="346"/>
      <c r="BY223" s="346"/>
      <c r="BZ223" s="346"/>
      <c r="CA223" s="346"/>
      <c r="CB223" s="346"/>
      <c r="CC223" s="346"/>
      <c r="CD223" s="346"/>
      <c r="CE223" s="346"/>
      <c r="CF223" s="346"/>
      <c r="CG223" s="346"/>
      <c r="CH223" s="346"/>
      <c r="CI223" s="346"/>
      <c r="CJ223" s="346"/>
      <c r="CK223" s="346"/>
      <c r="CL223" s="346"/>
      <c r="CM223" s="346"/>
      <c r="CN223" s="346"/>
      <c r="CO223" s="346"/>
      <c r="CP223" s="346"/>
      <c r="CQ223" s="346"/>
      <c r="CR223" s="346"/>
      <c r="CS223" s="346"/>
      <c r="CT223" s="346"/>
      <c r="CU223" s="346"/>
      <c r="CV223" s="346"/>
      <c r="CW223" s="346"/>
      <c r="CX223" s="346"/>
      <c r="CY223" s="346"/>
      <c r="CZ223" s="346"/>
      <c r="DA223" s="346"/>
      <c r="DB223" s="346"/>
      <c r="DC223" s="346"/>
      <c r="DD223" s="346"/>
      <c r="DE223" s="346"/>
      <c r="DF223" s="346"/>
      <c r="DG223" s="346"/>
      <c r="DH223" s="346"/>
      <c r="DI223" s="346"/>
      <c r="DJ223" s="346"/>
    </row>
    <row r="224" spans="1:114" x14ac:dyDescent="0.25">
      <c r="A224" s="339"/>
      <c r="B224" s="340" t="s">
        <v>1169</v>
      </c>
      <c r="C224" s="341">
        <v>1500</v>
      </c>
      <c r="D224" s="342"/>
      <c r="E224" s="343"/>
      <c r="F224" s="343"/>
      <c r="G224" s="345"/>
      <c r="H224" s="346"/>
      <c r="I224" s="345"/>
      <c r="J224" s="345"/>
      <c r="K224" s="347"/>
      <c r="L224" s="297"/>
      <c r="M224" s="297"/>
      <c r="N224" s="314">
        <f t="shared" si="40"/>
        <v>38</v>
      </c>
      <c r="O224" s="390">
        <v>20</v>
      </c>
      <c r="P224" s="350">
        <v>18</v>
      </c>
      <c r="Q224" s="349"/>
      <c r="R224" s="349"/>
      <c r="S224" s="349"/>
      <c r="T224" s="346"/>
      <c r="U224" s="346"/>
      <c r="V224" s="346"/>
      <c r="W224" s="346"/>
      <c r="X224" s="346"/>
      <c r="Y224" s="346"/>
      <c r="Z224" s="346"/>
      <c r="AA224" s="346"/>
      <c r="AB224" s="346"/>
      <c r="AC224" s="346"/>
      <c r="AD224" s="346"/>
      <c r="AE224" s="346"/>
      <c r="AF224" s="346"/>
      <c r="AG224" s="346"/>
      <c r="AH224" s="346"/>
      <c r="AI224" s="346"/>
      <c r="AJ224" s="346"/>
      <c r="AK224" s="346"/>
      <c r="AL224" s="346"/>
      <c r="AM224" s="346"/>
      <c r="AN224" s="346"/>
      <c r="AO224" s="346"/>
      <c r="AP224" s="346"/>
      <c r="AQ224" s="346"/>
      <c r="AR224" s="346"/>
      <c r="AS224" s="346"/>
      <c r="AT224" s="346"/>
      <c r="AU224" s="346"/>
      <c r="AV224" s="346"/>
      <c r="AW224" s="346"/>
      <c r="AX224" s="346"/>
      <c r="AY224" s="346"/>
      <c r="AZ224" s="346"/>
      <c r="BA224" s="346"/>
      <c r="BB224" s="346"/>
      <c r="BC224" s="346"/>
      <c r="BD224" s="346"/>
      <c r="BE224" s="346"/>
      <c r="BF224" s="346"/>
      <c r="BG224" s="346"/>
      <c r="BH224" s="346"/>
      <c r="BI224" s="346"/>
      <c r="BJ224" s="346"/>
      <c r="BK224" s="346"/>
      <c r="BL224" s="346"/>
      <c r="BM224" s="346"/>
      <c r="BN224" s="346"/>
      <c r="BO224" s="346"/>
      <c r="BP224" s="346"/>
      <c r="BQ224" s="346"/>
      <c r="BR224" s="346"/>
      <c r="BS224" s="346"/>
      <c r="BT224" s="346"/>
      <c r="BU224" s="346"/>
      <c r="BV224" s="346"/>
      <c r="BW224" s="346"/>
      <c r="BX224" s="346"/>
      <c r="BY224" s="346"/>
      <c r="BZ224" s="346"/>
      <c r="CA224" s="346"/>
      <c r="CB224" s="346"/>
      <c r="CC224" s="346"/>
      <c r="CD224" s="346"/>
      <c r="CE224" s="346"/>
      <c r="CF224" s="346"/>
      <c r="CG224" s="346"/>
      <c r="CH224" s="346"/>
      <c r="CI224" s="346"/>
      <c r="CJ224" s="346"/>
      <c r="CK224" s="346"/>
      <c r="CL224" s="346"/>
      <c r="CM224" s="346"/>
      <c r="CN224" s="346"/>
      <c r="CO224" s="346"/>
      <c r="CP224" s="346"/>
      <c r="CQ224" s="346"/>
      <c r="CR224" s="346"/>
      <c r="CS224" s="346"/>
      <c r="CT224" s="346"/>
      <c r="CU224" s="346"/>
      <c r="CV224" s="346"/>
      <c r="CW224" s="346"/>
      <c r="CX224" s="346"/>
      <c r="CY224" s="346"/>
      <c r="CZ224" s="346"/>
      <c r="DA224" s="346"/>
      <c r="DB224" s="346"/>
      <c r="DC224" s="346"/>
      <c r="DD224" s="346"/>
      <c r="DE224" s="346"/>
      <c r="DF224" s="346"/>
      <c r="DG224" s="346"/>
      <c r="DH224" s="346"/>
      <c r="DI224" s="346"/>
      <c r="DJ224" s="346"/>
    </row>
    <row r="225" spans="1:114" x14ac:dyDescent="0.25">
      <c r="A225" s="339"/>
      <c r="B225" s="340"/>
      <c r="C225" s="341"/>
      <c r="D225" s="342"/>
      <c r="E225" s="343"/>
      <c r="F225" s="343"/>
      <c r="G225" s="345"/>
      <c r="H225" s="346"/>
      <c r="I225" s="345"/>
      <c r="J225" s="345"/>
      <c r="K225" s="347"/>
      <c r="L225" s="297"/>
      <c r="M225" s="297"/>
      <c r="N225" s="348"/>
      <c r="O225" s="390" t="s">
        <v>1146</v>
      </c>
      <c r="P225" s="350" t="s">
        <v>1013</v>
      </c>
      <c r="Q225" s="395" t="s">
        <v>1009</v>
      </c>
      <c r="R225" s="349"/>
      <c r="S225" s="349"/>
      <c r="T225" s="346"/>
      <c r="U225" s="346"/>
      <c r="V225" s="346"/>
      <c r="W225" s="346"/>
      <c r="X225" s="346"/>
      <c r="Y225" s="346"/>
      <c r="Z225" s="346"/>
      <c r="AA225" s="346"/>
      <c r="AB225" s="346"/>
      <c r="AC225" s="346"/>
      <c r="AD225" s="346"/>
      <c r="AE225" s="346"/>
      <c r="AF225" s="346"/>
      <c r="AG225" s="346"/>
      <c r="AH225" s="346"/>
      <c r="AI225" s="346"/>
      <c r="AJ225" s="346"/>
      <c r="AK225" s="346"/>
      <c r="AL225" s="346"/>
      <c r="AM225" s="346"/>
      <c r="AN225" s="346"/>
      <c r="AO225" s="346"/>
      <c r="AP225" s="346"/>
      <c r="AQ225" s="346"/>
      <c r="AR225" s="346"/>
      <c r="AS225" s="346"/>
      <c r="AT225" s="346"/>
      <c r="AU225" s="346"/>
      <c r="AV225" s="346"/>
      <c r="AW225" s="346"/>
      <c r="AX225" s="346"/>
      <c r="AY225" s="346"/>
      <c r="AZ225" s="346"/>
      <c r="BA225" s="346"/>
      <c r="BB225" s="346"/>
      <c r="BC225" s="346"/>
      <c r="BD225" s="346"/>
      <c r="BE225" s="346"/>
      <c r="BF225" s="346"/>
      <c r="BG225" s="346"/>
      <c r="BH225" s="346"/>
      <c r="BI225" s="346"/>
      <c r="BJ225" s="346"/>
      <c r="BK225" s="346"/>
      <c r="BL225" s="346"/>
      <c r="BM225" s="346"/>
      <c r="BN225" s="346"/>
      <c r="BO225" s="346"/>
      <c r="BP225" s="346"/>
      <c r="BQ225" s="346"/>
      <c r="BR225" s="346"/>
      <c r="BS225" s="346"/>
      <c r="BT225" s="346"/>
      <c r="BU225" s="346"/>
      <c r="BV225" s="346"/>
      <c r="BW225" s="346"/>
      <c r="BX225" s="346"/>
      <c r="BY225" s="346"/>
      <c r="BZ225" s="346"/>
      <c r="CA225" s="346"/>
      <c r="CB225" s="346"/>
      <c r="CC225" s="346"/>
      <c r="CD225" s="346"/>
      <c r="CE225" s="346"/>
      <c r="CF225" s="346"/>
      <c r="CG225" s="346"/>
      <c r="CH225" s="346"/>
      <c r="CI225" s="346"/>
      <c r="CJ225" s="346"/>
      <c r="CK225" s="346"/>
      <c r="CL225" s="346"/>
      <c r="CM225" s="346"/>
      <c r="CN225" s="346"/>
      <c r="CO225" s="346"/>
      <c r="CP225" s="346"/>
      <c r="CQ225" s="346"/>
      <c r="CR225" s="346"/>
      <c r="CS225" s="346"/>
      <c r="CT225" s="346"/>
      <c r="CU225" s="346"/>
      <c r="CV225" s="346"/>
      <c r="CW225" s="346"/>
      <c r="CX225" s="346"/>
      <c r="CY225" s="346"/>
      <c r="CZ225" s="346"/>
      <c r="DA225" s="346"/>
      <c r="DB225" s="346"/>
      <c r="DC225" s="346"/>
      <c r="DD225" s="346"/>
      <c r="DE225" s="346"/>
      <c r="DF225" s="346"/>
      <c r="DG225" s="346"/>
      <c r="DH225" s="346"/>
      <c r="DI225" s="346"/>
      <c r="DJ225" s="346"/>
    </row>
    <row r="226" spans="1:114" x14ac:dyDescent="0.25">
      <c r="A226" s="339"/>
      <c r="B226" s="340" t="s">
        <v>51</v>
      </c>
      <c r="C226" s="341">
        <v>1500</v>
      </c>
      <c r="D226" s="342"/>
      <c r="E226" s="343"/>
      <c r="F226" s="343"/>
      <c r="G226" s="345"/>
      <c r="H226" s="346"/>
      <c r="I226" s="345"/>
      <c r="J226" s="345"/>
      <c r="K226" s="347"/>
      <c r="L226" s="297"/>
      <c r="M226" s="297"/>
      <c r="N226" s="314">
        <f t="shared" si="40"/>
        <v>4413</v>
      </c>
      <c r="O226" s="390">
        <v>693</v>
      </c>
      <c r="P226" s="350">
        <f>1182-1062</f>
        <v>120</v>
      </c>
      <c r="Q226" s="395">
        <v>3600</v>
      </c>
      <c r="R226" s="349"/>
      <c r="S226" s="349"/>
      <c r="T226" s="346"/>
      <c r="U226" s="346"/>
      <c r="V226" s="346"/>
      <c r="W226" s="346"/>
      <c r="X226" s="346"/>
      <c r="Y226" s="346"/>
      <c r="Z226" s="346"/>
      <c r="AA226" s="346"/>
      <c r="AB226" s="346"/>
      <c r="AC226" s="346"/>
      <c r="AD226" s="346"/>
      <c r="AE226" s="346"/>
      <c r="AF226" s="346"/>
      <c r="AG226" s="346"/>
      <c r="AH226" s="346"/>
      <c r="AI226" s="346"/>
      <c r="AJ226" s="346"/>
      <c r="AK226" s="346"/>
      <c r="AL226" s="346"/>
      <c r="AM226" s="346"/>
      <c r="AN226" s="346"/>
      <c r="AO226" s="346"/>
      <c r="AP226" s="346"/>
      <c r="AQ226" s="346"/>
      <c r="AR226" s="346"/>
      <c r="AS226" s="346"/>
      <c r="AT226" s="346"/>
      <c r="AU226" s="346"/>
      <c r="AV226" s="346"/>
      <c r="AW226" s="346"/>
      <c r="AX226" s="346"/>
      <c r="AY226" s="346"/>
      <c r="AZ226" s="346"/>
      <c r="BA226" s="346"/>
      <c r="BB226" s="346"/>
      <c r="BC226" s="346"/>
      <c r="BD226" s="346"/>
      <c r="BE226" s="346"/>
      <c r="BF226" s="346"/>
      <c r="BG226" s="346"/>
      <c r="BH226" s="346"/>
      <c r="BI226" s="346"/>
      <c r="BJ226" s="346"/>
      <c r="BK226" s="346"/>
      <c r="BL226" s="346"/>
      <c r="BM226" s="346"/>
      <c r="BN226" s="346"/>
      <c r="BO226" s="346"/>
      <c r="BP226" s="346"/>
      <c r="BQ226" s="346"/>
      <c r="BR226" s="346"/>
      <c r="BS226" s="346"/>
      <c r="BT226" s="346"/>
      <c r="BU226" s="346"/>
      <c r="BV226" s="346"/>
      <c r="BW226" s="346"/>
      <c r="BX226" s="346"/>
      <c r="BY226" s="346"/>
      <c r="BZ226" s="346"/>
      <c r="CA226" s="346"/>
      <c r="CB226" s="346"/>
      <c r="CC226" s="346"/>
      <c r="CD226" s="346"/>
      <c r="CE226" s="346"/>
      <c r="CF226" s="346"/>
      <c r="CG226" s="346"/>
      <c r="CH226" s="346"/>
      <c r="CI226" s="346"/>
      <c r="CJ226" s="346"/>
      <c r="CK226" s="346"/>
      <c r="CL226" s="346"/>
      <c r="CM226" s="346"/>
      <c r="CN226" s="346"/>
      <c r="CO226" s="346"/>
      <c r="CP226" s="346"/>
      <c r="CQ226" s="346"/>
      <c r="CR226" s="346"/>
      <c r="CS226" s="346"/>
      <c r="CT226" s="346"/>
      <c r="CU226" s="346"/>
      <c r="CV226" s="346"/>
      <c r="CW226" s="346"/>
      <c r="CX226" s="346"/>
      <c r="CY226" s="346"/>
      <c r="CZ226" s="346"/>
      <c r="DA226" s="346"/>
      <c r="DB226" s="346"/>
      <c r="DC226" s="346"/>
      <c r="DD226" s="346"/>
      <c r="DE226" s="346"/>
      <c r="DF226" s="346"/>
      <c r="DG226" s="346"/>
      <c r="DH226" s="346"/>
      <c r="DI226" s="346"/>
      <c r="DJ226" s="346"/>
    </row>
    <row r="227" spans="1:114" x14ac:dyDescent="0.25">
      <c r="A227" s="339"/>
      <c r="B227" s="340"/>
      <c r="C227" s="341"/>
      <c r="D227" s="342"/>
      <c r="E227" s="343"/>
      <c r="F227" s="343"/>
      <c r="G227" s="345"/>
      <c r="H227" s="346"/>
      <c r="I227" s="345"/>
      <c r="J227" s="345"/>
      <c r="K227" s="347"/>
      <c r="L227" s="297"/>
      <c r="M227" s="297"/>
      <c r="N227" s="348"/>
      <c r="O227" s="390" t="s">
        <v>1146</v>
      </c>
      <c r="P227" s="350" t="s">
        <v>1009</v>
      </c>
      <c r="Q227" s="349"/>
      <c r="R227" s="349"/>
      <c r="S227" s="349"/>
      <c r="T227" s="346"/>
      <c r="U227" s="346"/>
      <c r="V227" s="346"/>
      <c r="W227" s="346"/>
      <c r="X227" s="346"/>
      <c r="Y227" s="346"/>
      <c r="Z227" s="346"/>
      <c r="AA227" s="346"/>
      <c r="AB227" s="346"/>
      <c r="AC227" s="346"/>
      <c r="AD227" s="346"/>
      <c r="AE227" s="346"/>
      <c r="AF227" s="346"/>
      <c r="AG227" s="346"/>
      <c r="AH227" s="346"/>
      <c r="AI227" s="346"/>
      <c r="AJ227" s="346"/>
      <c r="AK227" s="346"/>
      <c r="AL227" s="346"/>
      <c r="AM227" s="346"/>
      <c r="AN227" s="346"/>
      <c r="AO227" s="346"/>
      <c r="AP227" s="346"/>
      <c r="AQ227" s="346"/>
      <c r="AR227" s="346"/>
      <c r="AS227" s="346"/>
      <c r="AT227" s="346"/>
      <c r="AU227" s="346"/>
      <c r="AV227" s="346"/>
      <c r="AW227" s="346"/>
      <c r="AX227" s="346"/>
      <c r="AY227" s="346"/>
      <c r="AZ227" s="346"/>
      <c r="BA227" s="346"/>
      <c r="BB227" s="346"/>
      <c r="BC227" s="346"/>
      <c r="BD227" s="346"/>
      <c r="BE227" s="346"/>
      <c r="BF227" s="346"/>
      <c r="BG227" s="346"/>
      <c r="BH227" s="346"/>
      <c r="BI227" s="346"/>
      <c r="BJ227" s="346"/>
      <c r="BK227" s="346"/>
      <c r="BL227" s="346"/>
      <c r="BM227" s="346"/>
      <c r="BN227" s="346"/>
      <c r="BO227" s="346"/>
      <c r="BP227" s="346"/>
      <c r="BQ227" s="346"/>
      <c r="BR227" s="346"/>
      <c r="BS227" s="346"/>
      <c r="BT227" s="346"/>
      <c r="BU227" s="346"/>
      <c r="BV227" s="346"/>
      <c r="BW227" s="346"/>
      <c r="BX227" s="346"/>
      <c r="BY227" s="346"/>
      <c r="BZ227" s="346"/>
      <c r="CA227" s="346"/>
      <c r="CB227" s="346"/>
      <c r="CC227" s="346"/>
      <c r="CD227" s="346"/>
      <c r="CE227" s="346"/>
      <c r="CF227" s="346"/>
      <c r="CG227" s="346"/>
      <c r="CH227" s="346"/>
      <c r="CI227" s="346"/>
      <c r="CJ227" s="346"/>
      <c r="CK227" s="346"/>
      <c r="CL227" s="346"/>
      <c r="CM227" s="346"/>
      <c r="CN227" s="346"/>
      <c r="CO227" s="346"/>
      <c r="CP227" s="346"/>
      <c r="CQ227" s="346"/>
      <c r="CR227" s="346"/>
      <c r="CS227" s="346"/>
      <c r="CT227" s="346"/>
      <c r="CU227" s="346"/>
      <c r="CV227" s="346"/>
      <c r="CW227" s="346"/>
      <c r="CX227" s="346"/>
      <c r="CY227" s="346"/>
      <c r="CZ227" s="346"/>
      <c r="DA227" s="346"/>
      <c r="DB227" s="346"/>
      <c r="DC227" s="346"/>
      <c r="DD227" s="346"/>
      <c r="DE227" s="346"/>
      <c r="DF227" s="346"/>
      <c r="DG227" s="346"/>
      <c r="DH227" s="346"/>
      <c r="DI227" s="346"/>
      <c r="DJ227" s="346"/>
    </row>
    <row r="228" spans="1:114" x14ac:dyDescent="0.25">
      <c r="A228" s="120">
        <v>5</v>
      </c>
      <c r="B228" s="79" t="s">
        <v>104</v>
      </c>
      <c r="C228" s="80">
        <v>1500</v>
      </c>
      <c r="D228" s="81">
        <v>104.08</v>
      </c>
      <c r="E228" s="59">
        <v>0</v>
      </c>
      <c r="F228" s="59"/>
      <c r="G228" s="56">
        <f t="shared" si="41"/>
        <v>0</v>
      </c>
      <c r="H228" s="55">
        <f>225-225</f>
        <v>0</v>
      </c>
      <c r="I228" s="56">
        <f t="shared" si="42"/>
        <v>0</v>
      </c>
      <c r="J228" s="56">
        <f t="shared" si="43"/>
        <v>0</v>
      </c>
      <c r="K228" s="57">
        <f t="shared" si="44"/>
        <v>0</v>
      </c>
      <c r="L228" s="297"/>
      <c r="M228" s="297"/>
      <c r="N228" s="314">
        <f t="shared" si="40"/>
        <v>802</v>
      </c>
      <c r="O228" s="310">
        <v>402</v>
      </c>
      <c r="P228" s="315">
        <v>400</v>
      </c>
      <c r="Q228" s="315"/>
      <c r="R228" s="315"/>
      <c r="S228" s="315"/>
      <c r="T228" s="55"/>
      <c r="U228" s="55"/>
      <c r="V228" s="55"/>
      <c r="W228" s="55"/>
      <c r="X228" s="55"/>
      <c r="Y228" s="55"/>
      <c r="Z228" s="55"/>
      <c r="AA228" s="55"/>
      <c r="AB228" s="55"/>
      <c r="AC228" s="55"/>
      <c r="AD228" s="55"/>
      <c r="AE228" s="55"/>
      <c r="AF228" s="55"/>
      <c r="AG228" s="55"/>
      <c r="AH228" s="55"/>
      <c r="AI228" s="55"/>
      <c r="AJ228" s="55"/>
      <c r="AK228" s="55"/>
      <c r="AL228" s="55"/>
      <c r="AM228" s="55"/>
      <c r="AN228" s="55"/>
      <c r="AO228" s="55"/>
      <c r="AP228" s="55"/>
      <c r="AQ228" s="55"/>
      <c r="AR228" s="55"/>
      <c r="AS228" s="55"/>
      <c r="AT228" s="55"/>
      <c r="AU228" s="55"/>
      <c r="AV228" s="55"/>
      <c r="AW228" s="55"/>
      <c r="AX228" s="55"/>
      <c r="AY228" s="55"/>
      <c r="AZ228" s="55"/>
      <c r="BA228" s="55"/>
      <c r="BB228" s="55"/>
      <c r="BC228" s="55"/>
      <c r="BD228" s="55"/>
      <c r="BE228" s="55"/>
      <c r="BF228" s="55"/>
      <c r="BG228" s="55"/>
      <c r="BH228" s="55"/>
      <c r="BI228" s="55"/>
      <c r="BJ228" s="55"/>
      <c r="BK228" s="55"/>
      <c r="BL228" s="55"/>
      <c r="BM228" s="55"/>
      <c r="BN228" s="55"/>
      <c r="BO228" s="55"/>
      <c r="BP228" s="55"/>
      <c r="BQ228" s="55"/>
      <c r="BR228" s="55"/>
      <c r="BS228" s="55"/>
      <c r="BT228" s="55"/>
      <c r="BU228" s="55"/>
      <c r="BV228" s="55"/>
      <c r="BW228" s="55"/>
      <c r="BX228" s="55"/>
      <c r="BY228" s="55"/>
      <c r="BZ228" s="55"/>
      <c r="CA228" s="55"/>
      <c r="CB228" s="55"/>
      <c r="CC228" s="55"/>
      <c r="CD228" s="55"/>
      <c r="CE228" s="55"/>
      <c r="CF228" s="55"/>
      <c r="CG228" s="55"/>
      <c r="CH228" s="55"/>
      <c r="CI228" s="55"/>
      <c r="CJ228" s="55"/>
      <c r="CK228" s="55"/>
      <c r="CL228" s="55"/>
      <c r="CM228" s="55"/>
      <c r="CN228" s="55"/>
      <c r="CO228" s="55"/>
      <c r="CP228" s="55"/>
      <c r="CQ228" s="55"/>
      <c r="CR228" s="55"/>
      <c r="CS228" s="55"/>
      <c r="CT228" s="55"/>
      <c r="CU228" s="55"/>
      <c r="CV228" s="55"/>
      <c r="CW228" s="55"/>
      <c r="CX228" s="55"/>
      <c r="CY228" s="55"/>
      <c r="CZ228" s="55"/>
      <c r="DA228" s="55"/>
      <c r="DB228" s="55"/>
      <c r="DC228" s="55"/>
      <c r="DD228" s="55"/>
      <c r="DE228" s="55"/>
      <c r="DF228" s="55"/>
      <c r="DG228" s="55"/>
      <c r="DH228" s="55"/>
      <c r="DI228" s="55"/>
      <c r="DJ228" s="55"/>
    </row>
    <row r="229" spans="1:114" x14ac:dyDescent="0.25">
      <c r="A229" s="339"/>
      <c r="B229" s="394"/>
      <c r="C229" s="362"/>
      <c r="D229" s="430"/>
      <c r="E229" s="431"/>
      <c r="F229" s="431"/>
      <c r="G229" s="365"/>
      <c r="H229" s="346"/>
      <c r="I229" s="365"/>
      <c r="J229" s="365"/>
      <c r="K229" s="367"/>
      <c r="L229" s="297"/>
      <c r="M229" s="297"/>
      <c r="N229" s="368"/>
      <c r="O229" s="354" t="s">
        <v>1009</v>
      </c>
      <c r="P229" s="369"/>
      <c r="Q229" s="369"/>
      <c r="R229" s="369"/>
      <c r="S229" s="369"/>
      <c r="T229" s="366"/>
      <c r="U229" s="366"/>
      <c r="V229" s="366"/>
      <c r="W229" s="366"/>
      <c r="X229" s="366"/>
      <c r="Y229" s="366"/>
      <c r="Z229" s="366"/>
      <c r="AA229" s="366"/>
      <c r="AB229" s="366"/>
      <c r="AC229" s="366"/>
      <c r="AD229" s="366"/>
      <c r="AE229" s="366"/>
      <c r="AF229" s="366"/>
      <c r="AG229" s="366"/>
      <c r="AH229" s="366"/>
      <c r="AI229" s="366"/>
      <c r="AJ229" s="366"/>
      <c r="AK229" s="366"/>
      <c r="AL229" s="366"/>
      <c r="AM229" s="366"/>
      <c r="AN229" s="366"/>
      <c r="AO229" s="366"/>
      <c r="AP229" s="366"/>
      <c r="AQ229" s="366"/>
      <c r="AR229" s="366"/>
      <c r="AS229" s="366"/>
      <c r="AT229" s="366"/>
      <c r="AU229" s="366"/>
      <c r="AV229" s="366"/>
      <c r="AW229" s="366"/>
      <c r="AX229" s="366"/>
      <c r="AY229" s="366"/>
      <c r="AZ229" s="366"/>
      <c r="BA229" s="366"/>
      <c r="BB229" s="366"/>
      <c r="BC229" s="366"/>
      <c r="BD229" s="366"/>
      <c r="BE229" s="366"/>
      <c r="BF229" s="366"/>
      <c r="BG229" s="366"/>
      <c r="BH229" s="366"/>
      <c r="BI229" s="366"/>
      <c r="BJ229" s="366"/>
      <c r="BK229" s="366"/>
      <c r="BL229" s="366"/>
      <c r="BM229" s="366"/>
      <c r="BN229" s="366"/>
      <c r="BO229" s="366"/>
      <c r="BP229" s="366"/>
      <c r="BQ229" s="366"/>
      <c r="BR229" s="366"/>
      <c r="BS229" s="366"/>
      <c r="BT229" s="366"/>
      <c r="BU229" s="366"/>
      <c r="BV229" s="366"/>
      <c r="BW229" s="366"/>
      <c r="BX229" s="366"/>
      <c r="BY229" s="366"/>
      <c r="BZ229" s="366"/>
      <c r="CA229" s="366"/>
      <c r="CB229" s="366"/>
      <c r="CC229" s="366"/>
      <c r="CD229" s="366"/>
      <c r="CE229" s="366"/>
      <c r="CF229" s="366"/>
      <c r="CG229" s="366"/>
      <c r="CH229" s="366"/>
      <c r="CI229" s="366"/>
      <c r="CJ229" s="366"/>
      <c r="CK229" s="366"/>
      <c r="CL229" s="366"/>
      <c r="CM229" s="366"/>
      <c r="CN229" s="366"/>
      <c r="CO229" s="366"/>
      <c r="CP229" s="366"/>
      <c r="CQ229" s="366"/>
      <c r="CR229" s="366"/>
      <c r="CS229" s="366"/>
      <c r="CT229" s="366"/>
      <c r="CU229" s="366"/>
      <c r="CV229" s="366"/>
      <c r="CW229" s="366"/>
      <c r="CX229" s="366"/>
      <c r="CY229" s="366"/>
      <c r="CZ229" s="366"/>
      <c r="DA229" s="366"/>
      <c r="DB229" s="366"/>
      <c r="DC229" s="366"/>
      <c r="DD229" s="366"/>
      <c r="DE229" s="366"/>
      <c r="DF229" s="366"/>
      <c r="DG229" s="366"/>
      <c r="DH229" s="366"/>
      <c r="DI229" s="366"/>
      <c r="DJ229" s="366"/>
    </row>
    <row r="230" spans="1:114" ht="15.75" thickBot="1" x14ac:dyDescent="0.3">
      <c r="A230" s="120">
        <v>6</v>
      </c>
      <c r="B230" s="115" t="s">
        <v>104</v>
      </c>
      <c r="C230" s="116">
        <v>3000</v>
      </c>
      <c r="D230" s="117">
        <v>104.08</v>
      </c>
      <c r="E230" s="118">
        <v>0</v>
      </c>
      <c r="F230" s="118"/>
      <c r="G230" s="109">
        <f t="shared" si="41"/>
        <v>0</v>
      </c>
      <c r="H230" s="55">
        <f>225-225</f>
        <v>0</v>
      </c>
      <c r="I230" s="109">
        <f t="shared" si="42"/>
        <v>0</v>
      </c>
      <c r="J230" s="109">
        <f t="shared" si="43"/>
        <v>0</v>
      </c>
      <c r="K230" s="110">
        <f t="shared" si="44"/>
        <v>0</v>
      </c>
      <c r="L230" s="297"/>
      <c r="M230" s="297"/>
      <c r="N230" s="321">
        <f t="shared" si="40"/>
        <v>400</v>
      </c>
      <c r="O230" s="312">
        <v>400</v>
      </c>
      <c r="P230" s="318"/>
      <c r="Q230" s="318"/>
      <c r="R230" s="318"/>
      <c r="S230" s="318"/>
      <c r="T230" s="108"/>
      <c r="U230" s="108"/>
      <c r="V230" s="108"/>
      <c r="W230" s="108"/>
      <c r="X230" s="108"/>
      <c r="Y230" s="108"/>
      <c r="Z230" s="108"/>
      <c r="AA230" s="108"/>
      <c r="AB230" s="108"/>
      <c r="AC230" s="108"/>
      <c r="AD230" s="108"/>
      <c r="AE230" s="108"/>
      <c r="AF230" s="108"/>
      <c r="AG230" s="108"/>
      <c r="AH230" s="108"/>
      <c r="AI230" s="108"/>
      <c r="AJ230" s="108"/>
      <c r="AK230" s="108"/>
      <c r="AL230" s="108"/>
      <c r="AM230" s="108"/>
      <c r="AN230" s="108"/>
      <c r="AO230" s="108"/>
      <c r="AP230" s="108"/>
      <c r="AQ230" s="108"/>
      <c r="AR230" s="108"/>
      <c r="AS230" s="108"/>
      <c r="AT230" s="108"/>
      <c r="AU230" s="108"/>
      <c r="AV230" s="108"/>
      <c r="AW230" s="108"/>
      <c r="AX230" s="108"/>
      <c r="AY230" s="108"/>
      <c r="AZ230" s="108"/>
      <c r="BA230" s="108"/>
      <c r="BB230" s="108"/>
      <c r="BC230" s="108"/>
      <c r="BD230" s="108"/>
      <c r="BE230" s="108"/>
      <c r="BF230" s="108"/>
      <c r="BG230" s="108"/>
      <c r="BH230" s="108"/>
      <c r="BI230" s="108"/>
      <c r="BJ230" s="108"/>
      <c r="BK230" s="108"/>
      <c r="BL230" s="108"/>
      <c r="BM230" s="108"/>
      <c r="BN230" s="108"/>
      <c r="BO230" s="108"/>
      <c r="BP230" s="108"/>
      <c r="BQ230" s="108"/>
      <c r="BR230" s="108"/>
      <c r="BS230" s="108"/>
      <c r="BT230" s="108"/>
      <c r="BU230" s="108"/>
      <c r="BV230" s="108"/>
      <c r="BW230" s="108"/>
      <c r="BX230" s="108"/>
      <c r="BY230" s="108"/>
      <c r="BZ230" s="108"/>
      <c r="CA230" s="108"/>
      <c r="CB230" s="108"/>
      <c r="CC230" s="108"/>
      <c r="CD230" s="108"/>
      <c r="CE230" s="108"/>
      <c r="CF230" s="108"/>
      <c r="CG230" s="108"/>
      <c r="CH230" s="108"/>
      <c r="CI230" s="108"/>
      <c r="CJ230" s="108"/>
      <c r="CK230" s="108"/>
      <c r="CL230" s="108"/>
      <c r="CM230" s="108"/>
      <c r="CN230" s="108"/>
      <c r="CO230" s="108"/>
      <c r="CP230" s="108"/>
      <c r="CQ230" s="108"/>
      <c r="CR230" s="108"/>
      <c r="CS230" s="108"/>
      <c r="CT230" s="108"/>
      <c r="CU230" s="108"/>
      <c r="CV230" s="108"/>
      <c r="CW230" s="108"/>
      <c r="CX230" s="108"/>
      <c r="CY230" s="108"/>
      <c r="CZ230" s="108"/>
      <c r="DA230" s="108"/>
      <c r="DB230" s="108"/>
      <c r="DC230" s="108"/>
      <c r="DD230" s="108"/>
      <c r="DE230" s="108"/>
      <c r="DF230" s="108"/>
      <c r="DG230" s="108"/>
      <c r="DH230" s="108"/>
      <c r="DI230" s="108"/>
      <c r="DJ230" s="108"/>
    </row>
    <row r="231" spans="1:114" ht="15.75" thickBot="1" x14ac:dyDescent="0.3">
      <c r="A231" s="83"/>
      <c r="B231" s="119" t="s">
        <v>670</v>
      </c>
      <c r="C231" s="90"/>
      <c r="D231" s="36"/>
      <c r="E231" s="61">
        <f>SUM(E178:E230)</f>
        <v>0</v>
      </c>
      <c r="F231" s="61">
        <f>SUM(F178:F230)</f>
        <v>0</v>
      </c>
      <c r="G231" s="61">
        <f>SUM(G178:G230)</f>
        <v>0</v>
      </c>
      <c r="H231" s="46">
        <f>SUM(H178:H230)</f>
        <v>0</v>
      </c>
      <c r="I231" s="29">
        <f>SUM(I178:I230)</f>
        <v>0</v>
      </c>
      <c r="J231" s="29">
        <f t="shared" ref="J231:K231" si="45">SUM(J178:J230)</f>
        <v>0</v>
      </c>
      <c r="K231" s="172">
        <f t="shared" si="45"/>
        <v>0</v>
      </c>
      <c r="L231" s="299"/>
      <c r="M231" s="299"/>
      <c r="N231" s="322">
        <f t="shared" si="40"/>
        <v>0</v>
      </c>
      <c r="O231" s="325"/>
      <c r="P231" s="325"/>
      <c r="Q231" s="325"/>
      <c r="R231" s="325"/>
      <c r="S231" s="325"/>
      <c r="T231" s="324"/>
      <c r="U231" s="324"/>
      <c r="V231" s="324"/>
      <c r="W231" s="324"/>
      <c r="X231" s="324"/>
      <c r="Y231" s="324"/>
      <c r="Z231" s="324"/>
      <c r="AA231" s="324"/>
      <c r="AB231" s="324"/>
      <c r="AC231" s="324"/>
      <c r="AD231" s="324"/>
      <c r="AE231" s="324"/>
      <c r="AF231" s="324"/>
      <c r="AG231" s="324"/>
      <c r="AH231" s="324"/>
      <c r="AI231" s="324"/>
      <c r="AJ231" s="324"/>
      <c r="AK231" s="324"/>
      <c r="AL231" s="324"/>
      <c r="AM231" s="324"/>
      <c r="AN231" s="324"/>
      <c r="AO231" s="324"/>
      <c r="AP231" s="324"/>
      <c r="AQ231" s="324"/>
      <c r="AR231" s="324"/>
      <c r="AS231" s="324"/>
      <c r="AT231" s="324"/>
      <c r="AU231" s="324"/>
      <c r="AV231" s="324"/>
      <c r="AW231" s="324"/>
      <c r="AX231" s="324"/>
      <c r="AY231" s="324"/>
      <c r="AZ231" s="324"/>
      <c r="BA231" s="324"/>
      <c r="BB231" s="324"/>
      <c r="BC231" s="324"/>
      <c r="BD231" s="324"/>
      <c r="BE231" s="324"/>
      <c r="BF231" s="324"/>
      <c r="BG231" s="324"/>
      <c r="BH231" s="324"/>
      <c r="BI231" s="324"/>
      <c r="BJ231" s="324"/>
      <c r="BK231" s="324"/>
      <c r="BL231" s="324"/>
      <c r="BM231" s="324"/>
      <c r="BN231" s="324"/>
      <c r="BO231" s="324"/>
      <c r="BP231" s="324"/>
      <c r="BQ231" s="324"/>
      <c r="BR231" s="324"/>
      <c r="BS231" s="324"/>
      <c r="BT231" s="324"/>
      <c r="BU231" s="324"/>
      <c r="BV231" s="324"/>
      <c r="BW231" s="324"/>
      <c r="BX231" s="324"/>
      <c r="BY231" s="324"/>
      <c r="BZ231" s="324"/>
      <c r="CA231" s="324"/>
      <c r="CB231" s="324"/>
      <c r="CC231" s="324"/>
      <c r="CD231" s="324"/>
      <c r="CE231" s="324"/>
      <c r="CF231" s="324"/>
      <c r="CG231" s="324"/>
      <c r="CH231" s="324"/>
      <c r="CI231" s="324"/>
      <c r="CJ231" s="324"/>
      <c r="CK231" s="324"/>
      <c r="CL231" s="324"/>
      <c r="CM231" s="324"/>
      <c r="CN231" s="324"/>
      <c r="CO231" s="324"/>
      <c r="CP231" s="324"/>
      <c r="CQ231" s="324"/>
      <c r="CR231" s="324"/>
      <c r="CS231" s="324"/>
      <c r="CT231" s="324"/>
      <c r="CU231" s="324"/>
      <c r="CV231" s="324"/>
      <c r="CW231" s="324"/>
      <c r="CX231" s="324"/>
      <c r="CY231" s="324"/>
      <c r="CZ231" s="324"/>
      <c r="DA231" s="324"/>
      <c r="DB231" s="324"/>
      <c r="DC231" s="324"/>
      <c r="DD231" s="324"/>
      <c r="DE231" s="324"/>
      <c r="DF231" s="324"/>
      <c r="DG231" s="324"/>
      <c r="DH231" s="324"/>
      <c r="DI231" s="324"/>
      <c r="DJ231" s="324"/>
    </row>
    <row r="232" spans="1:114" ht="15.75" thickBot="1" x14ac:dyDescent="0.3">
      <c r="B232" s="93"/>
      <c r="C232" s="94"/>
      <c r="D232" s="95"/>
      <c r="E232" s="96"/>
      <c r="F232" s="62"/>
      <c r="G232" s="96"/>
      <c r="H232" s="96"/>
      <c r="I232" s="96"/>
      <c r="J232" s="96"/>
      <c r="K232" s="95"/>
      <c r="L232" s="163"/>
      <c r="M232" s="163"/>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row>
    <row r="233" spans="1:114" ht="15.75" thickBot="1" x14ac:dyDescent="0.3">
      <c r="A233" s="407" t="s">
        <v>657</v>
      </c>
      <c r="B233" s="414" t="s">
        <v>0</v>
      </c>
      <c r="C233" s="414" t="s">
        <v>1</v>
      </c>
      <c r="D233" s="415" t="s">
        <v>649</v>
      </c>
      <c r="E233" s="416" t="s">
        <v>19</v>
      </c>
      <c r="F233" s="416"/>
      <c r="G233" s="416"/>
      <c r="H233" s="416"/>
      <c r="I233" s="416"/>
      <c r="J233" s="410" t="s">
        <v>21</v>
      </c>
      <c r="K233" s="412" t="s">
        <v>602</v>
      </c>
      <c r="L233" s="295"/>
      <c r="M233" s="295"/>
      <c r="N233" s="403" t="s">
        <v>601</v>
      </c>
      <c r="O233" s="403" t="s">
        <v>924</v>
      </c>
      <c r="P233" s="403"/>
      <c r="Q233" s="403"/>
      <c r="R233" s="403"/>
      <c r="S233" s="403"/>
      <c r="T233" s="403"/>
      <c r="U233" s="403"/>
      <c r="V233" s="403"/>
      <c r="W233" s="403"/>
      <c r="X233" s="403"/>
      <c r="Y233" s="403"/>
      <c r="Z233" s="403"/>
      <c r="AA233" s="403"/>
      <c r="AB233" s="403"/>
      <c r="AC233" s="403"/>
      <c r="AD233" s="403"/>
      <c r="AE233" s="403"/>
      <c r="AF233" s="403"/>
      <c r="AG233" s="403"/>
      <c r="AH233" s="403"/>
      <c r="AI233" s="403"/>
      <c r="AJ233" s="403"/>
      <c r="AK233" s="403"/>
      <c r="AL233" s="403"/>
      <c r="AM233" s="403"/>
      <c r="AN233" s="403"/>
      <c r="AO233" s="403"/>
      <c r="AP233" s="403"/>
      <c r="AQ233" s="403"/>
      <c r="AR233" s="403"/>
      <c r="AS233" s="403"/>
      <c r="AT233" s="403"/>
      <c r="AU233" s="403"/>
      <c r="AV233" s="403"/>
      <c r="AW233" s="403"/>
      <c r="AX233" s="403"/>
      <c r="AY233" s="403"/>
      <c r="AZ233" s="403"/>
      <c r="BA233" s="403"/>
      <c r="BB233" s="403"/>
      <c r="BC233" s="403"/>
      <c r="BD233" s="403"/>
      <c r="BE233" s="403"/>
      <c r="BF233" s="403"/>
      <c r="BG233" s="403"/>
      <c r="BH233" s="403"/>
      <c r="BI233" s="403"/>
      <c r="BJ233" s="403"/>
      <c r="BK233" s="403"/>
      <c r="BL233" s="403"/>
      <c r="BM233" s="403"/>
      <c r="BN233" s="403"/>
      <c r="BO233" s="403"/>
      <c r="BP233" s="403"/>
      <c r="BQ233" s="403"/>
      <c r="BR233" s="403"/>
      <c r="BS233" s="403"/>
      <c r="BT233" s="403"/>
      <c r="BU233" s="403"/>
      <c r="BV233" s="403"/>
      <c r="BW233" s="403"/>
      <c r="BX233" s="403"/>
      <c r="BY233" s="403"/>
      <c r="BZ233" s="403"/>
      <c r="CA233" s="403"/>
      <c r="CB233" s="403"/>
      <c r="CC233" s="403"/>
      <c r="CD233" s="403"/>
      <c r="CE233" s="403"/>
      <c r="CF233" s="403"/>
      <c r="CG233" s="403"/>
      <c r="CH233" s="403"/>
      <c r="CI233" s="403"/>
      <c r="CJ233" s="403"/>
      <c r="CK233" s="403"/>
      <c r="CL233" s="403"/>
      <c r="CM233" s="403"/>
      <c r="CN233" s="403"/>
      <c r="CO233" s="403"/>
      <c r="CP233" s="403"/>
      <c r="CQ233" s="403"/>
      <c r="CR233" s="403"/>
      <c r="CS233" s="403"/>
      <c r="CT233" s="403"/>
      <c r="CU233" s="403"/>
      <c r="CV233" s="403"/>
      <c r="CW233" s="403"/>
      <c r="CX233" s="403"/>
      <c r="CY233" s="403"/>
      <c r="CZ233" s="403"/>
      <c r="DA233" s="403"/>
      <c r="DB233" s="403"/>
      <c r="DC233" s="403"/>
      <c r="DD233" s="403"/>
      <c r="DE233" s="403"/>
      <c r="DF233" s="403"/>
      <c r="DG233" s="403"/>
      <c r="DH233" s="403"/>
      <c r="DI233" s="403"/>
      <c r="DJ233" s="403"/>
    </row>
    <row r="234" spans="1:114" ht="15.75" thickBot="1" x14ac:dyDescent="0.3">
      <c r="A234" s="408"/>
      <c r="B234" s="414"/>
      <c r="C234" s="414"/>
      <c r="D234" s="415"/>
      <c r="E234" s="68" t="s">
        <v>22</v>
      </c>
      <c r="F234" s="68" t="s">
        <v>600</v>
      </c>
      <c r="G234" s="68" t="s">
        <v>601</v>
      </c>
      <c r="H234" s="68" t="s">
        <v>589</v>
      </c>
      <c r="I234" s="68" t="s">
        <v>601</v>
      </c>
      <c r="J234" s="411"/>
      <c r="K234" s="413"/>
      <c r="L234" s="295"/>
      <c r="M234" s="295"/>
      <c r="N234" s="403"/>
      <c r="O234" s="400" t="s">
        <v>925</v>
      </c>
      <c r="P234" s="400" t="s">
        <v>926</v>
      </c>
      <c r="Q234" s="400"/>
      <c r="R234" s="400"/>
      <c r="S234" s="400"/>
      <c r="T234" s="398"/>
      <c r="U234" s="398"/>
      <c r="V234" s="398"/>
      <c r="W234" s="398"/>
      <c r="X234" s="398"/>
      <c r="Y234" s="398"/>
      <c r="Z234" s="398"/>
      <c r="AA234" s="398"/>
      <c r="AB234" s="398"/>
      <c r="AC234" s="398"/>
      <c r="AD234" s="398"/>
      <c r="AE234" s="398"/>
      <c r="AF234" s="398"/>
      <c r="AG234" s="398"/>
      <c r="AH234" s="398"/>
      <c r="AI234" s="398"/>
      <c r="AJ234" s="398"/>
      <c r="AK234" s="398"/>
      <c r="AL234" s="398"/>
      <c r="AM234" s="398"/>
      <c r="AN234" s="398"/>
      <c r="AO234" s="398"/>
      <c r="AP234" s="398"/>
      <c r="AQ234" s="398"/>
      <c r="AR234" s="398"/>
      <c r="AS234" s="398"/>
      <c r="AT234" s="398"/>
      <c r="AU234" s="398"/>
      <c r="AV234" s="398"/>
      <c r="AW234" s="398"/>
      <c r="AX234" s="398"/>
      <c r="AY234" s="398"/>
      <c r="AZ234" s="398"/>
      <c r="BA234" s="398"/>
      <c r="BB234" s="398"/>
      <c r="BC234" s="398"/>
      <c r="BD234" s="398"/>
      <c r="BE234" s="398"/>
      <c r="BF234" s="398"/>
      <c r="BG234" s="398"/>
      <c r="BH234" s="398"/>
      <c r="BI234" s="398"/>
      <c r="BJ234" s="398"/>
      <c r="BK234" s="398"/>
      <c r="BL234" s="398"/>
      <c r="BM234" s="398"/>
      <c r="BN234" s="398"/>
      <c r="BO234" s="398"/>
      <c r="BP234" s="398"/>
      <c r="BQ234" s="398"/>
      <c r="BR234" s="398"/>
      <c r="BS234" s="398"/>
      <c r="BT234" s="398"/>
      <c r="BU234" s="398"/>
      <c r="BV234" s="398"/>
      <c r="BW234" s="398"/>
      <c r="BX234" s="398"/>
      <c r="BY234" s="398"/>
      <c r="BZ234" s="398"/>
      <c r="CA234" s="398"/>
      <c r="CB234" s="398"/>
      <c r="CC234" s="398"/>
      <c r="CD234" s="398"/>
      <c r="CE234" s="398"/>
      <c r="CF234" s="398"/>
      <c r="CG234" s="398"/>
      <c r="CH234" s="398"/>
      <c r="CI234" s="398"/>
      <c r="CJ234" s="398"/>
      <c r="CK234" s="398"/>
      <c r="CL234" s="398"/>
      <c r="CM234" s="398"/>
      <c r="CN234" s="398"/>
      <c r="CO234" s="398"/>
      <c r="CP234" s="398"/>
      <c r="CQ234" s="398"/>
      <c r="CR234" s="398"/>
      <c r="CS234" s="398"/>
      <c r="CT234" s="398"/>
      <c r="CU234" s="398"/>
      <c r="CV234" s="398"/>
      <c r="CW234" s="398"/>
      <c r="CX234" s="398"/>
      <c r="CY234" s="398"/>
      <c r="CZ234" s="398"/>
      <c r="DA234" s="398"/>
      <c r="DB234" s="398"/>
      <c r="DC234" s="398"/>
      <c r="DD234" s="398"/>
      <c r="DE234" s="398"/>
      <c r="DF234" s="398"/>
      <c r="DG234" s="398"/>
      <c r="DH234" s="398"/>
      <c r="DI234" s="398"/>
      <c r="DJ234" s="398"/>
    </row>
    <row r="235" spans="1:114" ht="15.75" thickBot="1" x14ac:dyDescent="0.3">
      <c r="A235" s="409"/>
      <c r="B235" s="69">
        <v>1</v>
      </c>
      <c r="C235" s="69">
        <v>2</v>
      </c>
      <c r="D235" s="69">
        <v>3</v>
      </c>
      <c r="E235" s="70">
        <v>4</v>
      </c>
      <c r="F235" s="70">
        <f>+E235+1</f>
        <v>5</v>
      </c>
      <c r="G235" s="70" t="s">
        <v>652</v>
      </c>
      <c r="H235" s="70">
        <v>7</v>
      </c>
      <c r="I235" s="71" t="s">
        <v>651</v>
      </c>
      <c r="J235" s="42" t="s">
        <v>650</v>
      </c>
      <c r="K235" s="303" t="s">
        <v>653</v>
      </c>
      <c r="L235" s="296"/>
      <c r="M235" s="296"/>
      <c r="N235" s="403"/>
      <c r="O235" s="402"/>
      <c r="P235" s="402"/>
      <c r="Q235" s="402"/>
      <c r="R235" s="402"/>
      <c r="S235" s="402"/>
      <c r="T235" s="399"/>
      <c r="U235" s="399"/>
      <c r="V235" s="399"/>
      <c r="W235" s="399"/>
      <c r="X235" s="399"/>
      <c r="Y235" s="399"/>
      <c r="Z235" s="399"/>
      <c r="AA235" s="399"/>
      <c r="AB235" s="399"/>
      <c r="AC235" s="399"/>
      <c r="AD235" s="399"/>
      <c r="AE235" s="399"/>
      <c r="AF235" s="399"/>
      <c r="AG235" s="399"/>
      <c r="AH235" s="399"/>
      <c r="AI235" s="399"/>
      <c r="AJ235" s="399"/>
      <c r="AK235" s="399"/>
      <c r="AL235" s="399"/>
      <c r="AM235" s="399"/>
      <c r="AN235" s="399"/>
      <c r="AO235" s="399"/>
      <c r="AP235" s="399"/>
      <c r="AQ235" s="399"/>
      <c r="AR235" s="399"/>
      <c r="AS235" s="399"/>
      <c r="AT235" s="399"/>
      <c r="AU235" s="399"/>
      <c r="AV235" s="399"/>
      <c r="AW235" s="399"/>
      <c r="AX235" s="399"/>
      <c r="AY235" s="399"/>
      <c r="AZ235" s="399"/>
      <c r="BA235" s="399"/>
      <c r="BB235" s="399"/>
      <c r="BC235" s="399"/>
      <c r="BD235" s="399"/>
      <c r="BE235" s="399"/>
      <c r="BF235" s="399"/>
      <c r="BG235" s="399"/>
      <c r="BH235" s="399"/>
      <c r="BI235" s="399"/>
      <c r="BJ235" s="399"/>
      <c r="BK235" s="399"/>
      <c r="BL235" s="399"/>
      <c r="BM235" s="399"/>
      <c r="BN235" s="399"/>
      <c r="BO235" s="399"/>
      <c r="BP235" s="399"/>
      <c r="BQ235" s="399"/>
      <c r="BR235" s="399"/>
      <c r="BS235" s="399"/>
      <c r="BT235" s="399"/>
      <c r="BU235" s="399"/>
      <c r="BV235" s="399"/>
      <c r="BW235" s="399"/>
      <c r="BX235" s="399"/>
      <c r="BY235" s="399"/>
      <c r="BZ235" s="399"/>
      <c r="CA235" s="399"/>
      <c r="CB235" s="399"/>
      <c r="CC235" s="399"/>
      <c r="CD235" s="399"/>
      <c r="CE235" s="399"/>
      <c r="CF235" s="399"/>
      <c r="CG235" s="399"/>
      <c r="CH235" s="399"/>
      <c r="CI235" s="399"/>
      <c r="CJ235" s="399"/>
      <c r="CK235" s="399"/>
      <c r="CL235" s="399"/>
      <c r="CM235" s="399"/>
      <c r="CN235" s="399"/>
      <c r="CO235" s="399"/>
      <c r="CP235" s="399"/>
      <c r="CQ235" s="399"/>
      <c r="CR235" s="399"/>
      <c r="CS235" s="399"/>
      <c r="CT235" s="399"/>
      <c r="CU235" s="399"/>
      <c r="CV235" s="399"/>
      <c r="CW235" s="399"/>
      <c r="CX235" s="399"/>
      <c r="CY235" s="399"/>
      <c r="CZ235" s="399"/>
      <c r="DA235" s="399"/>
      <c r="DB235" s="399"/>
      <c r="DC235" s="399"/>
      <c r="DD235" s="399"/>
      <c r="DE235" s="399"/>
      <c r="DF235" s="399"/>
      <c r="DG235" s="399"/>
      <c r="DH235" s="399"/>
      <c r="DI235" s="399"/>
      <c r="DJ235" s="399"/>
    </row>
    <row r="236" spans="1:114" x14ac:dyDescent="0.25">
      <c r="A236" s="72"/>
      <c r="B236" s="72" t="s">
        <v>671</v>
      </c>
      <c r="C236" s="54"/>
      <c r="D236" s="54"/>
      <c r="E236" s="54"/>
      <c r="F236" s="54"/>
      <c r="G236" s="54"/>
      <c r="H236" s="54"/>
      <c r="I236" s="54"/>
      <c r="J236" s="54"/>
      <c r="K236" s="54"/>
      <c r="L236" s="234"/>
      <c r="M236" s="234"/>
      <c r="N236" s="314">
        <f t="shared" ref="N236:N250" si="46">SUM(O236:DK236)</f>
        <v>0</v>
      </c>
      <c r="O236" s="310"/>
      <c r="P236" s="315"/>
      <c r="Q236" s="315"/>
      <c r="R236" s="315"/>
      <c r="S236" s="315"/>
      <c r="T236" s="55"/>
      <c r="U236" s="55"/>
      <c r="V236" s="55"/>
      <c r="W236" s="55"/>
      <c r="X236" s="55"/>
      <c r="Y236" s="55"/>
      <c r="Z236" s="55"/>
      <c r="AA236" s="55"/>
      <c r="AB236" s="55"/>
      <c r="AC236" s="55"/>
      <c r="AD236" s="55"/>
      <c r="AE236" s="55"/>
      <c r="AF236" s="55"/>
      <c r="AG236" s="55"/>
      <c r="AH236" s="55"/>
      <c r="AI236" s="55"/>
      <c r="AJ236" s="55"/>
      <c r="AK236" s="55"/>
      <c r="AL236" s="55"/>
      <c r="AM236" s="55"/>
      <c r="AN236" s="55"/>
      <c r="AO236" s="55"/>
      <c r="AP236" s="55"/>
      <c r="AQ236" s="55"/>
      <c r="AR236" s="55"/>
      <c r="AS236" s="55"/>
      <c r="AT236" s="55"/>
      <c r="AU236" s="55"/>
      <c r="AV236" s="55"/>
      <c r="AW236" s="55"/>
      <c r="AX236" s="55"/>
      <c r="AY236" s="55"/>
      <c r="AZ236" s="55"/>
      <c r="BA236" s="55"/>
      <c r="BB236" s="55"/>
      <c r="BC236" s="55"/>
      <c r="BD236" s="55"/>
      <c r="BE236" s="55"/>
      <c r="BF236" s="55"/>
      <c r="BG236" s="55"/>
      <c r="BH236" s="55"/>
      <c r="BI236" s="55"/>
      <c r="BJ236" s="55"/>
      <c r="BK236" s="55"/>
      <c r="BL236" s="55"/>
      <c r="BM236" s="55"/>
      <c r="BN236" s="55"/>
      <c r="BO236" s="55"/>
      <c r="BP236" s="55"/>
      <c r="BQ236" s="55"/>
      <c r="BR236" s="55"/>
      <c r="BS236" s="55"/>
      <c r="BT236" s="55"/>
      <c r="BU236" s="55"/>
      <c r="BV236" s="55"/>
      <c r="BW236" s="55"/>
      <c r="BX236" s="55"/>
      <c r="BY236" s="55"/>
      <c r="BZ236" s="55"/>
      <c r="CA236" s="55"/>
      <c r="CB236" s="55"/>
      <c r="CC236" s="55"/>
      <c r="CD236" s="55"/>
      <c r="CE236" s="55"/>
      <c r="CF236" s="55"/>
      <c r="CG236" s="55"/>
      <c r="CH236" s="55"/>
      <c r="CI236" s="55"/>
      <c r="CJ236" s="55"/>
      <c r="CK236" s="55"/>
      <c r="CL236" s="55"/>
      <c r="CM236" s="55"/>
      <c r="CN236" s="55"/>
      <c r="CO236" s="55"/>
      <c r="CP236" s="55"/>
      <c r="CQ236" s="55"/>
      <c r="CR236" s="55"/>
      <c r="CS236" s="55"/>
      <c r="CT236" s="55"/>
      <c r="CU236" s="55"/>
      <c r="CV236" s="55"/>
      <c r="CW236" s="55"/>
      <c r="CX236" s="55"/>
      <c r="CY236" s="55"/>
      <c r="CZ236" s="55"/>
      <c r="DA236" s="55"/>
      <c r="DB236" s="55"/>
      <c r="DC236" s="55"/>
      <c r="DD236" s="55"/>
      <c r="DE236" s="55"/>
      <c r="DF236" s="55"/>
      <c r="DG236" s="55"/>
      <c r="DH236" s="55"/>
      <c r="DI236" s="55"/>
      <c r="DJ236" s="55"/>
    </row>
    <row r="237" spans="1:114" x14ac:dyDescent="0.25">
      <c r="A237" s="351"/>
      <c r="B237" s="351"/>
      <c r="C237" s="353"/>
      <c r="D237" s="353"/>
      <c r="E237" s="353"/>
      <c r="F237" s="353"/>
      <c r="G237" s="353"/>
      <c r="H237" s="353"/>
      <c r="I237" s="353"/>
      <c r="J237" s="353"/>
      <c r="K237" s="353"/>
      <c r="L237" s="234"/>
      <c r="M237" s="234"/>
      <c r="N237" s="348"/>
      <c r="O237" s="310" t="s">
        <v>967</v>
      </c>
      <c r="P237" s="349" t="s">
        <v>1010</v>
      </c>
      <c r="Q237" s="349" t="s">
        <v>1009</v>
      </c>
      <c r="R237" s="349" t="s">
        <v>1016</v>
      </c>
      <c r="S237" s="349"/>
      <c r="T237" s="346"/>
      <c r="U237" s="346"/>
      <c r="V237" s="346"/>
      <c r="W237" s="346"/>
      <c r="X237" s="346"/>
      <c r="Y237" s="346"/>
      <c r="Z237" s="346"/>
      <c r="AA237" s="346"/>
      <c r="AB237" s="346"/>
      <c r="AC237" s="346"/>
      <c r="AD237" s="346"/>
      <c r="AE237" s="346"/>
      <c r="AF237" s="346"/>
      <c r="AG237" s="346"/>
      <c r="AH237" s="346"/>
      <c r="AI237" s="346"/>
      <c r="AJ237" s="346"/>
      <c r="AK237" s="346"/>
      <c r="AL237" s="346"/>
      <c r="AM237" s="346"/>
      <c r="AN237" s="346"/>
      <c r="AO237" s="346"/>
      <c r="AP237" s="346"/>
      <c r="AQ237" s="346"/>
      <c r="AR237" s="346"/>
      <c r="AS237" s="346"/>
      <c r="AT237" s="346"/>
      <c r="AU237" s="346"/>
      <c r="AV237" s="346"/>
      <c r="AW237" s="346"/>
      <c r="AX237" s="346"/>
      <c r="AY237" s="346"/>
      <c r="AZ237" s="346"/>
      <c r="BA237" s="346"/>
      <c r="BB237" s="346"/>
      <c r="BC237" s="346"/>
      <c r="BD237" s="346"/>
      <c r="BE237" s="346"/>
      <c r="BF237" s="346"/>
      <c r="BG237" s="346"/>
      <c r="BH237" s="346"/>
      <c r="BI237" s="346"/>
      <c r="BJ237" s="346"/>
      <c r="BK237" s="346"/>
      <c r="BL237" s="346"/>
      <c r="BM237" s="346"/>
      <c r="BN237" s="346"/>
      <c r="BO237" s="346"/>
      <c r="BP237" s="346"/>
      <c r="BQ237" s="346"/>
      <c r="BR237" s="346"/>
      <c r="BS237" s="346"/>
      <c r="BT237" s="346"/>
      <c r="BU237" s="346"/>
      <c r="BV237" s="346"/>
      <c r="BW237" s="346"/>
      <c r="BX237" s="346"/>
      <c r="BY237" s="346"/>
      <c r="BZ237" s="346"/>
      <c r="CA237" s="346"/>
      <c r="CB237" s="346"/>
      <c r="CC237" s="346"/>
      <c r="CD237" s="346"/>
      <c r="CE237" s="346"/>
      <c r="CF237" s="346"/>
      <c r="CG237" s="346"/>
      <c r="CH237" s="346"/>
      <c r="CI237" s="346"/>
      <c r="CJ237" s="346"/>
      <c r="CK237" s="346"/>
      <c r="CL237" s="346"/>
      <c r="CM237" s="346"/>
      <c r="CN237" s="346"/>
      <c r="CO237" s="346"/>
      <c r="CP237" s="346"/>
      <c r="CQ237" s="346"/>
      <c r="CR237" s="346"/>
      <c r="CS237" s="346"/>
      <c r="CT237" s="346"/>
      <c r="CU237" s="346"/>
      <c r="CV237" s="346"/>
      <c r="CW237" s="346"/>
      <c r="CX237" s="346"/>
      <c r="CY237" s="346"/>
      <c r="CZ237" s="346"/>
      <c r="DA237" s="346"/>
      <c r="DB237" s="346"/>
      <c r="DC237" s="346"/>
      <c r="DD237" s="346"/>
      <c r="DE237" s="346"/>
      <c r="DF237" s="346"/>
      <c r="DG237" s="346"/>
      <c r="DH237" s="346"/>
      <c r="DI237" s="346"/>
      <c r="DJ237" s="346"/>
    </row>
    <row r="238" spans="1:114" x14ac:dyDescent="0.25">
      <c r="A238" s="120">
        <v>1</v>
      </c>
      <c r="B238" s="79" t="s">
        <v>105</v>
      </c>
      <c r="C238" s="80">
        <v>1500</v>
      </c>
      <c r="D238" s="81">
        <v>88.96</v>
      </c>
      <c r="E238" s="43">
        <v>0</v>
      </c>
      <c r="F238" s="60"/>
      <c r="G238" s="56">
        <f t="shared" ref="G238:G254" si="47">+E238+F238</f>
        <v>0</v>
      </c>
      <c r="H238" s="55">
        <f>4080-4080</f>
        <v>0</v>
      </c>
      <c r="I238" s="56">
        <f t="shared" ref="I238:I254" si="48">+G238-H238</f>
        <v>0</v>
      </c>
      <c r="J238" s="56">
        <f t="shared" ref="J238:J254" si="49">I238*C238</f>
        <v>0</v>
      </c>
      <c r="K238" s="57">
        <f t="shared" ref="K238:K254" si="50">+D238*I238</f>
        <v>0</v>
      </c>
      <c r="L238" s="297"/>
      <c r="M238" s="297"/>
      <c r="N238" s="314">
        <f t="shared" si="46"/>
        <v>15306</v>
      </c>
      <c r="O238" s="310">
        <v>1971</v>
      </c>
      <c r="P238" s="315">
        <v>4559</v>
      </c>
      <c r="Q238" s="315">
        <v>2400</v>
      </c>
      <c r="R238" s="315">
        <v>6376</v>
      </c>
      <c r="S238" s="315"/>
      <c r="T238" s="55"/>
      <c r="U238" s="55"/>
      <c r="V238" s="55"/>
      <c r="W238" s="55"/>
      <c r="X238" s="55"/>
      <c r="Y238" s="55"/>
      <c r="Z238" s="55"/>
      <c r="AA238" s="55"/>
      <c r="AB238" s="55"/>
      <c r="AC238" s="55"/>
      <c r="AD238" s="55"/>
      <c r="AE238" s="55"/>
      <c r="AF238" s="55"/>
      <c r="AG238" s="55"/>
      <c r="AH238" s="55"/>
      <c r="AI238" s="55"/>
      <c r="AJ238" s="55"/>
      <c r="AK238" s="55"/>
      <c r="AL238" s="55"/>
      <c r="AM238" s="55"/>
      <c r="AN238" s="55"/>
      <c r="AO238" s="55"/>
      <c r="AP238" s="55"/>
      <c r="AQ238" s="55"/>
      <c r="AR238" s="55"/>
      <c r="AS238" s="55"/>
      <c r="AT238" s="55"/>
      <c r="AU238" s="55"/>
      <c r="AV238" s="55"/>
      <c r="AW238" s="55"/>
      <c r="AX238" s="55"/>
      <c r="AY238" s="55"/>
      <c r="AZ238" s="55"/>
      <c r="BA238" s="55"/>
      <c r="BB238" s="55"/>
      <c r="BC238" s="55"/>
      <c r="BD238" s="55"/>
      <c r="BE238" s="55"/>
      <c r="BF238" s="55"/>
      <c r="BG238" s="55"/>
      <c r="BH238" s="55"/>
      <c r="BI238" s="55"/>
      <c r="BJ238" s="55"/>
      <c r="BK238" s="55"/>
      <c r="BL238" s="55"/>
      <c r="BM238" s="55"/>
      <c r="BN238" s="55"/>
      <c r="BO238" s="55"/>
      <c r="BP238" s="55"/>
      <c r="BQ238" s="55"/>
      <c r="BR238" s="55"/>
      <c r="BS238" s="55"/>
      <c r="BT238" s="55"/>
      <c r="BU238" s="55"/>
      <c r="BV238" s="55"/>
      <c r="BW238" s="55"/>
      <c r="BX238" s="55"/>
      <c r="BY238" s="55"/>
      <c r="BZ238" s="55"/>
      <c r="CA238" s="55"/>
      <c r="CB238" s="55"/>
      <c r="CC238" s="55"/>
      <c r="CD238" s="55"/>
      <c r="CE238" s="55"/>
      <c r="CF238" s="55"/>
      <c r="CG238" s="55"/>
      <c r="CH238" s="55"/>
      <c r="CI238" s="55"/>
      <c r="CJ238" s="55"/>
      <c r="CK238" s="55"/>
      <c r="CL238" s="55"/>
      <c r="CM238" s="55"/>
      <c r="CN238" s="55"/>
      <c r="CO238" s="55"/>
      <c r="CP238" s="55"/>
      <c r="CQ238" s="55"/>
      <c r="CR238" s="55"/>
      <c r="CS238" s="55"/>
      <c r="CT238" s="55"/>
      <c r="CU238" s="55"/>
      <c r="CV238" s="55"/>
      <c r="CW238" s="55"/>
      <c r="CX238" s="55"/>
      <c r="CY238" s="55"/>
      <c r="CZ238" s="55"/>
      <c r="DA238" s="55"/>
      <c r="DB238" s="55"/>
      <c r="DC238" s="55"/>
      <c r="DD238" s="55"/>
      <c r="DE238" s="55"/>
      <c r="DF238" s="55"/>
      <c r="DG238" s="55"/>
      <c r="DH238" s="55"/>
      <c r="DI238" s="55"/>
      <c r="DJ238" s="55"/>
    </row>
    <row r="239" spans="1:114" x14ac:dyDescent="0.25">
      <c r="A239" s="339"/>
      <c r="B239" s="340"/>
      <c r="C239" s="341"/>
      <c r="D239" s="342"/>
      <c r="E239" s="344"/>
      <c r="F239" s="350"/>
      <c r="G239" s="345"/>
      <c r="H239" s="346"/>
      <c r="I239" s="345"/>
      <c r="J239" s="345"/>
      <c r="K239" s="347"/>
      <c r="L239" s="297"/>
      <c r="M239" s="297"/>
      <c r="N239" s="348"/>
      <c r="O239" s="310" t="s">
        <v>967</v>
      </c>
      <c r="P239" s="349" t="s">
        <v>932</v>
      </c>
      <c r="Q239" s="349" t="s">
        <v>1009</v>
      </c>
      <c r="R239" s="349"/>
      <c r="S239" s="349"/>
      <c r="T239" s="346"/>
      <c r="U239" s="346"/>
      <c r="V239" s="346"/>
      <c r="W239" s="346"/>
      <c r="X239" s="346"/>
      <c r="Y239" s="346"/>
      <c r="Z239" s="346"/>
      <c r="AA239" s="346"/>
      <c r="AB239" s="346"/>
      <c r="AC239" s="346"/>
      <c r="AD239" s="346"/>
      <c r="AE239" s="346"/>
      <c r="AF239" s="346"/>
      <c r="AG239" s="346"/>
      <c r="AH239" s="346"/>
      <c r="AI239" s="346"/>
      <c r="AJ239" s="346"/>
      <c r="AK239" s="346"/>
      <c r="AL239" s="346"/>
      <c r="AM239" s="346"/>
      <c r="AN239" s="346"/>
      <c r="AO239" s="346"/>
      <c r="AP239" s="346"/>
      <c r="AQ239" s="346"/>
      <c r="AR239" s="346"/>
      <c r="AS239" s="346"/>
      <c r="AT239" s="346"/>
      <c r="AU239" s="346"/>
      <c r="AV239" s="346"/>
      <c r="AW239" s="346"/>
      <c r="AX239" s="346"/>
      <c r="AY239" s="346"/>
      <c r="AZ239" s="346"/>
      <c r="BA239" s="346"/>
      <c r="BB239" s="346"/>
      <c r="BC239" s="346"/>
      <c r="BD239" s="346"/>
      <c r="BE239" s="346"/>
      <c r="BF239" s="346"/>
      <c r="BG239" s="346"/>
      <c r="BH239" s="346"/>
      <c r="BI239" s="346"/>
      <c r="BJ239" s="346"/>
      <c r="BK239" s="346"/>
      <c r="BL239" s="346"/>
      <c r="BM239" s="346"/>
      <c r="BN239" s="346"/>
      <c r="BO239" s="346"/>
      <c r="BP239" s="346"/>
      <c r="BQ239" s="346"/>
      <c r="BR239" s="346"/>
      <c r="BS239" s="346"/>
      <c r="BT239" s="346"/>
      <c r="BU239" s="346"/>
      <c r="BV239" s="346"/>
      <c r="BW239" s="346"/>
      <c r="BX239" s="346"/>
      <c r="BY239" s="346"/>
      <c r="BZ239" s="346"/>
      <c r="CA239" s="346"/>
      <c r="CB239" s="346"/>
      <c r="CC239" s="346"/>
      <c r="CD239" s="346"/>
      <c r="CE239" s="346"/>
      <c r="CF239" s="346"/>
      <c r="CG239" s="346"/>
      <c r="CH239" s="346"/>
      <c r="CI239" s="346"/>
      <c r="CJ239" s="346"/>
      <c r="CK239" s="346"/>
      <c r="CL239" s="346"/>
      <c r="CM239" s="346"/>
      <c r="CN239" s="346"/>
      <c r="CO239" s="346"/>
      <c r="CP239" s="346"/>
      <c r="CQ239" s="346"/>
      <c r="CR239" s="346"/>
      <c r="CS239" s="346"/>
      <c r="CT239" s="346"/>
      <c r="CU239" s="346"/>
      <c r="CV239" s="346"/>
      <c r="CW239" s="346"/>
      <c r="CX239" s="346"/>
      <c r="CY239" s="346"/>
      <c r="CZ239" s="346"/>
      <c r="DA239" s="346"/>
      <c r="DB239" s="346"/>
      <c r="DC239" s="346"/>
      <c r="DD239" s="346"/>
      <c r="DE239" s="346"/>
      <c r="DF239" s="346"/>
      <c r="DG239" s="346"/>
      <c r="DH239" s="346"/>
      <c r="DI239" s="346"/>
      <c r="DJ239" s="346"/>
    </row>
    <row r="240" spans="1:114" x14ac:dyDescent="0.25">
      <c r="A240" s="120">
        <v>2</v>
      </c>
      <c r="B240" s="79" t="s">
        <v>106</v>
      </c>
      <c r="C240" s="80">
        <v>1500</v>
      </c>
      <c r="D240" s="81">
        <v>176.31</v>
      </c>
      <c r="E240" s="43">
        <v>0</v>
      </c>
      <c r="F240" s="60"/>
      <c r="G240" s="56">
        <f t="shared" si="47"/>
        <v>0</v>
      </c>
      <c r="H240" s="55">
        <f>620-620</f>
        <v>0</v>
      </c>
      <c r="I240" s="56">
        <f t="shared" si="48"/>
        <v>0</v>
      </c>
      <c r="J240" s="56">
        <f t="shared" si="49"/>
        <v>0</v>
      </c>
      <c r="K240" s="57">
        <f t="shared" si="50"/>
        <v>0</v>
      </c>
      <c r="L240" s="297"/>
      <c r="M240" s="297"/>
      <c r="N240" s="314">
        <f t="shared" si="46"/>
        <v>1248</v>
      </c>
      <c r="O240" s="310">
        <v>480</v>
      </c>
      <c r="P240" s="315">
        <v>288</v>
      </c>
      <c r="Q240" s="315">
        <v>480</v>
      </c>
      <c r="R240" s="315"/>
      <c r="S240" s="315"/>
      <c r="T240" s="55"/>
      <c r="U240" s="55"/>
      <c r="V240" s="55"/>
      <c r="W240" s="55"/>
      <c r="X240" s="55"/>
      <c r="Y240" s="55"/>
      <c r="Z240" s="55"/>
      <c r="AA240" s="55"/>
      <c r="AB240" s="55"/>
      <c r="AC240" s="55"/>
      <c r="AD240" s="55"/>
      <c r="AE240" s="55"/>
      <c r="AF240" s="55"/>
      <c r="AG240" s="55"/>
      <c r="AH240" s="55"/>
      <c r="AI240" s="55"/>
      <c r="AJ240" s="55"/>
      <c r="AK240" s="55"/>
      <c r="AL240" s="55"/>
      <c r="AM240" s="55"/>
      <c r="AN240" s="55"/>
      <c r="AO240" s="55"/>
      <c r="AP240" s="55"/>
      <c r="AQ240" s="55"/>
      <c r="AR240" s="55"/>
      <c r="AS240" s="55"/>
      <c r="AT240" s="55"/>
      <c r="AU240" s="55"/>
      <c r="AV240" s="55"/>
      <c r="AW240" s="55"/>
      <c r="AX240" s="55"/>
      <c r="AY240" s="55"/>
      <c r="AZ240" s="55"/>
      <c r="BA240" s="55"/>
      <c r="BB240" s="55"/>
      <c r="BC240" s="55"/>
      <c r="BD240" s="55"/>
      <c r="BE240" s="55"/>
      <c r="BF240" s="55"/>
      <c r="BG240" s="55"/>
      <c r="BH240" s="55"/>
      <c r="BI240" s="55"/>
      <c r="BJ240" s="55"/>
      <c r="BK240" s="55"/>
      <c r="BL240" s="55"/>
      <c r="BM240" s="55"/>
      <c r="BN240" s="55"/>
      <c r="BO240" s="55"/>
      <c r="BP240" s="55"/>
      <c r="BQ240" s="55"/>
      <c r="BR240" s="55"/>
      <c r="BS240" s="55"/>
      <c r="BT240" s="55"/>
      <c r="BU240" s="55"/>
      <c r="BV240" s="55"/>
      <c r="BW240" s="55"/>
      <c r="BX240" s="55"/>
      <c r="BY240" s="55"/>
      <c r="BZ240" s="55"/>
      <c r="CA240" s="55"/>
      <c r="CB240" s="55"/>
      <c r="CC240" s="55"/>
      <c r="CD240" s="55"/>
      <c r="CE240" s="55"/>
      <c r="CF240" s="55"/>
      <c r="CG240" s="55"/>
      <c r="CH240" s="55"/>
      <c r="CI240" s="55"/>
      <c r="CJ240" s="55"/>
      <c r="CK240" s="55"/>
      <c r="CL240" s="55"/>
      <c r="CM240" s="55"/>
      <c r="CN240" s="55"/>
      <c r="CO240" s="55"/>
      <c r="CP240" s="55"/>
      <c r="CQ240" s="55"/>
      <c r="CR240" s="55"/>
      <c r="CS240" s="55"/>
      <c r="CT240" s="55"/>
      <c r="CU240" s="55"/>
      <c r="CV240" s="55"/>
      <c r="CW240" s="55"/>
      <c r="CX240" s="55"/>
      <c r="CY240" s="55"/>
      <c r="CZ240" s="55"/>
      <c r="DA240" s="55"/>
      <c r="DB240" s="55"/>
      <c r="DC240" s="55"/>
      <c r="DD240" s="55"/>
      <c r="DE240" s="55"/>
      <c r="DF240" s="55"/>
      <c r="DG240" s="55"/>
      <c r="DH240" s="55"/>
      <c r="DI240" s="55"/>
      <c r="DJ240" s="55"/>
    </row>
    <row r="241" spans="1:114" x14ac:dyDescent="0.25">
      <c r="A241" s="339"/>
      <c r="B241" s="340"/>
      <c r="C241" s="341"/>
      <c r="D241" s="342"/>
      <c r="E241" s="344"/>
      <c r="F241" s="350"/>
      <c r="G241" s="345"/>
      <c r="H241" s="346"/>
      <c r="I241" s="345"/>
      <c r="J241" s="345"/>
      <c r="K241" s="347"/>
      <c r="L241" s="297"/>
      <c r="M241" s="297"/>
      <c r="N241" s="348"/>
      <c r="O241" s="310" t="s">
        <v>967</v>
      </c>
      <c r="P241" s="349" t="s">
        <v>932</v>
      </c>
      <c r="Q241" s="349" t="s">
        <v>1006</v>
      </c>
      <c r="R241" s="349" t="s">
        <v>1010</v>
      </c>
      <c r="S241" s="349" t="s">
        <v>1013</v>
      </c>
      <c r="T241" s="346" t="s">
        <v>1009</v>
      </c>
      <c r="U241" s="346"/>
      <c r="V241" s="346"/>
      <c r="W241" s="346"/>
      <c r="X241" s="346"/>
      <c r="Y241" s="346"/>
      <c r="Z241" s="346"/>
      <c r="AA241" s="346"/>
      <c r="AB241" s="346"/>
      <c r="AC241" s="346"/>
      <c r="AD241" s="346"/>
      <c r="AE241" s="346"/>
      <c r="AF241" s="346"/>
      <c r="AG241" s="346"/>
      <c r="AH241" s="346"/>
      <c r="AI241" s="346"/>
      <c r="AJ241" s="346"/>
      <c r="AK241" s="346"/>
      <c r="AL241" s="346"/>
      <c r="AM241" s="346"/>
      <c r="AN241" s="346"/>
      <c r="AO241" s="346"/>
      <c r="AP241" s="346"/>
      <c r="AQ241" s="346"/>
      <c r="AR241" s="346"/>
      <c r="AS241" s="346"/>
      <c r="AT241" s="346"/>
      <c r="AU241" s="346"/>
      <c r="AV241" s="346"/>
      <c r="AW241" s="346"/>
      <c r="AX241" s="346"/>
      <c r="AY241" s="346"/>
      <c r="AZ241" s="346"/>
      <c r="BA241" s="346"/>
      <c r="BB241" s="346"/>
      <c r="BC241" s="346"/>
      <c r="BD241" s="346"/>
      <c r="BE241" s="346"/>
      <c r="BF241" s="346"/>
      <c r="BG241" s="346"/>
      <c r="BH241" s="346"/>
      <c r="BI241" s="346"/>
      <c r="BJ241" s="346"/>
      <c r="BK241" s="346"/>
      <c r="BL241" s="346"/>
      <c r="BM241" s="346"/>
      <c r="BN241" s="346"/>
      <c r="BO241" s="346"/>
      <c r="BP241" s="346"/>
      <c r="BQ241" s="346"/>
      <c r="BR241" s="346"/>
      <c r="BS241" s="346"/>
      <c r="BT241" s="346"/>
      <c r="BU241" s="346"/>
      <c r="BV241" s="346"/>
      <c r="BW241" s="346"/>
      <c r="BX241" s="346"/>
      <c r="BY241" s="346"/>
      <c r="BZ241" s="346"/>
      <c r="CA241" s="346"/>
      <c r="CB241" s="346"/>
      <c r="CC241" s="346"/>
      <c r="CD241" s="346"/>
      <c r="CE241" s="346"/>
      <c r="CF241" s="346"/>
      <c r="CG241" s="346"/>
      <c r="CH241" s="346"/>
      <c r="CI241" s="346"/>
      <c r="CJ241" s="346"/>
      <c r="CK241" s="346"/>
      <c r="CL241" s="346"/>
      <c r="CM241" s="346"/>
      <c r="CN241" s="346"/>
      <c r="CO241" s="346"/>
      <c r="CP241" s="346"/>
      <c r="CQ241" s="346"/>
      <c r="CR241" s="346"/>
      <c r="CS241" s="346"/>
      <c r="CT241" s="346"/>
      <c r="CU241" s="346"/>
      <c r="CV241" s="346"/>
      <c r="CW241" s="346"/>
      <c r="CX241" s="346"/>
      <c r="CY241" s="346"/>
      <c r="CZ241" s="346"/>
      <c r="DA241" s="346"/>
      <c r="DB241" s="346"/>
      <c r="DC241" s="346"/>
      <c r="DD241" s="346"/>
      <c r="DE241" s="346"/>
      <c r="DF241" s="346"/>
      <c r="DG241" s="346"/>
      <c r="DH241" s="346"/>
      <c r="DI241" s="346"/>
      <c r="DJ241" s="346"/>
    </row>
    <row r="242" spans="1:114" x14ac:dyDescent="0.25">
      <c r="A242" s="120">
        <v>3</v>
      </c>
      <c r="B242" s="79" t="s">
        <v>50</v>
      </c>
      <c r="C242" s="80">
        <v>1500</v>
      </c>
      <c r="D242" s="81">
        <v>131.72</v>
      </c>
      <c r="E242" s="43">
        <v>0</v>
      </c>
      <c r="F242" s="60"/>
      <c r="G242" s="56">
        <f t="shared" si="47"/>
        <v>0</v>
      </c>
      <c r="H242" s="55">
        <f>645-645</f>
        <v>0</v>
      </c>
      <c r="I242" s="56">
        <f t="shared" si="48"/>
        <v>0</v>
      </c>
      <c r="J242" s="56">
        <f t="shared" si="49"/>
        <v>0</v>
      </c>
      <c r="K242" s="57">
        <f t="shared" si="50"/>
        <v>0</v>
      </c>
      <c r="L242" s="297"/>
      <c r="M242" s="297"/>
      <c r="N242" s="314">
        <f t="shared" si="46"/>
        <v>13608</v>
      </c>
      <c r="O242" s="310">
        <v>1776</v>
      </c>
      <c r="P242" s="315">
        <v>720</v>
      </c>
      <c r="Q242" s="315">
        <v>480</v>
      </c>
      <c r="R242" s="315">
        <v>7200</v>
      </c>
      <c r="S242" s="315">
        <v>1632</v>
      </c>
      <c r="T242" s="55">
        <v>1800</v>
      </c>
      <c r="U242" s="55"/>
      <c r="V242" s="55"/>
      <c r="W242" s="55"/>
      <c r="X242" s="55"/>
      <c r="Y242" s="55"/>
      <c r="Z242" s="55"/>
      <c r="AA242" s="55"/>
      <c r="AB242" s="55"/>
      <c r="AC242" s="55"/>
      <c r="AD242" s="55"/>
      <c r="AE242" s="55"/>
      <c r="AF242" s="55"/>
      <c r="AG242" s="55"/>
      <c r="AH242" s="55"/>
      <c r="AI242" s="55"/>
      <c r="AJ242" s="55"/>
      <c r="AK242" s="55"/>
      <c r="AL242" s="55"/>
      <c r="AM242" s="55"/>
      <c r="AN242" s="55"/>
      <c r="AO242" s="55"/>
      <c r="AP242" s="55"/>
      <c r="AQ242" s="55"/>
      <c r="AR242" s="55"/>
      <c r="AS242" s="55"/>
      <c r="AT242" s="55"/>
      <c r="AU242" s="55"/>
      <c r="AV242" s="55"/>
      <c r="AW242" s="55"/>
      <c r="AX242" s="55"/>
      <c r="AY242" s="55"/>
      <c r="AZ242" s="55"/>
      <c r="BA242" s="55"/>
      <c r="BB242" s="55"/>
      <c r="BC242" s="55"/>
      <c r="BD242" s="55"/>
      <c r="BE242" s="55"/>
      <c r="BF242" s="55"/>
      <c r="BG242" s="55"/>
      <c r="BH242" s="55"/>
      <c r="BI242" s="55"/>
      <c r="BJ242" s="55"/>
      <c r="BK242" s="55"/>
      <c r="BL242" s="55"/>
      <c r="BM242" s="55"/>
      <c r="BN242" s="55"/>
      <c r="BO242" s="55"/>
      <c r="BP242" s="55"/>
      <c r="BQ242" s="55"/>
      <c r="BR242" s="55"/>
      <c r="BS242" s="55"/>
      <c r="BT242" s="55"/>
      <c r="BU242" s="55"/>
      <c r="BV242" s="55"/>
      <c r="BW242" s="55"/>
      <c r="BX242" s="55"/>
      <c r="BY242" s="55"/>
      <c r="BZ242" s="55"/>
      <c r="CA242" s="55"/>
      <c r="CB242" s="55"/>
      <c r="CC242" s="55"/>
      <c r="CD242" s="55"/>
      <c r="CE242" s="55"/>
      <c r="CF242" s="55"/>
      <c r="CG242" s="55"/>
      <c r="CH242" s="55"/>
      <c r="CI242" s="55"/>
      <c r="CJ242" s="55"/>
      <c r="CK242" s="55"/>
      <c r="CL242" s="55"/>
      <c r="CM242" s="55"/>
      <c r="CN242" s="55"/>
      <c r="CO242" s="55"/>
      <c r="CP242" s="55"/>
      <c r="CQ242" s="55"/>
      <c r="CR242" s="55"/>
      <c r="CS242" s="55"/>
      <c r="CT242" s="55"/>
      <c r="CU242" s="55"/>
      <c r="CV242" s="55"/>
      <c r="CW242" s="55"/>
      <c r="CX242" s="55"/>
      <c r="CY242" s="55"/>
      <c r="CZ242" s="55"/>
      <c r="DA242" s="55"/>
      <c r="DB242" s="55"/>
      <c r="DC242" s="55"/>
      <c r="DD242" s="55"/>
      <c r="DE242" s="55"/>
      <c r="DF242" s="55"/>
      <c r="DG242" s="55"/>
      <c r="DH242" s="55"/>
      <c r="DI242" s="55"/>
      <c r="DJ242" s="55"/>
    </row>
    <row r="243" spans="1:114" x14ac:dyDescent="0.25">
      <c r="A243" s="339"/>
      <c r="B243" s="340"/>
      <c r="C243" s="341"/>
      <c r="D243" s="342"/>
      <c r="E243" s="344"/>
      <c r="F243" s="350"/>
      <c r="G243" s="345"/>
      <c r="H243" s="346"/>
      <c r="I243" s="345"/>
      <c r="J243" s="345"/>
      <c r="K243" s="347"/>
      <c r="L243" s="297"/>
      <c r="M243" s="297"/>
      <c r="N243" s="348"/>
      <c r="O243" s="310" t="s">
        <v>1024</v>
      </c>
      <c r="P243" s="349" t="s">
        <v>932</v>
      </c>
      <c r="Q243" s="349" t="s">
        <v>967</v>
      </c>
      <c r="R243" s="349"/>
      <c r="S243" s="349"/>
      <c r="T243" s="346"/>
      <c r="U243" s="346"/>
      <c r="V243" s="346"/>
      <c r="W243" s="346"/>
      <c r="X243" s="346"/>
      <c r="Y243" s="346"/>
      <c r="Z243" s="346"/>
      <c r="AA243" s="346"/>
      <c r="AB243" s="346"/>
      <c r="AC243" s="346"/>
      <c r="AD243" s="346"/>
      <c r="AE243" s="346"/>
      <c r="AF243" s="346"/>
      <c r="AG243" s="346"/>
      <c r="AH243" s="346"/>
      <c r="AI243" s="346"/>
      <c r="AJ243" s="346"/>
      <c r="AK243" s="346"/>
      <c r="AL243" s="346"/>
      <c r="AM243" s="346"/>
      <c r="AN243" s="346"/>
      <c r="AO243" s="346"/>
      <c r="AP243" s="346"/>
      <c r="AQ243" s="346"/>
      <c r="AR243" s="346"/>
      <c r="AS243" s="346"/>
      <c r="AT243" s="346"/>
      <c r="AU243" s="346"/>
      <c r="AV243" s="346"/>
      <c r="AW243" s="346"/>
      <c r="AX243" s="346"/>
      <c r="AY243" s="346"/>
      <c r="AZ243" s="346"/>
      <c r="BA243" s="346"/>
      <c r="BB243" s="346"/>
      <c r="BC243" s="346"/>
      <c r="BD243" s="346"/>
      <c r="BE243" s="346"/>
      <c r="BF243" s="346"/>
      <c r="BG243" s="346"/>
      <c r="BH243" s="346"/>
      <c r="BI243" s="346"/>
      <c r="BJ243" s="346"/>
      <c r="BK243" s="346"/>
      <c r="BL243" s="346"/>
      <c r="BM243" s="346"/>
      <c r="BN243" s="346"/>
      <c r="BO243" s="346"/>
      <c r="BP243" s="346"/>
      <c r="BQ243" s="346"/>
      <c r="BR243" s="346"/>
      <c r="BS243" s="346"/>
      <c r="BT243" s="346"/>
      <c r="BU243" s="346"/>
      <c r="BV243" s="346"/>
      <c r="BW243" s="346"/>
      <c r="BX243" s="346"/>
      <c r="BY243" s="346"/>
      <c r="BZ243" s="346"/>
      <c r="CA243" s="346"/>
      <c r="CB243" s="346"/>
      <c r="CC243" s="346"/>
      <c r="CD243" s="346"/>
      <c r="CE243" s="346"/>
      <c r="CF243" s="346"/>
      <c r="CG243" s="346"/>
      <c r="CH243" s="346"/>
      <c r="CI243" s="346"/>
      <c r="CJ243" s="346"/>
      <c r="CK243" s="346"/>
      <c r="CL243" s="346"/>
      <c r="CM243" s="346"/>
      <c r="CN243" s="346"/>
      <c r="CO243" s="346"/>
      <c r="CP243" s="346"/>
      <c r="CQ243" s="346"/>
      <c r="CR243" s="346"/>
      <c r="CS243" s="346"/>
      <c r="CT243" s="346"/>
      <c r="CU243" s="346"/>
      <c r="CV243" s="346"/>
      <c r="CW243" s="346"/>
      <c r="CX243" s="346"/>
      <c r="CY243" s="346"/>
      <c r="CZ243" s="346"/>
      <c r="DA243" s="346"/>
      <c r="DB243" s="346"/>
      <c r="DC243" s="346"/>
      <c r="DD243" s="346"/>
      <c r="DE243" s="346"/>
      <c r="DF243" s="346"/>
      <c r="DG243" s="346"/>
      <c r="DH243" s="346"/>
      <c r="DI243" s="346"/>
      <c r="DJ243" s="346"/>
    </row>
    <row r="244" spans="1:114" x14ac:dyDescent="0.25">
      <c r="A244" s="120">
        <v>4</v>
      </c>
      <c r="B244" s="79" t="s">
        <v>107</v>
      </c>
      <c r="C244" s="80">
        <v>1500</v>
      </c>
      <c r="D244" s="81">
        <v>170.53</v>
      </c>
      <c r="E244" s="43">
        <v>0</v>
      </c>
      <c r="F244" s="60"/>
      <c r="G244" s="56">
        <f t="shared" si="47"/>
        <v>0</v>
      </c>
      <c r="H244" s="55">
        <f>2400-2400</f>
        <v>0</v>
      </c>
      <c r="I244" s="56">
        <f t="shared" si="48"/>
        <v>0</v>
      </c>
      <c r="J244" s="56">
        <f t="shared" si="49"/>
        <v>0</v>
      </c>
      <c r="K244" s="57">
        <f t="shared" si="50"/>
        <v>0</v>
      </c>
      <c r="L244" s="297"/>
      <c r="M244" s="297"/>
      <c r="N244" s="314">
        <f t="shared" si="46"/>
        <v>9651</v>
      </c>
      <c r="O244" s="310">
        <v>99</v>
      </c>
      <c r="P244" s="315">
        <v>4800</v>
      </c>
      <c r="Q244" s="315">
        <v>4752</v>
      </c>
      <c r="R244" s="315"/>
      <c r="S244" s="315"/>
      <c r="T244" s="55"/>
      <c r="U244" s="55"/>
      <c r="V244" s="55"/>
      <c r="W244" s="55"/>
      <c r="X244" s="55"/>
      <c r="Y244" s="55"/>
      <c r="Z244" s="55"/>
      <c r="AA244" s="55"/>
      <c r="AB244" s="55"/>
      <c r="AC244" s="55"/>
      <c r="AD244" s="55"/>
      <c r="AE244" s="55"/>
      <c r="AF244" s="55"/>
      <c r="AG244" s="55"/>
      <c r="AH244" s="55"/>
      <c r="AI244" s="55"/>
      <c r="AJ244" s="55"/>
      <c r="AK244" s="55"/>
      <c r="AL244" s="55"/>
      <c r="AM244" s="55"/>
      <c r="AN244" s="55"/>
      <c r="AO244" s="55"/>
      <c r="AP244" s="55"/>
      <c r="AQ244" s="55"/>
      <c r="AR244" s="55"/>
      <c r="AS244" s="55"/>
      <c r="AT244" s="55"/>
      <c r="AU244" s="55"/>
      <c r="AV244" s="55"/>
      <c r="AW244" s="55"/>
      <c r="AX244" s="55"/>
      <c r="AY244" s="55"/>
      <c r="AZ244" s="55"/>
      <c r="BA244" s="55"/>
      <c r="BB244" s="55"/>
      <c r="BC244" s="55"/>
      <c r="BD244" s="55"/>
      <c r="BE244" s="55"/>
      <c r="BF244" s="55"/>
      <c r="BG244" s="55"/>
      <c r="BH244" s="55"/>
      <c r="BI244" s="55"/>
      <c r="BJ244" s="55"/>
      <c r="BK244" s="55"/>
      <c r="BL244" s="55"/>
      <c r="BM244" s="55"/>
      <c r="BN244" s="55"/>
      <c r="BO244" s="55"/>
      <c r="BP244" s="55"/>
      <c r="BQ244" s="55"/>
      <c r="BR244" s="55"/>
      <c r="BS244" s="55"/>
      <c r="BT244" s="55"/>
      <c r="BU244" s="55"/>
      <c r="BV244" s="55"/>
      <c r="BW244" s="55"/>
      <c r="BX244" s="55"/>
      <c r="BY244" s="55"/>
      <c r="BZ244" s="55"/>
      <c r="CA244" s="55"/>
      <c r="CB244" s="55"/>
      <c r="CC244" s="55"/>
      <c r="CD244" s="55"/>
      <c r="CE244" s="55"/>
      <c r="CF244" s="55"/>
      <c r="CG244" s="55"/>
      <c r="CH244" s="55"/>
      <c r="CI244" s="55"/>
      <c r="CJ244" s="55"/>
      <c r="CK244" s="55"/>
      <c r="CL244" s="55"/>
      <c r="CM244" s="55"/>
      <c r="CN244" s="55"/>
      <c r="CO244" s="55"/>
      <c r="CP244" s="55"/>
      <c r="CQ244" s="55"/>
      <c r="CR244" s="55"/>
      <c r="CS244" s="55"/>
      <c r="CT244" s="55"/>
      <c r="CU244" s="55"/>
      <c r="CV244" s="55"/>
      <c r="CW244" s="55"/>
      <c r="CX244" s="55"/>
      <c r="CY244" s="55"/>
      <c r="CZ244" s="55"/>
      <c r="DA244" s="55"/>
      <c r="DB244" s="55"/>
      <c r="DC244" s="55"/>
      <c r="DD244" s="55"/>
      <c r="DE244" s="55"/>
      <c r="DF244" s="55"/>
      <c r="DG244" s="55"/>
      <c r="DH244" s="55"/>
      <c r="DI244" s="55"/>
      <c r="DJ244" s="55"/>
    </row>
    <row r="245" spans="1:114" x14ac:dyDescent="0.25">
      <c r="A245" s="339"/>
      <c r="B245" s="340"/>
      <c r="C245" s="341"/>
      <c r="D245" s="342"/>
      <c r="E245" s="344"/>
      <c r="F245" s="350"/>
      <c r="G245" s="345"/>
      <c r="H245" s="346"/>
      <c r="I245" s="345"/>
      <c r="J245" s="345"/>
      <c r="K245" s="347"/>
      <c r="L245" s="297"/>
      <c r="M245" s="297"/>
      <c r="N245" s="348"/>
      <c r="O245" s="310" t="s">
        <v>932</v>
      </c>
      <c r="P245" s="349" t="s">
        <v>967</v>
      </c>
      <c r="Q245" s="349" t="s">
        <v>1006</v>
      </c>
      <c r="R245" s="349" t="s">
        <v>1009</v>
      </c>
      <c r="S245" s="349" t="s">
        <v>1010</v>
      </c>
      <c r="T245" s="346" t="s">
        <v>1019</v>
      </c>
      <c r="U245" s="346"/>
      <c r="V245" s="346"/>
      <c r="W245" s="346"/>
      <c r="X245" s="346"/>
      <c r="Y245" s="346"/>
      <c r="Z245" s="346"/>
      <c r="AA245" s="346"/>
      <c r="AB245" s="346"/>
      <c r="AC245" s="346"/>
      <c r="AD245" s="346"/>
      <c r="AE245" s="346"/>
      <c r="AF245" s="346"/>
      <c r="AG245" s="346"/>
      <c r="AH245" s="346"/>
      <c r="AI245" s="346"/>
      <c r="AJ245" s="346"/>
      <c r="AK245" s="346"/>
      <c r="AL245" s="346"/>
      <c r="AM245" s="346"/>
      <c r="AN245" s="346"/>
      <c r="AO245" s="346"/>
      <c r="AP245" s="346"/>
      <c r="AQ245" s="346"/>
      <c r="AR245" s="346"/>
      <c r="AS245" s="346"/>
      <c r="AT245" s="346"/>
      <c r="AU245" s="346"/>
      <c r="AV245" s="346"/>
      <c r="AW245" s="346"/>
      <c r="AX245" s="346"/>
      <c r="AY245" s="346"/>
      <c r="AZ245" s="346"/>
      <c r="BA245" s="346"/>
      <c r="BB245" s="346"/>
      <c r="BC245" s="346"/>
      <c r="BD245" s="346"/>
      <c r="BE245" s="346"/>
      <c r="BF245" s="346"/>
      <c r="BG245" s="346"/>
      <c r="BH245" s="346"/>
      <c r="BI245" s="346"/>
      <c r="BJ245" s="346"/>
      <c r="BK245" s="346"/>
      <c r="BL245" s="346"/>
      <c r="BM245" s="346"/>
      <c r="BN245" s="346"/>
      <c r="BO245" s="346"/>
      <c r="BP245" s="346"/>
      <c r="BQ245" s="346"/>
      <c r="BR245" s="346"/>
      <c r="BS245" s="346"/>
      <c r="BT245" s="346"/>
      <c r="BU245" s="346"/>
      <c r="BV245" s="346"/>
      <c r="BW245" s="346"/>
      <c r="BX245" s="346"/>
      <c r="BY245" s="346"/>
      <c r="BZ245" s="346"/>
      <c r="CA245" s="346"/>
      <c r="CB245" s="346"/>
      <c r="CC245" s="346"/>
      <c r="CD245" s="346"/>
      <c r="CE245" s="346"/>
      <c r="CF245" s="346"/>
      <c r="CG245" s="346"/>
      <c r="CH245" s="346"/>
      <c r="CI245" s="346"/>
      <c r="CJ245" s="346"/>
      <c r="CK245" s="346"/>
      <c r="CL245" s="346"/>
      <c r="CM245" s="346"/>
      <c r="CN245" s="346"/>
      <c r="CO245" s="346"/>
      <c r="CP245" s="346"/>
      <c r="CQ245" s="346"/>
      <c r="CR245" s="346"/>
      <c r="CS245" s="346"/>
      <c r="CT245" s="346"/>
      <c r="CU245" s="346"/>
      <c r="CV245" s="346"/>
      <c r="CW245" s="346"/>
      <c r="CX245" s="346"/>
      <c r="CY245" s="346"/>
      <c r="CZ245" s="346"/>
      <c r="DA245" s="346"/>
      <c r="DB245" s="346"/>
      <c r="DC245" s="346"/>
      <c r="DD245" s="346"/>
      <c r="DE245" s="346"/>
      <c r="DF245" s="346"/>
      <c r="DG245" s="346"/>
      <c r="DH245" s="346"/>
      <c r="DI245" s="346"/>
      <c r="DJ245" s="346"/>
    </row>
    <row r="246" spans="1:114" x14ac:dyDescent="0.25">
      <c r="A246" s="120">
        <v>5</v>
      </c>
      <c r="B246" s="79" t="s">
        <v>108</v>
      </c>
      <c r="C246" s="80">
        <v>1500</v>
      </c>
      <c r="D246" s="81">
        <v>111.78</v>
      </c>
      <c r="E246" s="43">
        <v>0</v>
      </c>
      <c r="F246" s="60"/>
      <c r="G246" s="56">
        <f t="shared" si="47"/>
        <v>0</v>
      </c>
      <c r="H246" s="55">
        <f>4000-4000</f>
        <v>0</v>
      </c>
      <c r="I246" s="56">
        <f t="shared" si="48"/>
        <v>0</v>
      </c>
      <c r="J246" s="56">
        <f t="shared" si="49"/>
        <v>0</v>
      </c>
      <c r="K246" s="57">
        <f t="shared" si="50"/>
        <v>0</v>
      </c>
      <c r="L246" s="297"/>
      <c r="M246" s="297"/>
      <c r="N246" s="314">
        <f t="shared" si="46"/>
        <v>5240</v>
      </c>
      <c r="O246" s="310">
        <v>1000</v>
      </c>
      <c r="P246" s="315">
        <v>1000</v>
      </c>
      <c r="Q246" s="315">
        <v>40</v>
      </c>
      <c r="R246" s="315">
        <v>1000</v>
      </c>
      <c r="S246" s="315">
        <v>2000</v>
      </c>
      <c r="T246" s="55">
        <v>200</v>
      </c>
      <c r="U246" s="55"/>
      <c r="V246" s="55"/>
      <c r="W246" s="55"/>
      <c r="X246" s="55"/>
      <c r="Y246" s="55"/>
      <c r="Z246" s="55"/>
      <c r="AA246" s="55"/>
      <c r="AB246" s="55"/>
      <c r="AC246" s="55"/>
      <c r="AD246" s="55"/>
      <c r="AE246" s="55"/>
      <c r="AF246" s="55"/>
      <c r="AG246" s="55"/>
      <c r="AH246" s="55"/>
      <c r="AI246" s="55"/>
      <c r="AJ246" s="55"/>
      <c r="AK246" s="55"/>
      <c r="AL246" s="55"/>
      <c r="AM246" s="55"/>
      <c r="AN246" s="55"/>
      <c r="AO246" s="55"/>
      <c r="AP246" s="55"/>
      <c r="AQ246" s="55"/>
      <c r="AR246" s="55"/>
      <c r="AS246" s="55"/>
      <c r="AT246" s="55"/>
      <c r="AU246" s="55"/>
      <c r="AV246" s="55"/>
      <c r="AW246" s="55"/>
      <c r="AX246" s="55"/>
      <c r="AY246" s="55"/>
      <c r="AZ246" s="55"/>
      <c r="BA246" s="55"/>
      <c r="BB246" s="55"/>
      <c r="BC246" s="55"/>
      <c r="BD246" s="55"/>
      <c r="BE246" s="55"/>
      <c r="BF246" s="55"/>
      <c r="BG246" s="55"/>
      <c r="BH246" s="55"/>
      <c r="BI246" s="55"/>
      <c r="BJ246" s="55"/>
      <c r="BK246" s="55"/>
      <c r="BL246" s="55"/>
      <c r="BM246" s="55"/>
      <c r="BN246" s="55"/>
      <c r="BO246" s="55"/>
      <c r="BP246" s="55"/>
      <c r="BQ246" s="55"/>
      <c r="BR246" s="55"/>
      <c r="BS246" s="55"/>
      <c r="BT246" s="55"/>
      <c r="BU246" s="55"/>
      <c r="BV246" s="55"/>
      <c r="BW246" s="55"/>
      <c r="BX246" s="55"/>
      <c r="BY246" s="55"/>
      <c r="BZ246" s="55"/>
      <c r="CA246" s="55"/>
      <c r="CB246" s="55"/>
      <c r="CC246" s="55"/>
      <c r="CD246" s="55"/>
      <c r="CE246" s="55"/>
      <c r="CF246" s="55"/>
      <c r="CG246" s="55"/>
      <c r="CH246" s="55"/>
      <c r="CI246" s="55"/>
      <c r="CJ246" s="55"/>
      <c r="CK246" s="55"/>
      <c r="CL246" s="55"/>
      <c r="CM246" s="55"/>
      <c r="CN246" s="55"/>
      <c r="CO246" s="55"/>
      <c r="CP246" s="55"/>
      <c r="CQ246" s="55"/>
      <c r="CR246" s="55"/>
      <c r="CS246" s="55"/>
      <c r="CT246" s="55"/>
      <c r="CU246" s="55"/>
      <c r="CV246" s="55"/>
      <c r="CW246" s="55"/>
      <c r="CX246" s="55"/>
      <c r="CY246" s="55"/>
      <c r="CZ246" s="55"/>
      <c r="DA246" s="55"/>
      <c r="DB246" s="55"/>
      <c r="DC246" s="55"/>
      <c r="DD246" s="55"/>
      <c r="DE246" s="55"/>
      <c r="DF246" s="55"/>
      <c r="DG246" s="55"/>
      <c r="DH246" s="55"/>
      <c r="DI246" s="55"/>
      <c r="DJ246" s="55"/>
    </row>
    <row r="247" spans="1:114" x14ac:dyDescent="0.25">
      <c r="A247" s="339"/>
      <c r="B247" s="340"/>
      <c r="C247" s="341"/>
      <c r="D247" s="342"/>
      <c r="E247" s="344"/>
      <c r="F247" s="350"/>
      <c r="G247" s="345"/>
      <c r="H247" s="346"/>
      <c r="I247" s="345"/>
      <c r="J247" s="345"/>
      <c r="K247" s="347"/>
      <c r="L247" s="297"/>
      <c r="M247" s="297"/>
      <c r="N247" s="348"/>
      <c r="O247" s="310" t="s">
        <v>945</v>
      </c>
      <c r="P247" s="349" t="s">
        <v>1011</v>
      </c>
      <c r="Q247" s="349" t="s">
        <v>967</v>
      </c>
      <c r="R247" s="349" t="s">
        <v>931</v>
      </c>
      <c r="S247" s="349" t="s">
        <v>1009</v>
      </c>
      <c r="T247" s="346" t="s">
        <v>1018</v>
      </c>
      <c r="U247" s="346" t="s">
        <v>1010</v>
      </c>
      <c r="V247" s="346"/>
      <c r="W247" s="346"/>
      <c r="X247" s="346"/>
      <c r="Y247" s="346"/>
      <c r="Z247" s="346"/>
      <c r="AA247" s="346"/>
      <c r="AB247" s="346"/>
      <c r="AC247" s="346"/>
      <c r="AD247" s="346"/>
      <c r="AE247" s="346"/>
      <c r="AF247" s="346"/>
      <c r="AG247" s="346"/>
      <c r="AH247" s="346"/>
      <c r="AI247" s="346"/>
      <c r="AJ247" s="346"/>
      <c r="AK247" s="346"/>
      <c r="AL247" s="346"/>
      <c r="AM247" s="346"/>
      <c r="AN247" s="346"/>
      <c r="AO247" s="346"/>
      <c r="AP247" s="346"/>
      <c r="AQ247" s="346"/>
      <c r="AR247" s="346"/>
      <c r="AS247" s="346"/>
      <c r="AT247" s="346"/>
      <c r="AU247" s="346"/>
      <c r="AV247" s="346"/>
      <c r="AW247" s="346"/>
      <c r="AX247" s="346"/>
      <c r="AY247" s="346"/>
      <c r="AZ247" s="346"/>
      <c r="BA247" s="346"/>
      <c r="BB247" s="346"/>
      <c r="BC247" s="346"/>
      <c r="BD247" s="346"/>
      <c r="BE247" s="346"/>
      <c r="BF247" s="346"/>
      <c r="BG247" s="346"/>
      <c r="BH247" s="346"/>
      <c r="BI247" s="346"/>
      <c r="BJ247" s="346"/>
      <c r="BK247" s="346"/>
      <c r="BL247" s="346"/>
      <c r="BM247" s="346"/>
      <c r="BN247" s="346"/>
      <c r="BO247" s="346"/>
      <c r="BP247" s="346"/>
      <c r="BQ247" s="346"/>
      <c r="BR247" s="346"/>
      <c r="BS247" s="346"/>
      <c r="BT247" s="346"/>
      <c r="BU247" s="346"/>
      <c r="BV247" s="346"/>
      <c r="BW247" s="346"/>
      <c r="BX247" s="346"/>
      <c r="BY247" s="346"/>
      <c r="BZ247" s="346"/>
      <c r="CA247" s="346"/>
      <c r="CB247" s="346"/>
      <c r="CC247" s="346"/>
      <c r="CD247" s="346"/>
      <c r="CE247" s="346"/>
      <c r="CF247" s="346"/>
      <c r="CG247" s="346"/>
      <c r="CH247" s="346"/>
      <c r="CI247" s="346"/>
      <c r="CJ247" s="346"/>
      <c r="CK247" s="346"/>
      <c r="CL247" s="346"/>
      <c r="CM247" s="346"/>
      <c r="CN247" s="346"/>
      <c r="CO247" s="346"/>
      <c r="CP247" s="346"/>
      <c r="CQ247" s="346"/>
      <c r="CR247" s="346"/>
      <c r="CS247" s="346"/>
      <c r="CT247" s="346"/>
      <c r="CU247" s="346"/>
      <c r="CV247" s="346"/>
      <c r="CW247" s="346"/>
      <c r="CX247" s="346"/>
      <c r="CY247" s="346"/>
      <c r="CZ247" s="346"/>
      <c r="DA247" s="346"/>
      <c r="DB247" s="346"/>
      <c r="DC247" s="346"/>
      <c r="DD247" s="346"/>
      <c r="DE247" s="346"/>
      <c r="DF247" s="346"/>
      <c r="DG247" s="346"/>
      <c r="DH247" s="346"/>
      <c r="DI247" s="346"/>
      <c r="DJ247" s="346"/>
    </row>
    <row r="248" spans="1:114" x14ac:dyDescent="0.25">
      <c r="A248" s="120">
        <v>6</v>
      </c>
      <c r="B248" s="79" t="s">
        <v>109</v>
      </c>
      <c r="C248" s="80">
        <v>2500</v>
      </c>
      <c r="D248" s="81">
        <v>164.08</v>
      </c>
      <c r="E248" s="43">
        <v>0</v>
      </c>
      <c r="F248" s="60"/>
      <c r="G248" s="56">
        <f t="shared" si="47"/>
        <v>0</v>
      </c>
      <c r="H248" s="55">
        <f>1200-1200</f>
        <v>0</v>
      </c>
      <c r="I248" s="56">
        <f t="shared" si="48"/>
        <v>0</v>
      </c>
      <c r="J248" s="56">
        <f t="shared" si="49"/>
        <v>0</v>
      </c>
      <c r="K248" s="57">
        <f t="shared" si="50"/>
        <v>0</v>
      </c>
      <c r="L248" s="297"/>
      <c r="M248" s="297"/>
      <c r="N248" s="314">
        <f t="shared" si="46"/>
        <v>21380</v>
      </c>
      <c r="O248" s="310">
        <v>4680</v>
      </c>
      <c r="P248" s="315">
        <v>2388</v>
      </c>
      <c r="Q248" s="315">
        <v>2326</v>
      </c>
      <c r="R248" s="315">
        <v>2400</v>
      </c>
      <c r="S248" s="315">
        <v>2398</v>
      </c>
      <c r="T248" s="55">
        <v>2400</v>
      </c>
      <c r="U248" s="55">
        <v>4788</v>
      </c>
      <c r="V248" s="55"/>
      <c r="W248" s="55"/>
      <c r="X248" s="55"/>
      <c r="Y248" s="55"/>
      <c r="Z248" s="55"/>
      <c r="AA248" s="55"/>
      <c r="AB248" s="55"/>
      <c r="AC248" s="55"/>
      <c r="AD248" s="55"/>
      <c r="AE248" s="55"/>
      <c r="AF248" s="55"/>
      <c r="AG248" s="55"/>
      <c r="AH248" s="55"/>
      <c r="AI248" s="55"/>
      <c r="AJ248" s="55"/>
      <c r="AK248" s="55"/>
      <c r="AL248" s="55"/>
      <c r="AM248" s="55"/>
      <c r="AN248" s="55"/>
      <c r="AO248" s="55"/>
      <c r="AP248" s="55"/>
      <c r="AQ248" s="55"/>
      <c r="AR248" s="55"/>
      <c r="AS248" s="55"/>
      <c r="AT248" s="55"/>
      <c r="AU248" s="55"/>
      <c r="AV248" s="55"/>
      <c r="AW248" s="55"/>
      <c r="AX248" s="55"/>
      <c r="AY248" s="55"/>
      <c r="AZ248" s="55"/>
      <c r="BA248" s="55"/>
      <c r="BB248" s="55"/>
      <c r="BC248" s="55"/>
      <c r="BD248" s="55"/>
      <c r="BE248" s="55"/>
      <c r="BF248" s="55"/>
      <c r="BG248" s="55"/>
      <c r="BH248" s="55"/>
      <c r="BI248" s="55"/>
      <c r="BJ248" s="55"/>
      <c r="BK248" s="55"/>
      <c r="BL248" s="55"/>
      <c r="BM248" s="55"/>
      <c r="BN248" s="55"/>
      <c r="BO248" s="55"/>
      <c r="BP248" s="55"/>
      <c r="BQ248" s="55"/>
      <c r="BR248" s="55"/>
      <c r="BS248" s="55"/>
      <c r="BT248" s="55"/>
      <c r="BU248" s="55"/>
      <c r="BV248" s="55"/>
      <c r="BW248" s="55"/>
      <c r="BX248" s="55"/>
      <c r="BY248" s="55"/>
      <c r="BZ248" s="55"/>
      <c r="CA248" s="55"/>
      <c r="CB248" s="55"/>
      <c r="CC248" s="55"/>
      <c r="CD248" s="55"/>
      <c r="CE248" s="55"/>
      <c r="CF248" s="55"/>
      <c r="CG248" s="55"/>
      <c r="CH248" s="55"/>
      <c r="CI248" s="55"/>
      <c r="CJ248" s="55"/>
      <c r="CK248" s="55"/>
      <c r="CL248" s="55"/>
      <c r="CM248" s="55"/>
      <c r="CN248" s="55"/>
      <c r="CO248" s="55"/>
      <c r="CP248" s="55"/>
      <c r="CQ248" s="55"/>
      <c r="CR248" s="55"/>
      <c r="CS248" s="55"/>
      <c r="CT248" s="55"/>
      <c r="CU248" s="55"/>
      <c r="CV248" s="55"/>
      <c r="CW248" s="55"/>
      <c r="CX248" s="55"/>
      <c r="CY248" s="55"/>
      <c r="CZ248" s="55"/>
      <c r="DA248" s="55"/>
      <c r="DB248" s="55"/>
      <c r="DC248" s="55"/>
      <c r="DD248" s="55"/>
      <c r="DE248" s="55"/>
      <c r="DF248" s="55"/>
      <c r="DG248" s="55"/>
      <c r="DH248" s="55"/>
      <c r="DI248" s="55"/>
      <c r="DJ248" s="55"/>
    </row>
    <row r="249" spans="1:114" x14ac:dyDescent="0.25">
      <c r="A249" s="339"/>
      <c r="B249" s="340"/>
      <c r="C249" s="341"/>
      <c r="D249" s="342"/>
      <c r="E249" s="344"/>
      <c r="F249" s="350"/>
      <c r="G249" s="345"/>
      <c r="H249" s="346"/>
      <c r="I249" s="345"/>
      <c r="J249" s="345"/>
      <c r="K249" s="347"/>
      <c r="L249" s="297"/>
      <c r="M249" s="297"/>
      <c r="N249" s="348"/>
      <c r="O249" s="310" t="s">
        <v>932</v>
      </c>
      <c r="P249" s="349" t="s">
        <v>1008</v>
      </c>
      <c r="Q249" s="349" t="s">
        <v>967</v>
      </c>
      <c r="R249" s="349" t="s">
        <v>1009</v>
      </c>
      <c r="S249" s="349" t="s">
        <v>931</v>
      </c>
      <c r="T249" s="346" t="s">
        <v>1010</v>
      </c>
      <c r="U249" s="346" t="s">
        <v>1011</v>
      </c>
      <c r="V249" s="346" t="s">
        <v>1012</v>
      </c>
      <c r="W249" s="346" t="s">
        <v>1013</v>
      </c>
      <c r="X249" s="346"/>
      <c r="Y249" s="346"/>
      <c r="Z249" s="346"/>
      <c r="AA249" s="346"/>
      <c r="AB249" s="346"/>
      <c r="AC249" s="346"/>
      <c r="AD249" s="346"/>
      <c r="AE249" s="346"/>
      <c r="AF249" s="346"/>
      <c r="AG249" s="346"/>
      <c r="AH249" s="346"/>
      <c r="AI249" s="346"/>
      <c r="AJ249" s="346"/>
      <c r="AK249" s="346"/>
      <c r="AL249" s="346"/>
      <c r="AM249" s="346"/>
      <c r="AN249" s="346"/>
      <c r="AO249" s="346"/>
      <c r="AP249" s="346"/>
      <c r="AQ249" s="346"/>
      <c r="AR249" s="346"/>
      <c r="AS249" s="346"/>
      <c r="AT249" s="346"/>
      <c r="AU249" s="346"/>
      <c r="AV249" s="346"/>
      <c r="AW249" s="346"/>
      <c r="AX249" s="346"/>
      <c r="AY249" s="346"/>
      <c r="AZ249" s="346"/>
      <c r="BA249" s="346"/>
      <c r="BB249" s="346"/>
      <c r="BC249" s="346"/>
      <c r="BD249" s="346"/>
      <c r="BE249" s="346"/>
      <c r="BF249" s="346"/>
      <c r="BG249" s="346"/>
      <c r="BH249" s="346"/>
      <c r="BI249" s="346"/>
      <c r="BJ249" s="346"/>
      <c r="BK249" s="346"/>
      <c r="BL249" s="346"/>
      <c r="BM249" s="346"/>
      <c r="BN249" s="346"/>
      <c r="BO249" s="346"/>
      <c r="BP249" s="346"/>
      <c r="BQ249" s="346"/>
      <c r="BR249" s="346"/>
      <c r="BS249" s="346"/>
      <c r="BT249" s="346"/>
      <c r="BU249" s="346"/>
      <c r="BV249" s="346"/>
      <c r="BW249" s="346"/>
      <c r="BX249" s="346"/>
      <c r="BY249" s="346"/>
      <c r="BZ249" s="346"/>
      <c r="CA249" s="346"/>
      <c r="CB249" s="346"/>
      <c r="CC249" s="346"/>
      <c r="CD249" s="346"/>
      <c r="CE249" s="346"/>
      <c r="CF249" s="346"/>
      <c r="CG249" s="346"/>
      <c r="CH249" s="346"/>
      <c r="CI249" s="346"/>
      <c r="CJ249" s="346"/>
      <c r="CK249" s="346"/>
      <c r="CL249" s="346"/>
      <c r="CM249" s="346"/>
      <c r="CN249" s="346"/>
      <c r="CO249" s="346"/>
      <c r="CP249" s="346"/>
      <c r="CQ249" s="346"/>
      <c r="CR249" s="346"/>
      <c r="CS249" s="346"/>
      <c r="CT249" s="346"/>
      <c r="CU249" s="346"/>
      <c r="CV249" s="346"/>
      <c r="CW249" s="346"/>
      <c r="CX249" s="346"/>
      <c r="CY249" s="346"/>
      <c r="CZ249" s="346"/>
      <c r="DA249" s="346"/>
      <c r="DB249" s="346"/>
      <c r="DC249" s="346"/>
      <c r="DD249" s="346"/>
      <c r="DE249" s="346"/>
      <c r="DF249" s="346"/>
      <c r="DG249" s="346"/>
      <c r="DH249" s="346"/>
      <c r="DI249" s="346"/>
      <c r="DJ249" s="346"/>
    </row>
    <row r="250" spans="1:114" x14ac:dyDescent="0.25">
      <c r="A250" s="120">
        <v>7</v>
      </c>
      <c r="B250" s="79" t="s">
        <v>110</v>
      </c>
      <c r="C250" s="80">
        <v>1000</v>
      </c>
      <c r="D250" s="81">
        <v>182.09</v>
      </c>
      <c r="E250" s="43">
        <v>0</v>
      </c>
      <c r="F250" s="60"/>
      <c r="G250" s="56">
        <f t="shared" si="47"/>
        <v>0</v>
      </c>
      <c r="H250" s="55">
        <f>3200-3200</f>
        <v>0</v>
      </c>
      <c r="I250" s="56">
        <f t="shared" si="48"/>
        <v>0</v>
      </c>
      <c r="J250" s="56">
        <f t="shared" si="49"/>
        <v>0</v>
      </c>
      <c r="K250" s="57">
        <f t="shared" si="50"/>
        <v>0</v>
      </c>
      <c r="L250" s="297"/>
      <c r="M250" s="297"/>
      <c r="N250" s="314">
        <f t="shared" si="46"/>
        <v>17785</v>
      </c>
      <c r="O250" s="310">
        <v>3200</v>
      </c>
      <c r="P250" s="315">
        <v>1600</v>
      </c>
      <c r="Q250" s="315">
        <v>1516</v>
      </c>
      <c r="R250" s="315">
        <v>321</v>
      </c>
      <c r="S250" s="315">
        <v>400</v>
      </c>
      <c r="T250" s="55">
        <v>4784</v>
      </c>
      <c r="U250" s="55">
        <v>1196</v>
      </c>
      <c r="V250" s="55">
        <v>1600</v>
      </c>
      <c r="W250" s="55">
        <v>3168</v>
      </c>
      <c r="X250" s="55"/>
      <c r="Y250" s="55"/>
      <c r="Z250" s="55"/>
      <c r="AA250" s="55"/>
      <c r="AB250" s="55"/>
      <c r="AC250" s="55"/>
      <c r="AD250" s="55"/>
      <c r="AE250" s="55"/>
      <c r="AF250" s="55"/>
      <c r="AG250" s="55"/>
      <c r="AH250" s="55"/>
      <c r="AI250" s="55"/>
      <c r="AJ250" s="55"/>
      <c r="AK250" s="55"/>
      <c r="AL250" s="55"/>
      <c r="AM250" s="55"/>
      <c r="AN250" s="55"/>
      <c r="AO250" s="55"/>
      <c r="AP250" s="55"/>
      <c r="AQ250" s="55"/>
      <c r="AR250" s="55"/>
      <c r="AS250" s="55"/>
      <c r="AT250" s="55"/>
      <c r="AU250" s="55"/>
      <c r="AV250" s="55"/>
      <c r="AW250" s="55"/>
      <c r="AX250" s="55"/>
      <c r="AY250" s="55"/>
      <c r="AZ250" s="55"/>
      <c r="BA250" s="55"/>
      <c r="BB250" s="55"/>
      <c r="BC250" s="55"/>
      <c r="BD250" s="55"/>
      <c r="BE250" s="55"/>
      <c r="BF250" s="55"/>
      <c r="BG250" s="55"/>
      <c r="BH250" s="55"/>
      <c r="BI250" s="55"/>
      <c r="BJ250" s="55"/>
      <c r="BK250" s="55"/>
      <c r="BL250" s="55"/>
      <c r="BM250" s="55"/>
      <c r="BN250" s="55"/>
      <c r="BO250" s="55"/>
      <c r="BP250" s="55"/>
      <c r="BQ250" s="55"/>
      <c r="BR250" s="55"/>
      <c r="BS250" s="55"/>
      <c r="BT250" s="55"/>
      <c r="BU250" s="55"/>
      <c r="BV250" s="55"/>
      <c r="BW250" s="55"/>
      <c r="BX250" s="55"/>
      <c r="BY250" s="55"/>
      <c r="BZ250" s="55"/>
      <c r="CA250" s="55"/>
      <c r="CB250" s="55"/>
      <c r="CC250" s="55"/>
      <c r="CD250" s="55"/>
      <c r="CE250" s="55"/>
      <c r="CF250" s="55"/>
      <c r="CG250" s="55"/>
      <c r="CH250" s="55"/>
      <c r="CI250" s="55"/>
      <c r="CJ250" s="55"/>
      <c r="CK250" s="55"/>
      <c r="CL250" s="55"/>
      <c r="CM250" s="55"/>
      <c r="CN250" s="55"/>
      <c r="CO250" s="55"/>
      <c r="CP250" s="55"/>
      <c r="CQ250" s="55"/>
      <c r="CR250" s="55"/>
      <c r="CS250" s="55"/>
      <c r="CT250" s="55"/>
      <c r="CU250" s="55"/>
      <c r="CV250" s="55"/>
      <c r="CW250" s="55"/>
      <c r="CX250" s="55"/>
      <c r="CY250" s="55"/>
      <c r="CZ250" s="55"/>
      <c r="DA250" s="55"/>
      <c r="DB250" s="55"/>
      <c r="DC250" s="55"/>
      <c r="DD250" s="55"/>
      <c r="DE250" s="55"/>
      <c r="DF250" s="55"/>
      <c r="DG250" s="55"/>
      <c r="DH250" s="55"/>
      <c r="DI250" s="55"/>
      <c r="DJ250" s="55"/>
    </row>
    <row r="251" spans="1:114" x14ac:dyDescent="0.25">
      <c r="A251" s="339"/>
      <c r="B251" s="340"/>
      <c r="C251" s="341"/>
      <c r="D251" s="342"/>
      <c r="E251" s="344"/>
      <c r="F251" s="350"/>
      <c r="G251" s="345"/>
      <c r="H251" s="346"/>
      <c r="I251" s="345"/>
      <c r="J251" s="345"/>
      <c r="K251" s="347"/>
      <c r="L251" s="297"/>
      <c r="M251" s="297"/>
      <c r="N251" s="348"/>
      <c r="O251" s="310" t="s">
        <v>1008</v>
      </c>
      <c r="P251" s="349" t="s">
        <v>967</v>
      </c>
      <c r="Q251" s="349" t="s">
        <v>1010</v>
      </c>
      <c r="R251" s="349" t="s">
        <v>1012</v>
      </c>
      <c r="S251" s="349" t="s">
        <v>1009</v>
      </c>
      <c r="T251" s="346" t="s">
        <v>1011</v>
      </c>
      <c r="U251" s="346"/>
      <c r="V251" s="346"/>
      <c r="W251" s="346"/>
      <c r="X251" s="346"/>
      <c r="Y251" s="346"/>
      <c r="Z251" s="346"/>
      <c r="AA251" s="346"/>
      <c r="AB251" s="346"/>
      <c r="AC251" s="346"/>
      <c r="AD251" s="346"/>
      <c r="AE251" s="346"/>
      <c r="AF251" s="346"/>
      <c r="AG251" s="346"/>
      <c r="AH251" s="346"/>
      <c r="AI251" s="346"/>
      <c r="AJ251" s="346"/>
      <c r="AK251" s="346"/>
      <c r="AL251" s="346"/>
      <c r="AM251" s="346"/>
      <c r="AN251" s="346"/>
      <c r="AO251" s="346"/>
      <c r="AP251" s="346"/>
      <c r="AQ251" s="346"/>
      <c r="AR251" s="346"/>
      <c r="AS251" s="346"/>
      <c r="AT251" s="346"/>
      <c r="AU251" s="346"/>
      <c r="AV251" s="346"/>
      <c r="AW251" s="346"/>
      <c r="AX251" s="346"/>
      <c r="AY251" s="346"/>
      <c r="AZ251" s="346"/>
      <c r="BA251" s="346"/>
      <c r="BB251" s="346"/>
      <c r="BC251" s="346"/>
      <c r="BD251" s="346"/>
      <c r="BE251" s="346"/>
      <c r="BF251" s="346"/>
      <c r="BG251" s="346"/>
      <c r="BH251" s="346"/>
      <c r="BI251" s="346"/>
      <c r="BJ251" s="346"/>
      <c r="BK251" s="346"/>
      <c r="BL251" s="346"/>
      <c r="BM251" s="346"/>
      <c r="BN251" s="346"/>
      <c r="BO251" s="346"/>
      <c r="BP251" s="346"/>
      <c r="BQ251" s="346"/>
      <c r="BR251" s="346"/>
      <c r="BS251" s="346"/>
      <c r="BT251" s="346"/>
      <c r="BU251" s="346"/>
      <c r="BV251" s="346"/>
      <c r="BW251" s="346"/>
      <c r="BX251" s="346"/>
      <c r="BY251" s="346"/>
      <c r="BZ251" s="346"/>
      <c r="CA251" s="346"/>
      <c r="CB251" s="346"/>
      <c r="CC251" s="346"/>
      <c r="CD251" s="346"/>
      <c r="CE251" s="346"/>
      <c r="CF251" s="346"/>
      <c r="CG251" s="346"/>
      <c r="CH251" s="346"/>
      <c r="CI251" s="346"/>
      <c r="CJ251" s="346"/>
      <c r="CK251" s="346"/>
      <c r="CL251" s="346"/>
      <c r="CM251" s="346"/>
      <c r="CN251" s="346"/>
      <c r="CO251" s="346"/>
      <c r="CP251" s="346"/>
      <c r="CQ251" s="346"/>
      <c r="CR251" s="346"/>
      <c r="CS251" s="346"/>
      <c r="CT251" s="346"/>
      <c r="CU251" s="346"/>
      <c r="CV251" s="346"/>
      <c r="CW251" s="346"/>
      <c r="CX251" s="346"/>
      <c r="CY251" s="346"/>
      <c r="CZ251" s="346"/>
      <c r="DA251" s="346"/>
      <c r="DB251" s="346"/>
      <c r="DC251" s="346"/>
      <c r="DD251" s="346"/>
      <c r="DE251" s="346"/>
      <c r="DF251" s="346"/>
      <c r="DG251" s="346"/>
      <c r="DH251" s="346"/>
      <c r="DI251" s="346"/>
      <c r="DJ251" s="346"/>
    </row>
    <row r="252" spans="1:114" x14ac:dyDescent="0.25">
      <c r="A252" s="120">
        <v>8</v>
      </c>
      <c r="B252" s="79" t="s">
        <v>111</v>
      </c>
      <c r="C252" s="80">
        <v>1500</v>
      </c>
      <c r="D252" s="81">
        <v>182.09</v>
      </c>
      <c r="E252" s="43">
        <v>0</v>
      </c>
      <c r="F252" s="60"/>
      <c r="G252" s="56">
        <f t="shared" si="47"/>
        <v>0</v>
      </c>
      <c r="H252" s="55">
        <f>3200-3200</f>
        <v>0</v>
      </c>
      <c r="I252" s="56">
        <f t="shared" si="48"/>
        <v>0</v>
      </c>
      <c r="J252" s="56">
        <f t="shared" si="49"/>
        <v>0</v>
      </c>
      <c r="K252" s="57">
        <f t="shared" si="50"/>
        <v>0</v>
      </c>
      <c r="L252" s="297"/>
      <c r="M252" s="297"/>
      <c r="N252" s="314">
        <f t="shared" ref="N252:N303" si="51">SUM(O252:DK252)</f>
        <v>12348</v>
      </c>
      <c r="O252" s="310">
        <v>1600</v>
      </c>
      <c r="P252" s="315">
        <v>1568</v>
      </c>
      <c r="Q252" s="315">
        <v>4784</v>
      </c>
      <c r="R252" s="315">
        <v>1600</v>
      </c>
      <c r="S252" s="315">
        <v>1600</v>
      </c>
      <c r="T252" s="55">
        <v>1196</v>
      </c>
      <c r="U252" s="55"/>
      <c r="V252" s="55"/>
      <c r="W252" s="55"/>
      <c r="X252" s="55"/>
      <c r="Y252" s="55"/>
      <c r="Z252" s="55"/>
      <c r="AA252" s="55"/>
      <c r="AB252" s="55"/>
      <c r="AC252" s="55"/>
      <c r="AD252" s="55"/>
      <c r="AE252" s="55"/>
      <c r="AF252" s="55"/>
      <c r="AG252" s="55"/>
      <c r="AH252" s="55"/>
      <c r="AI252" s="55"/>
      <c r="AJ252" s="55"/>
      <c r="AK252" s="55"/>
      <c r="AL252" s="55"/>
      <c r="AM252" s="55"/>
      <c r="AN252" s="55"/>
      <c r="AO252" s="55"/>
      <c r="AP252" s="55"/>
      <c r="AQ252" s="55"/>
      <c r="AR252" s="55"/>
      <c r="AS252" s="55"/>
      <c r="AT252" s="55"/>
      <c r="AU252" s="55"/>
      <c r="AV252" s="55"/>
      <c r="AW252" s="55"/>
      <c r="AX252" s="55"/>
      <c r="AY252" s="55"/>
      <c r="AZ252" s="55"/>
      <c r="BA252" s="55"/>
      <c r="BB252" s="55"/>
      <c r="BC252" s="55"/>
      <c r="BD252" s="55"/>
      <c r="BE252" s="55"/>
      <c r="BF252" s="55"/>
      <c r="BG252" s="55"/>
      <c r="BH252" s="55"/>
      <c r="BI252" s="55"/>
      <c r="BJ252" s="55"/>
      <c r="BK252" s="55"/>
      <c r="BL252" s="55"/>
      <c r="BM252" s="55"/>
      <c r="BN252" s="55"/>
      <c r="BO252" s="55"/>
      <c r="BP252" s="55"/>
      <c r="BQ252" s="55"/>
      <c r="BR252" s="55"/>
      <c r="BS252" s="55"/>
      <c r="BT252" s="55"/>
      <c r="BU252" s="55"/>
      <c r="BV252" s="55"/>
      <c r="BW252" s="55"/>
      <c r="BX252" s="55"/>
      <c r="BY252" s="55"/>
      <c r="BZ252" s="55"/>
      <c r="CA252" s="55"/>
      <c r="CB252" s="55"/>
      <c r="CC252" s="55"/>
      <c r="CD252" s="55"/>
      <c r="CE252" s="55"/>
      <c r="CF252" s="55"/>
      <c r="CG252" s="55"/>
      <c r="CH252" s="55"/>
      <c r="CI252" s="55"/>
      <c r="CJ252" s="55"/>
      <c r="CK252" s="55"/>
      <c r="CL252" s="55"/>
      <c r="CM252" s="55"/>
      <c r="CN252" s="55"/>
      <c r="CO252" s="55"/>
      <c r="CP252" s="55"/>
      <c r="CQ252" s="55"/>
      <c r="CR252" s="55"/>
      <c r="CS252" s="55"/>
      <c r="CT252" s="55"/>
      <c r="CU252" s="55"/>
      <c r="CV252" s="55"/>
      <c r="CW252" s="55"/>
      <c r="CX252" s="55"/>
      <c r="CY252" s="55"/>
      <c r="CZ252" s="55"/>
      <c r="DA252" s="55"/>
      <c r="DB252" s="55"/>
      <c r="DC252" s="55"/>
      <c r="DD252" s="55"/>
      <c r="DE252" s="55"/>
      <c r="DF252" s="55"/>
      <c r="DG252" s="55"/>
      <c r="DH252" s="55"/>
      <c r="DI252" s="55"/>
      <c r="DJ252" s="55"/>
    </row>
    <row r="253" spans="1:114" x14ac:dyDescent="0.25">
      <c r="A253" s="339"/>
      <c r="B253" s="115"/>
      <c r="C253" s="116"/>
      <c r="D253" s="117"/>
      <c r="E253" s="122"/>
      <c r="F253" s="121"/>
      <c r="G253" s="109"/>
      <c r="H253" s="346"/>
      <c r="I253" s="109"/>
      <c r="J253" s="109"/>
      <c r="K253" s="110"/>
      <c r="L253" s="297"/>
      <c r="M253" s="297"/>
      <c r="N253" s="348"/>
      <c r="O253" s="310" t="s">
        <v>932</v>
      </c>
      <c r="P253" s="349" t="s">
        <v>1008</v>
      </c>
      <c r="Q253" s="349" t="s">
        <v>967</v>
      </c>
      <c r="R253" s="349" t="s">
        <v>1016</v>
      </c>
      <c r="S253" s="349" t="s">
        <v>1009</v>
      </c>
      <c r="T253" s="346" t="s">
        <v>1010</v>
      </c>
      <c r="U253" s="346"/>
      <c r="V253" s="346"/>
      <c r="W253" s="346"/>
      <c r="X253" s="346"/>
      <c r="Y253" s="346"/>
      <c r="Z253" s="346"/>
      <c r="AA253" s="346"/>
      <c r="AB253" s="346"/>
      <c r="AC253" s="346"/>
      <c r="AD253" s="346"/>
      <c r="AE253" s="346"/>
      <c r="AF253" s="346"/>
      <c r="AG253" s="346"/>
      <c r="AH253" s="346"/>
      <c r="AI253" s="346"/>
      <c r="AJ253" s="346"/>
      <c r="AK253" s="346"/>
      <c r="AL253" s="346"/>
      <c r="AM253" s="346"/>
      <c r="AN253" s="346"/>
      <c r="AO253" s="346"/>
      <c r="AP253" s="346"/>
      <c r="AQ253" s="346"/>
      <c r="AR253" s="346"/>
      <c r="AS253" s="346"/>
      <c r="AT253" s="346"/>
      <c r="AU253" s="346"/>
      <c r="AV253" s="346"/>
      <c r="AW253" s="346"/>
      <c r="AX253" s="346"/>
      <c r="AY253" s="346"/>
      <c r="AZ253" s="346"/>
      <c r="BA253" s="346"/>
      <c r="BB253" s="346"/>
      <c r="BC253" s="346"/>
      <c r="BD253" s="346"/>
      <c r="BE253" s="346"/>
      <c r="BF253" s="346"/>
      <c r="BG253" s="346"/>
      <c r="BH253" s="346"/>
      <c r="BI253" s="346"/>
      <c r="BJ253" s="346"/>
      <c r="BK253" s="346"/>
      <c r="BL253" s="346"/>
      <c r="BM253" s="346"/>
      <c r="BN253" s="346"/>
      <c r="BO253" s="346"/>
      <c r="BP253" s="346"/>
      <c r="BQ253" s="346"/>
      <c r="BR253" s="346"/>
      <c r="BS253" s="346"/>
      <c r="BT253" s="346"/>
      <c r="BU253" s="346"/>
      <c r="BV253" s="346"/>
      <c r="BW253" s="346"/>
      <c r="BX253" s="346"/>
      <c r="BY253" s="346"/>
      <c r="BZ253" s="346"/>
      <c r="CA253" s="346"/>
      <c r="CB253" s="346"/>
      <c r="CC253" s="346"/>
      <c r="CD253" s="346"/>
      <c r="CE253" s="346"/>
      <c r="CF253" s="346"/>
      <c r="CG253" s="346"/>
      <c r="CH253" s="346"/>
      <c r="CI253" s="346"/>
      <c r="CJ253" s="346"/>
      <c r="CK253" s="346"/>
      <c r="CL253" s="346"/>
      <c r="CM253" s="346"/>
      <c r="CN253" s="346"/>
      <c r="CO253" s="346"/>
      <c r="CP253" s="346"/>
      <c r="CQ253" s="346"/>
      <c r="CR253" s="346"/>
      <c r="CS253" s="346"/>
      <c r="CT253" s="346"/>
      <c r="CU253" s="346"/>
      <c r="CV253" s="346"/>
      <c r="CW253" s="346"/>
      <c r="CX253" s="346"/>
      <c r="CY253" s="346"/>
      <c r="CZ253" s="346"/>
      <c r="DA253" s="346"/>
      <c r="DB253" s="346"/>
      <c r="DC253" s="346"/>
      <c r="DD253" s="346"/>
      <c r="DE253" s="346"/>
      <c r="DF253" s="346"/>
      <c r="DG253" s="346"/>
      <c r="DH253" s="346"/>
      <c r="DI253" s="346"/>
      <c r="DJ253" s="346"/>
    </row>
    <row r="254" spans="1:114" x14ac:dyDescent="0.25">
      <c r="A254" s="120">
        <v>9</v>
      </c>
      <c r="B254" s="115" t="s">
        <v>112</v>
      </c>
      <c r="C254" s="116">
        <v>1500</v>
      </c>
      <c r="D254" s="117">
        <v>136.57</v>
      </c>
      <c r="E254" s="122">
        <v>0</v>
      </c>
      <c r="F254" s="121"/>
      <c r="G254" s="109">
        <f t="shared" si="47"/>
        <v>0</v>
      </c>
      <c r="H254" s="55">
        <f>1600-1600</f>
        <v>0</v>
      </c>
      <c r="I254" s="109">
        <f t="shared" si="48"/>
        <v>0</v>
      </c>
      <c r="J254" s="109">
        <f t="shared" si="49"/>
        <v>0</v>
      </c>
      <c r="K254" s="110">
        <f t="shared" si="50"/>
        <v>0</v>
      </c>
      <c r="L254" s="297"/>
      <c r="M254" s="297"/>
      <c r="N254" s="314">
        <f t="shared" ref="N254:N256" si="52">SUM(O254:DK254)</f>
        <v>20008</v>
      </c>
      <c r="O254" s="310">
        <v>3200</v>
      </c>
      <c r="P254" s="315">
        <v>3200</v>
      </c>
      <c r="Q254" s="315">
        <v>3184</v>
      </c>
      <c r="R254" s="315">
        <v>2584</v>
      </c>
      <c r="S254" s="315">
        <v>3168</v>
      </c>
      <c r="T254" s="55">
        <v>4672</v>
      </c>
      <c r="U254" s="55"/>
      <c r="V254" s="55"/>
      <c r="W254" s="55"/>
      <c r="X254" s="55"/>
      <c r="Y254" s="55"/>
      <c r="Z254" s="55"/>
      <c r="AA254" s="55"/>
      <c r="AB254" s="55"/>
      <c r="AC254" s="55"/>
      <c r="AD254" s="55"/>
      <c r="AE254" s="55"/>
      <c r="AF254" s="55"/>
      <c r="AG254" s="55"/>
      <c r="AH254" s="55"/>
      <c r="AI254" s="55"/>
      <c r="AJ254" s="55"/>
      <c r="AK254" s="55"/>
      <c r="AL254" s="55"/>
      <c r="AM254" s="55"/>
      <c r="AN254" s="55"/>
      <c r="AO254" s="55"/>
      <c r="AP254" s="55"/>
      <c r="AQ254" s="55"/>
      <c r="AR254" s="55"/>
      <c r="AS254" s="55"/>
      <c r="AT254" s="55"/>
      <c r="AU254" s="55"/>
      <c r="AV254" s="55"/>
      <c r="AW254" s="55"/>
      <c r="AX254" s="55"/>
      <c r="AY254" s="55"/>
      <c r="AZ254" s="55"/>
      <c r="BA254" s="55"/>
      <c r="BB254" s="55"/>
      <c r="BC254" s="55"/>
      <c r="BD254" s="55"/>
      <c r="BE254" s="55"/>
      <c r="BF254" s="55"/>
      <c r="BG254" s="55"/>
      <c r="BH254" s="55"/>
      <c r="BI254" s="55"/>
      <c r="BJ254" s="55"/>
      <c r="BK254" s="55"/>
      <c r="BL254" s="55"/>
      <c r="BM254" s="55"/>
      <c r="BN254" s="55"/>
      <c r="BO254" s="55"/>
      <c r="BP254" s="55"/>
      <c r="BQ254" s="55"/>
      <c r="BR254" s="55"/>
      <c r="BS254" s="55"/>
      <c r="BT254" s="55"/>
      <c r="BU254" s="55"/>
      <c r="BV254" s="55"/>
      <c r="BW254" s="55"/>
      <c r="BX254" s="55"/>
      <c r="BY254" s="55"/>
      <c r="BZ254" s="55"/>
      <c r="CA254" s="55"/>
      <c r="CB254" s="55"/>
      <c r="CC254" s="55"/>
      <c r="CD254" s="55"/>
      <c r="CE254" s="55"/>
      <c r="CF254" s="55"/>
      <c r="CG254" s="55"/>
      <c r="CH254" s="55"/>
      <c r="CI254" s="55"/>
      <c r="CJ254" s="55"/>
      <c r="CK254" s="55"/>
      <c r="CL254" s="55"/>
      <c r="CM254" s="55"/>
      <c r="CN254" s="55"/>
      <c r="CO254" s="55"/>
      <c r="CP254" s="55"/>
      <c r="CQ254" s="55"/>
      <c r="CR254" s="55"/>
      <c r="CS254" s="55"/>
      <c r="CT254" s="55"/>
      <c r="CU254" s="55"/>
      <c r="CV254" s="55"/>
      <c r="CW254" s="55"/>
      <c r="CX254" s="55"/>
      <c r="CY254" s="55"/>
      <c r="CZ254" s="55"/>
      <c r="DA254" s="55"/>
      <c r="DB254" s="55"/>
      <c r="DC254" s="55"/>
      <c r="DD254" s="55"/>
      <c r="DE254" s="55"/>
      <c r="DF254" s="55"/>
      <c r="DG254" s="55"/>
      <c r="DH254" s="55"/>
      <c r="DI254" s="55"/>
      <c r="DJ254" s="55"/>
    </row>
    <row r="255" spans="1:114" x14ac:dyDescent="0.25">
      <c r="A255" s="328"/>
      <c r="B255" s="329"/>
      <c r="C255" s="330"/>
      <c r="D255" s="331"/>
      <c r="E255" s="376"/>
      <c r="F255" s="333"/>
      <c r="G255" s="334"/>
      <c r="H255" s="316"/>
      <c r="I255" s="334"/>
      <c r="J255" s="334"/>
      <c r="K255" s="335"/>
      <c r="L255" s="297"/>
      <c r="M255" s="297"/>
      <c r="N255" s="348"/>
      <c r="O255" s="310" t="s">
        <v>1004</v>
      </c>
      <c r="P255" s="349"/>
      <c r="Q255" s="349"/>
      <c r="R255" s="349"/>
      <c r="S255" s="349"/>
      <c r="T255" s="346"/>
      <c r="U255" s="346"/>
      <c r="V255" s="346"/>
      <c r="W255" s="346"/>
      <c r="X255" s="346"/>
      <c r="Y255" s="346"/>
      <c r="Z255" s="346"/>
      <c r="AA255" s="346"/>
      <c r="AB255" s="346"/>
      <c r="AC255" s="346"/>
      <c r="AD255" s="346"/>
      <c r="AE255" s="346"/>
      <c r="AF255" s="346"/>
      <c r="AG255" s="346"/>
      <c r="AH255" s="346"/>
      <c r="AI255" s="346"/>
      <c r="AJ255" s="346"/>
      <c r="AK255" s="346"/>
      <c r="AL255" s="346"/>
      <c r="AM255" s="346"/>
      <c r="AN255" s="346"/>
      <c r="AO255" s="346"/>
      <c r="AP255" s="346"/>
      <c r="AQ255" s="346"/>
      <c r="AR255" s="346"/>
      <c r="AS255" s="346"/>
      <c r="AT255" s="346"/>
      <c r="AU255" s="346"/>
      <c r="AV255" s="346"/>
      <c r="AW255" s="346"/>
      <c r="AX255" s="346"/>
      <c r="AY255" s="346"/>
      <c r="AZ255" s="346"/>
      <c r="BA255" s="346"/>
      <c r="BB255" s="346"/>
      <c r="BC255" s="346"/>
      <c r="BD255" s="346"/>
      <c r="BE255" s="346"/>
      <c r="BF255" s="346"/>
      <c r="BG255" s="346"/>
      <c r="BH255" s="346"/>
      <c r="BI255" s="346"/>
      <c r="BJ255" s="346"/>
      <c r="BK255" s="346"/>
      <c r="BL255" s="346"/>
      <c r="BM255" s="346"/>
      <c r="BN255" s="346"/>
      <c r="BO255" s="346"/>
      <c r="BP255" s="346"/>
      <c r="BQ255" s="346"/>
      <c r="BR255" s="346"/>
      <c r="BS255" s="346"/>
      <c r="BT255" s="346"/>
      <c r="BU255" s="346"/>
      <c r="BV255" s="346"/>
      <c r="BW255" s="346"/>
      <c r="BX255" s="346"/>
      <c r="BY255" s="346"/>
      <c r="BZ255" s="346"/>
      <c r="CA255" s="346"/>
      <c r="CB255" s="346"/>
      <c r="CC255" s="346"/>
      <c r="CD255" s="346"/>
      <c r="CE255" s="346"/>
      <c r="CF255" s="346"/>
      <c r="CG255" s="346"/>
      <c r="CH255" s="346"/>
      <c r="CI255" s="346"/>
      <c r="CJ255" s="346"/>
      <c r="CK255" s="346"/>
      <c r="CL255" s="346"/>
      <c r="CM255" s="346"/>
      <c r="CN255" s="346"/>
      <c r="CO255" s="346"/>
      <c r="CP255" s="346"/>
      <c r="CQ255" s="346"/>
      <c r="CR255" s="346"/>
      <c r="CS255" s="346"/>
      <c r="CT255" s="346"/>
      <c r="CU255" s="346"/>
      <c r="CV255" s="346"/>
      <c r="CW255" s="346"/>
      <c r="CX255" s="346"/>
      <c r="CY255" s="346"/>
      <c r="CZ255" s="346"/>
      <c r="DA255" s="346"/>
      <c r="DB255" s="346"/>
      <c r="DC255" s="346"/>
      <c r="DD255" s="346"/>
      <c r="DE255" s="346"/>
      <c r="DF255" s="346"/>
      <c r="DG255" s="346"/>
      <c r="DH255" s="346"/>
      <c r="DI255" s="346"/>
      <c r="DJ255" s="346"/>
    </row>
    <row r="256" spans="1:114" x14ac:dyDescent="0.25">
      <c r="A256" s="378">
        <v>10</v>
      </c>
      <c r="B256" s="329" t="s">
        <v>1003</v>
      </c>
      <c r="C256" s="330">
        <v>1500</v>
      </c>
      <c r="D256" s="331"/>
      <c r="E256" s="376"/>
      <c r="F256" s="333"/>
      <c r="G256" s="334"/>
      <c r="H256" s="316"/>
      <c r="I256" s="334"/>
      <c r="J256" s="334"/>
      <c r="K256" s="335"/>
      <c r="L256" s="297"/>
      <c r="M256" s="297"/>
      <c r="N256" s="314">
        <f t="shared" si="52"/>
        <v>0</v>
      </c>
      <c r="O256" s="310"/>
      <c r="P256" s="315"/>
      <c r="Q256" s="315"/>
      <c r="R256" s="315"/>
      <c r="S256" s="315"/>
      <c r="T256" s="55"/>
      <c r="U256" s="55"/>
      <c r="V256" s="55"/>
      <c r="W256" s="55"/>
      <c r="X256" s="55"/>
      <c r="Y256" s="55"/>
      <c r="Z256" s="55"/>
      <c r="AA256" s="55"/>
      <c r="AB256" s="55"/>
      <c r="AC256" s="55"/>
      <c r="AD256" s="55"/>
      <c r="AE256" s="55"/>
      <c r="AF256" s="55"/>
      <c r="AG256" s="55"/>
      <c r="AH256" s="55"/>
      <c r="AI256" s="55"/>
      <c r="AJ256" s="55"/>
      <c r="AK256" s="55"/>
      <c r="AL256" s="55"/>
      <c r="AM256" s="55"/>
      <c r="AN256" s="55"/>
      <c r="AO256" s="55"/>
      <c r="AP256" s="55"/>
      <c r="AQ256" s="55"/>
      <c r="AR256" s="55"/>
      <c r="AS256" s="55"/>
      <c r="AT256" s="55"/>
      <c r="AU256" s="55"/>
      <c r="AV256" s="55"/>
      <c r="AW256" s="55"/>
      <c r="AX256" s="55"/>
      <c r="AY256" s="55"/>
      <c r="AZ256" s="55"/>
      <c r="BA256" s="55"/>
      <c r="BB256" s="55"/>
      <c r="BC256" s="55"/>
      <c r="BD256" s="55"/>
      <c r="BE256" s="55"/>
      <c r="BF256" s="55"/>
      <c r="BG256" s="55"/>
      <c r="BH256" s="55"/>
      <c r="BI256" s="55"/>
      <c r="BJ256" s="55"/>
      <c r="BK256" s="55"/>
      <c r="BL256" s="55"/>
      <c r="BM256" s="55"/>
      <c r="BN256" s="55"/>
      <c r="BO256" s="55"/>
      <c r="BP256" s="55"/>
      <c r="BQ256" s="55"/>
      <c r="BR256" s="55"/>
      <c r="BS256" s="55"/>
      <c r="BT256" s="55"/>
      <c r="BU256" s="55"/>
      <c r="BV256" s="55"/>
      <c r="BW256" s="55"/>
      <c r="BX256" s="55"/>
      <c r="BY256" s="55"/>
      <c r="BZ256" s="55"/>
      <c r="CA256" s="55"/>
      <c r="CB256" s="55"/>
      <c r="CC256" s="55"/>
      <c r="CD256" s="55"/>
      <c r="CE256" s="55"/>
      <c r="CF256" s="55"/>
      <c r="CG256" s="55"/>
      <c r="CH256" s="55"/>
      <c r="CI256" s="55"/>
      <c r="CJ256" s="55"/>
      <c r="CK256" s="55"/>
      <c r="CL256" s="55"/>
      <c r="CM256" s="55"/>
      <c r="CN256" s="55"/>
      <c r="CO256" s="55"/>
      <c r="CP256" s="55"/>
      <c r="CQ256" s="55"/>
      <c r="CR256" s="55"/>
      <c r="CS256" s="55"/>
      <c r="CT256" s="55"/>
      <c r="CU256" s="55"/>
      <c r="CV256" s="55"/>
      <c r="CW256" s="55"/>
      <c r="CX256" s="55"/>
      <c r="CY256" s="55"/>
      <c r="CZ256" s="55"/>
      <c r="DA256" s="55"/>
      <c r="DB256" s="55"/>
      <c r="DC256" s="55"/>
      <c r="DD256" s="55"/>
      <c r="DE256" s="55"/>
      <c r="DF256" s="55"/>
      <c r="DG256" s="55"/>
      <c r="DH256" s="55"/>
      <c r="DI256" s="55"/>
      <c r="DJ256" s="55"/>
    </row>
    <row r="257" spans="1:114" x14ac:dyDescent="0.25">
      <c r="A257" s="328"/>
      <c r="B257" s="329"/>
      <c r="C257" s="330"/>
      <c r="D257" s="331"/>
      <c r="E257" s="376"/>
      <c r="F257" s="333"/>
      <c r="G257" s="334"/>
      <c r="H257" s="316"/>
      <c r="I257" s="334"/>
      <c r="J257" s="334"/>
      <c r="K257" s="335"/>
      <c r="L257" s="297"/>
      <c r="M257" s="297"/>
      <c r="N257" s="295"/>
      <c r="O257" s="234" t="s">
        <v>967</v>
      </c>
      <c r="P257" s="234" t="s">
        <v>941</v>
      </c>
      <c r="Q257" s="234" t="s">
        <v>932</v>
      </c>
      <c r="R257" s="234" t="s">
        <v>1006</v>
      </c>
      <c r="S257" s="234" t="s">
        <v>1007</v>
      </c>
      <c r="T257" s="67"/>
      <c r="U257" s="67"/>
      <c r="V257" s="67"/>
      <c r="W257" s="67"/>
      <c r="X257" s="67"/>
      <c r="Y257" s="67"/>
      <c r="Z257" s="67"/>
      <c r="AA257" s="67"/>
      <c r="AB257" s="67"/>
      <c r="AC257" s="67"/>
      <c r="AD257" s="67"/>
      <c r="AE257" s="67"/>
      <c r="AF257" s="67"/>
      <c r="AG257" s="67"/>
      <c r="AH257" s="67"/>
      <c r="AI257" s="67"/>
      <c r="AJ257" s="67"/>
      <c r="AK257" s="67"/>
      <c r="AL257" s="67"/>
      <c r="AM257" s="67"/>
      <c r="AN257" s="67"/>
      <c r="AO257" s="67"/>
      <c r="AP257" s="67"/>
      <c r="AQ257" s="67"/>
      <c r="AR257" s="67"/>
      <c r="AS257" s="67"/>
      <c r="AT257" s="67"/>
      <c r="AU257" s="67"/>
      <c r="AV257" s="67"/>
      <c r="AW257" s="67"/>
      <c r="AX257" s="67"/>
      <c r="AY257" s="67"/>
      <c r="AZ257" s="67"/>
      <c r="BA257" s="67"/>
      <c r="BB257" s="67"/>
      <c r="BC257" s="67"/>
      <c r="BD257" s="67"/>
      <c r="BE257" s="67"/>
      <c r="BF257" s="67"/>
      <c r="BG257" s="67"/>
      <c r="BH257" s="67"/>
      <c r="BI257" s="67"/>
      <c r="BJ257" s="67"/>
      <c r="BK257" s="67"/>
      <c r="BL257" s="67"/>
      <c r="BM257" s="67"/>
      <c r="BN257" s="67"/>
      <c r="BO257" s="67"/>
      <c r="BP257" s="67"/>
      <c r="BQ257" s="67"/>
      <c r="BR257" s="67"/>
      <c r="BS257" s="67"/>
      <c r="BT257" s="67"/>
      <c r="BU257" s="67"/>
      <c r="BV257" s="67"/>
      <c r="BW257" s="67"/>
      <c r="BX257" s="67"/>
      <c r="BY257" s="67"/>
      <c r="BZ257" s="67"/>
      <c r="CA257" s="67"/>
      <c r="CB257" s="67"/>
      <c r="CC257" s="67"/>
      <c r="CD257" s="67"/>
      <c r="CE257" s="67"/>
      <c r="CF257" s="67"/>
      <c r="CG257" s="67"/>
      <c r="CH257" s="67"/>
      <c r="CI257" s="67"/>
      <c r="CJ257" s="67"/>
      <c r="CK257" s="67"/>
      <c r="CL257" s="67"/>
      <c r="CM257" s="67"/>
      <c r="CN257" s="67"/>
      <c r="CO257" s="67"/>
      <c r="CP257" s="67"/>
      <c r="CQ257" s="67"/>
      <c r="CR257" s="67"/>
      <c r="CS257" s="67"/>
      <c r="CT257" s="67"/>
      <c r="CU257" s="67"/>
      <c r="CV257" s="67"/>
      <c r="CW257" s="67"/>
      <c r="CX257" s="67"/>
      <c r="CY257" s="67"/>
      <c r="CZ257" s="67"/>
      <c r="DA257" s="67"/>
      <c r="DB257" s="67"/>
      <c r="DC257" s="67"/>
      <c r="DD257" s="67"/>
      <c r="DE257" s="67"/>
      <c r="DF257" s="67"/>
      <c r="DG257" s="67"/>
      <c r="DH257" s="67"/>
      <c r="DI257" s="67"/>
      <c r="DJ257" s="67"/>
    </row>
    <row r="258" spans="1:114" x14ac:dyDescent="0.25">
      <c r="A258" s="378">
        <v>11</v>
      </c>
      <c r="B258" s="329" t="s">
        <v>1005</v>
      </c>
      <c r="C258" s="330">
        <v>1500</v>
      </c>
      <c r="D258" s="331"/>
      <c r="E258" s="376"/>
      <c r="F258" s="333"/>
      <c r="G258" s="334"/>
      <c r="H258" s="316"/>
      <c r="I258" s="334"/>
      <c r="J258" s="334"/>
      <c r="K258" s="335"/>
      <c r="L258" s="297"/>
      <c r="M258" s="297"/>
      <c r="N258" s="314">
        <f t="shared" ref="N258" si="53">SUM(O258:DK258)</f>
        <v>16947</v>
      </c>
      <c r="O258" s="310">
        <v>4200</v>
      </c>
      <c r="P258" s="315">
        <v>8400</v>
      </c>
      <c r="Q258" s="315">
        <v>4200</v>
      </c>
      <c r="R258" s="315">
        <v>147</v>
      </c>
      <c r="S258" s="315"/>
      <c r="T258" s="55"/>
      <c r="U258" s="55"/>
      <c r="V258" s="55"/>
      <c r="W258" s="55"/>
      <c r="X258" s="55"/>
      <c r="Y258" s="55"/>
      <c r="Z258" s="55"/>
      <c r="AA258" s="55"/>
      <c r="AB258" s="55"/>
      <c r="AC258" s="55"/>
      <c r="AD258" s="55"/>
      <c r="AE258" s="55"/>
      <c r="AF258" s="55"/>
      <c r="AG258" s="55"/>
      <c r="AH258" s="55"/>
      <c r="AI258" s="55"/>
      <c r="AJ258" s="55"/>
      <c r="AK258" s="55"/>
      <c r="AL258" s="55"/>
      <c r="AM258" s="55"/>
      <c r="AN258" s="55"/>
      <c r="AO258" s="55"/>
      <c r="AP258" s="55"/>
      <c r="AQ258" s="55"/>
      <c r="AR258" s="55"/>
      <c r="AS258" s="55"/>
      <c r="AT258" s="55"/>
      <c r="AU258" s="55"/>
      <c r="AV258" s="55"/>
      <c r="AW258" s="55"/>
      <c r="AX258" s="55"/>
      <c r="AY258" s="55"/>
      <c r="AZ258" s="55"/>
      <c r="BA258" s="55"/>
      <c r="BB258" s="55"/>
      <c r="BC258" s="55"/>
      <c r="BD258" s="55"/>
      <c r="BE258" s="55"/>
      <c r="BF258" s="55"/>
      <c r="BG258" s="55"/>
      <c r="BH258" s="55"/>
      <c r="BI258" s="55"/>
      <c r="BJ258" s="55"/>
      <c r="BK258" s="55"/>
      <c r="BL258" s="55"/>
      <c r="BM258" s="55"/>
      <c r="BN258" s="55"/>
      <c r="BO258" s="55"/>
      <c r="BP258" s="55"/>
      <c r="BQ258" s="55"/>
      <c r="BR258" s="55"/>
      <c r="BS258" s="55"/>
      <c r="BT258" s="55"/>
      <c r="BU258" s="55"/>
      <c r="BV258" s="55"/>
      <c r="BW258" s="55"/>
      <c r="BX258" s="55"/>
      <c r="BY258" s="55"/>
      <c r="BZ258" s="55"/>
      <c r="CA258" s="55"/>
      <c r="CB258" s="55"/>
      <c r="CC258" s="55"/>
      <c r="CD258" s="55"/>
      <c r="CE258" s="55"/>
      <c r="CF258" s="55"/>
      <c r="CG258" s="55"/>
      <c r="CH258" s="55"/>
      <c r="CI258" s="55"/>
      <c r="CJ258" s="55"/>
      <c r="CK258" s="55"/>
      <c r="CL258" s="55"/>
      <c r="CM258" s="55"/>
      <c r="CN258" s="55"/>
      <c r="CO258" s="55"/>
      <c r="CP258" s="55"/>
      <c r="CQ258" s="55"/>
      <c r="CR258" s="55"/>
      <c r="CS258" s="55"/>
      <c r="CT258" s="55"/>
      <c r="CU258" s="55"/>
      <c r="CV258" s="55"/>
      <c r="CW258" s="55"/>
      <c r="CX258" s="55"/>
      <c r="CY258" s="55"/>
      <c r="CZ258" s="55"/>
      <c r="DA258" s="55"/>
      <c r="DB258" s="55"/>
      <c r="DC258" s="55"/>
      <c r="DD258" s="55"/>
      <c r="DE258" s="55"/>
      <c r="DF258" s="55"/>
      <c r="DG258" s="55"/>
      <c r="DH258" s="55"/>
      <c r="DI258" s="55"/>
      <c r="DJ258" s="55"/>
    </row>
    <row r="259" spans="1:114" x14ac:dyDescent="0.25">
      <c r="A259" s="328"/>
      <c r="B259" s="329"/>
      <c r="C259" s="330"/>
      <c r="D259" s="331"/>
      <c r="E259" s="376"/>
      <c r="F259" s="333"/>
      <c r="G259" s="334"/>
      <c r="H259" s="316"/>
      <c r="I259" s="334"/>
      <c r="J259" s="334"/>
      <c r="K259" s="335"/>
      <c r="L259" s="297"/>
      <c r="M259" s="297"/>
      <c r="N259" s="295"/>
      <c r="O259" s="234" t="s">
        <v>1013</v>
      </c>
      <c r="P259" s="234" t="s">
        <v>1011</v>
      </c>
      <c r="Q259" s="234" t="s">
        <v>1010</v>
      </c>
      <c r="R259" s="234" t="s">
        <v>1015</v>
      </c>
      <c r="S259" s="234" t="s">
        <v>1017</v>
      </c>
      <c r="T259" s="234" t="s">
        <v>1018</v>
      </c>
      <c r="U259" s="234" t="s">
        <v>967</v>
      </c>
      <c r="V259" s="234" t="s">
        <v>932</v>
      </c>
      <c r="W259" s="234" t="s">
        <v>941</v>
      </c>
      <c r="X259" s="67"/>
      <c r="Y259" s="67"/>
      <c r="Z259" s="67"/>
      <c r="AA259" s="67"/>
      <c r="AB259" s="67"/>
      <c r="AC259" s="67"/>
      <c r="AD259" s="67"/>
      <c r="AE259" s="67"/>
      <c r="AF259" s="67"/>
      <c r="AG259" s="67"/>
      <c r="AH259" s="67"/>
      <c r="AI259" s="67"/>
      <c r="AJ259" s="67"/>
      <c r="AK259" s="67"/>
      <c r="AL259" s="67"/>
      <c r="AM259" s="67"/>
      <c r="AN259" s="67"/>
      <c r="AO259" s="67"/>
      <c r="AP259" s="67"/>
      <c r="AQ259" s="67"/>
      <c r="AR259" s="67"/>
      <c r="AS259" s="67"/>
      <c r="AT259" s="67"/>
      <c r="AU259" s="67"/>
      <c r="AV259" s="67"/>
      <c r="AW259" s="67"/>
      <c r="AX259" s="67"/>
      <c r="AY259" s="67"/>
      <c r="AZ259" s="67"/>
      <c r="BA259" s="67"/>
      <c r="BB259" s="67"/>
      <c r="BC259" s="67"/>
      <c r="BD259" s="67"/>
      <c r="BE259" s="67"/>
      <c r="BF259" s="67"/>
      <c r="BG259" s="67"/>
      <c r="BH259" s="67"/>
      <c r="BI259" s="67"/>
      <c r="BJ259" s="67"/>
      <c r="BK259" s="67"/>
      <c r="BL259" s="67"/>
      <c r="BM259" s="67"/>
      <c r="BN259" s="67"/>
      <c r="BO259" s="67"/>
      <c r="BP259" s="67"/>
      <c r="BQ259" s="67"/>
      <c r="BR259" s="67"/>
      <c r="BS259" s="67"/>
      <c r="BT259" s="67"/>
      <c r="BU259" s="67"/>
      <c r="BV259" s="67"/>
      <c r="BW259" s="67"/>
      <c r="BX259" s="67"/>
      <c r="BY259" s="67"/>
      <c r="BZ259" s="67"/>
      <c r="CA259" s="67"/>
      <c r="CB259" s="67"/>
      <c r="CC259" s="67"/>
      <c r="CD259" s="67"/>
      <c r="CE259" s="67"/>
      <c r="CF259" s="67"/>
      <c r="CG259" s="67"/>
      <c r="CH259" s="67"/>
      <c r="CI259" s="67"/>
      <c r="CJ259" s="67"/>
      <c r="CK259" s="67"/>
      <c r="CL259" s="67"/>
      <c r="CM259" s="67"/>
      <c r="CN259" s="67"/>
      <c r="CO259" s="67"/>
      <c r="CP259" s="67"/>
      <c r="CQ259" s="67"/>
      <c r="CR259" s="67"/>
      <c r="CS259" s="67"/>
      <c r="CT259" s="67"/>
      <c r="CU259" s="67"/>
      <c r="CV259" s="67"/>
      <c r="CW259" s="67"/>
      <c r="CX259" s="67"/>
      <c r="CY259" s="67"/>
      <c r="CZ259" s="67"/>
      <c r="DA259" s="67"/>
      <c r="DB259" s="67"/>
      <c r="DC259" s="67"/>
      <c r="DD259" s="67"/>
      <c r="DE259" s="67"/>
      <c r="DF259" s="67"/>
      <c r="DG259" s="67"/>
      <c r="DH259" s="67"/>
      <c r="DI259" s="67"/>
      <c r="DJ259" s="67"/>
    </row>
    <row r="260" spans="1:114" x14ac:dyDescent="0.25">
      <c r="A260" s="378">
        <v>12</v>
      </c>
      <c r="B260" s="329" t="s">
        <v>1014</v>
      </c>
      <c r="C260" s="330">
        <v>1000</v>
      </c>
      <c r="D260" s="331"/>
      <c r="E260" s="376"/>
      <c r="F260" s="333"/>
      <c r="G260" s="334"/>
      <c r="H260" s="316"/>
      <c r="I260" s="334"/>
      <c r="J260" s="334"/>
      <c r="K260" s="335"/>
      <c r="L260" s="297"/>
      <c r="M260" s="297"/>
      <c r="N260" s="314">
        <f t="shared" ref="N260" si="54">SUM(O260:DK260)</f>
        <v>9663</v>
      </c>
      <c r="O260" s="310">
        <v>200</v>
      </c>
      <c r="P260" s="315">
        <v>1974</v>
      </c>
      <c r="Q260" s="315">
        <v>1590</v>
      </c>
      <c r="R260" s="315">
        <v>199</v>
      </c>
      <c r="S260" s="315">
        <v>200</v>
      </c>
      <c r="T260" s="55">
        <v>500</v>
      </c>
      <c r="U260" s="55">
        <v>1000</v>
      </c>
      <c r="V260" s="55">
        <v>2000</v>
      </c>
      <c r="W260" s="55">
        <v>2000</v>
      </c>
      <c r="X260" s="55"/>
      <c r="Y260" s="55"/>
      <c r="Z260" s="55"/>
      <c r="AA260" s="55"/>
      <c r="AB260" s="55"/>
      <c r="AC260" s="55"/>
      <c r="AD260" s="55"/>
      <c r="AE260" s="55"/>
      <c r="AF260" s="55"/>
      <c r="AG260" s="55"/>
      <c r="AH260" s="55"/>
      <c r="AI260" s="55"/>
      <c r="AJ260" s="55"/>
      <c r="AK260" s="55"/>
      <c r="AL260" s="55"/>
      <c r="AM260" s="55"/>
      <c r="AN260" s="55"/>
      <c r="AO260" s="55"/>
      <c r="AP260" s="55"/>
      <c r="AQ260" s="55"/>
      <c r="AR260" s="55"/>
      <c r="AS260" s="55"/>
      <c r="AT260" s="55"/>
      <c r="AU260" s="55"/>
      <c r="AV260" s="55"/>
      <c r="AW260" s="55"/>
      <c r="AX260" s="55"/>
      <c r="AY260" s="55"/>
      <c r="AZ260" s="55"/>
      <c r="BA260" s="55"/>
      <c r="BB260" s="55"/>
      <c r="BC260" s="55"/>
      <c r="BD260" s="55"/>
      <c r="BE260" s="55"/>
      <c r="BF260" s="55"/>
      <c r="BG260" s="55"/>
      <c r="BH260" s="55"/>
      <c r="BI260" s="55"/>
      <c r="BJ260" s="55"/>
      <c r="BK260" s="55"/>
      <c r="BL260" s="55"/>
      <c r="BM260" s="55"/>
      <c r="BN260" s="55"/>
      <c r="BO260" s="55"/>
      <c r="BP260" s="55"/>
      <c r="BQ260" s="55"/>
      <c r="BR260" s="55"/>
      <c r="BS260" s="55"/>
      <c r="BT260" s="55"/>
      <c r="BU260" s="55"/>
      <c r="BV260" s="55"/>
      <c r="BW260" s="55"/>
      <c r="BX260" s="55"/>
      <c r="BY260" s="55"/>
      <c r="BZ260" s="55"/>
      <c r="CA260" s="55"/>
      <c r="CB260" s="55"/>
      <c r="CC260" s="55"/>
      <c r="CD260" s="55"/>
      <c r="CE260" s="55"/>
      <c r="CF260" s="55"/>
      <c r="CG260" s="55"/>
      <c r="CH260" s="55"/>
      <c r="CI260" s="55"/>
      <c r="CJ260" s="55"/>
      <c r="CK260" s="55"/>
      <c r="CL260" s="55"/>
      <c r="CM260" s="55"/>
      <c r="CN260" s="55"/>
      <c r="CO260" s="55"/>
      <c r="CP260" s="55"/>
      <c r="CQ260" s="55"/>
      <c r="CR260" s="55"/>
      <c r="CS260" s="55"/>
      <c r="CT260" s="55"/>
      <c r="CU260" s="55"/>
      <c r="CV260" s="55"/>
      <c r="CW260" s="55"/>
      <c r="CX260" s="55"/>
      <c r="CY260" s="55"/>
      <c r="CZ260" s="55"/>
      <c r="DA260" s="55"/>
      <c r="DB260" s="55"/>
      <c r="DC260" s="55"/>
      <c r="DD260" s="55"/>
      <c r="DE260" s="55"/>
      <c r="DF260" s="55"/>
      <c r="DG260" s="55"/>
      <c r="DH260" s="55"/>
      <c r="DI260" s="55"/>
      <c r="DJ260" s="55"/>
    </row>
    <row r="261" spans="1:114" x14ac:dyDescent="0.25">
      <c r="A261" s="328"/>
      <c r="B261" s="329"/>
      <c r="C261" s="330"/>
      <c r="D261" s="331"/>
      <c r="E261" s="376"/>
      <c r="F261" s="333"/>
      <c r="G261" s="334"/>
      <c r="H261" s="316"/>
      <c r="I261" s="334"/>
      <c r="J261" s="334"/>
      <c r="K261" s="335"/>
      <c r="L261" s="297"/>
      <c r="M261" s="297"/>
      <c r="N261" s="295"/>
      <c r="O261" s="234" t="s">
        <v>1013</v>
      </c>
      <c r="P261" s="234" t="s">
        <v>1010</v>
      </c>
      <c r="Q261" s="234" t="s">
        <v>1015</v>
      </c>
      <c r="R261" s="234" t="s">
        <v>1004</v>
      </c>
      <c r="S261" s="234" t="s">
        <v>1009</v>
      </c>
      <c r="T261" s="234" t="s">
        <v>967</v>
      </c>
      <c r="U261" s="234" t="s">
        <v>932</v>
      </c>
      <c r="V261" s="234" t="s">
        <v>941</v>
      </c>
      <c r="W261" s="67"/>
      <c r="X261" s="67"/>
      <c r="Y261" s="67"/>
      <c r="Z261" s="67"/>
      <c r="AA261" s="67"/>
      <c r="AB261" s="67"/>
      <c r="AC261" s="67"/>
      <c r="AD261" s="67"/>
      <c r="AE261" s="67"/>
      <c r="AF261" s="67"/>
      <c r="AG261" s="67"/>
      <c r="AH261" s="67"/>
      <c r="AI261" s="67"/>
      <c r="AJ261" s="67"/>
      <c r="AK261" s="67"/>
      <c r="AL261" s="67"/>
      <c r="AM261" s="67"/>
      <c r="AN261" s="67"/>
      <c r="AO261" s="67"/>
      <c r="AP261" s="67"/>
      <c r="AQ261" s="67"/>
      <c r="AR261" s="67"/>
      <c r="AS261" s="67"/>
      <c r="AT261" s="67"/>
      <c r="AU261" s="67"/>
      <c r="AV261" s="67"/>
      <c r="AW261" s="67"/>
      <c r="AX261" s="67"/>
      <c r="AY261" s="67"/>
      <c r="AZ261" s="67"/>
      <c r="BA261" s="67"/>
      <c r="BB261" s="67"/>
      <c r="BC261" s="67"/>
      <c r="BD261" s="67"/>
      <c r="BE261" s="67"/>
      <c r="BF261" s="67"/>
      <c r="BG261" s="67"/>
      <c r="BH261" s="67"/>
      <c r="BI261" s="67"/>
      <c r="BJ261" s="67"/>
      <c r="BK261" s="67"/>
      <c r="BL261" s="67"/>
      <c r="BM261" s="67"/>
      <c r="BN261" s="67"/>
      <c r="BO261" s="67"/>
      <c r="BP261" s="67"/>
      <c r="BQ261" s="67"/>
      <c r="BR261" s="67"/>
      <c r="BS261" s="67"/>
      <c r="BT261" s="67"/>
      <c r="BU261" s="67"/>
      <c r="BV261" s="67"/>
      <c r="BW261" s="67"/>
      <c r="BX261" s="67"/>
      <c r="BY261" s="67"/>
      <c r="BZ261" s="67"/>
      <c r="CA261" s="67"/>
      <c r="CB261" s="67"/>
      <c r="CC261" s="67"/>
      <c r="CD261" s="67"/>
      <c r="CE261" s="67"/>
      <c r="CF261" s="67"/>
      <c r="CG261" s="67"/>
      <c r="CH261" s="67"/>
      <c r="CI261" s="67"/>
      <c r="CJ261" s="67"/>
      <c r="CK261" s="67"/>
      <c r="CL261" s="67"/>
      <c r="CM261" s="67"/>
      <c r="CN261" s="67"/>
      <c r="CO261" s="67"/>
      <c r="CP261" s="67"/>
      <c r="CQ261" s="67"/>
      <c r="CR261" s="67"/>
      <c r="CS261" s="67"/>
      <c r="CT261" s="67"/>
      <c r="CU261" s="67"/>
      <c r="CV261" s="67"/>
      <c r="CW261" s="67"/>
      <c r="CX261" s="67"/>
      <c r="CY261" s="67"/>
      <c r="CZ261" s="67"/>
      <c r="DA261" s="67"/>
      <c r="DB261" s="67"/>
      <c r="DC261" s="67"/>
      <c r="DD261" s="67"/>
      <c r="DE261" s="67"/>
      <c r="DF261" s="67"/>
      <c r="DG261" s="67"/>
      <c r="DH261" s="67"/>
      <c r="DI261" s="67"/>
      <c r="DJ261" s="67"/>
    </row>
    <row r="262" spans="1:114" x14ac:dyDescent="0.25">
      <c r="A262" s="378">
        <v>13</v>
      </c>
      <c r="B262" s="329" t="s">
        <v>1014</v>
      </c>
      <c r="C262" s="330">
        <v>1500</v>
      </c>
      <c r="D262" s="331"/>
      <c r="E262" s="376"/>
      <c r="F262" s="333"/>
      <c r="G262" s="334"/>
      <c r="H262" s="316"/>
      <c r="I262" s="334"/>
      <c r="J262" s="334"/>
      <c r="K262" s="335"/>
      <c r="L262" s="297"/>
      <c r="M262" s="297"/>
      <c r="N262" s="314">
        <f t="shared" ref="N262" si="55">SUM(O262:DK262)</f>
        <v>21904</v>
      </c>
      <c r="O262" s="310">
        <v>2600</v>
      </c>
      <c r="P262" s="315">
        <v>3240</v>
      </c>
      <c r="Q262" s="315">
        <v>3664</v>
      </c>
      <c r="R262" s="315">
        <v>2000</v>
      </c>
      <c r="S262" s="315">
        <v>400</v>
      </c>
      <c r="T262" s="55">
        <v>2000</v>
      </c>
      <c r="U262" s="55">
        <v>4000</v>
      </c>
      <c r="V262" s="55">
        <v>4000</v>
      </c>
      <c r="W262" s="55"/>
      <c r="X262" s="55"/>
      <c r="Y262" s="55"/>
      <c r="Z262" s="55"/>
      <c r="AA262" s="55"/>
      <c r="AB262" s="55"/>
      <c r="AC262" s="55"/>
      <c r="AD262" s="55"/>
      <c r="AE262" s="55"/>
      <c r="AF262" s="55"/>
      <c r="AG262" s="55"/>
      <c r="AH262" s="55"/>
      <c r="AI262" s="55"/>
      <c r="AJ262" s="55"/>
      <c r="AK262" s="55"/>
      <c r="AL262" s="55"/>
      <c r="AM262" s="55"/>
      <c r="AN262" s="55"/>
      <c r="AO262" s="55"/>
      <c r="AP262" s="55"/>
      <c r="AQ262" s="55"/>
      <c r="AR262" s="55"/>
      <c r="AS262" s="55"/>
      <c r="AT262" s="55"/>
      <c r="AU262" s="55"/>
      <c r="AV262" s="55"/>
      <c r="AW262" s="55"/>
      <c r="AX262" s="55"/>
      <c r="AY262" s="55"/>
      <c r="AZ262" s="55"/>
      <c r="BA262" s="55"/>
      <c r="BB262" s="55"/>
      <c r="BC262" s="55"/>
      <c r="BD262" s="55"/>
      <c r="BE262" s="55"/>
      <c r="BF262" s="55"/>
      <c r="BG262" s="55"/>
      <c r="BH262" s="55"/>
      <c r="BI262" s="55"/>
      <c r="BJ262" s="55"/>
      <c r="BK262" s="55"/>
      <c r="BL262" s="55"/>
      <c r="BM262" s="55"/>
      <c r="BN262" s="55"/>
      <c r="BO262" s="55"/>
      <c r="BP262" s="55"/>
      <c r="BQ262" s="55"/>
      <c r="BR262" s="55"/>
      <c r="BS262" s="55"/>
      <c r="BT262" s="55"/>
      <c r="BU262" s="55"/>
      <c r="BV262" s="55"/>
      <c r="BW262" s="55"/>
      <c r="BX262" s="55"/>
      <c r="BY262" s="55"/>
      <c r="BZ262" s="55"/>
      <c r="CA262" s="55"/>
      <c r="CB262" s="55"/>
      <c r="CC262" s="55"/>
      <c r="CD262" s="55"/>
      <c r="CE262" s="55"/>
      <c r="CF262" s="55"/>
      <c r="CG262" s="55"/>
      <c r="CH262" s="55"/>
      <c r="CI262" s="55"/>
      <c r="CJ262" s="55"/>
      <c r="CK262" s="55"/>
      <c r="CL262" s="55"/>
      <c r="CM262" s="55"/>
      <c r="CN262" s="55"/>
      <c r="CO262" s="55"/>
      <c r="CP262" s="55"/>
      <c r="CQ262" s="55"/>
      <c r="CR262" s="55"/>
      <c r="CS262" s="55"/>
      <c r="CT262" s="55"/>
      <c r="CU262" s="55"/>
      <c r="CV262" s="55"/>
      <c r="CW262" s="55"/>
      <c r="CX262" s="55"/>
      <c r="CY262" s="55"/>
      <c r="CZ262" s="55"/>
      <c r="DA262" s="55"/>
      <c r="DB262" s="55"/>
      <c r="DC262" s="55"/>
      <c r="DD262" s="55"/>
      <c r="DE262" s="55"/>
      <c r="DF262" s="55"/>
      <c r="DG262" s="55"/>
      <c r="DH262" s="55"/>
      <c r="DI262" s="55"/>
      <c r="DJ262" s="55"/>
    </row>
    <row r="263" spans="1:114" x14ac:dyDescent="0.25">
      <c r="A263" s="328"/>
      <c r="B263" s="329"/>
      <c r="C263" s="330"/>
      <c r="D263" s="331"/>
      <c r="E263" s="376"/>
      <c r="F263" s="333"/>
      <c r="G263" s="334"/>
      <c r="H263" s="316"/>
      <c r="I263" s="334"/>
      <c r="J263" s="334"/>
      <c r="K263" s="335"/>
      <c r="L263" s="297"/>
      <c r="M263" s="297"/>
      <c r="N263" s="295"/>
      <c r="O263" s="234" t="s">
        <v>1011</v>
      </c>
      <c r="P263" s="234" t="s">
        <v>1010</v>
      </c>
      <c r="Q263" s="234" t="s">
        <v>1020</v>
      </c>
      <c r="R263" s="234" t="s">
        <v>967</v>
      </c>
      <c r="S263" s="234" t="s">
        <v>932</v>
      </c>
      <c r="T263" s="234" t="s">
        <v>941</v>
      </c>
      <c r="U263" s="67"/>
      <c r="V263" s="67"/>
      <c r="W263" s="67"/>
      <c r="X263" s="67"/>
      <c r="Y263" s="67"/>
      <c r="Z263" s="67"/>
      <c r="AA263" s="67"/>
      <c r="AB263" s="67"/>
      <c r="AC263" s="67"/>
      <c r="AD263" s="67"/>
      <c r="AE263" s="67"/>
      <c r="AF263" s="67"/>
      <c r="AG263" s="67"/>
      <c r="AH263" s="67"/>
      <c r="AI263" s="67"/>
      <c r="AJ263" s="67"/>
      <c r="AK263" s="67"/>
      <c r="AL263" s="67"/>
      <c r="AM263" s="67"/>
      <c r="AN263" s="67"/>
      <c r="AO263" s="67"/>
      <c r="AP263" s="67"/>
      <c r="AQ263" s="67"/>
      <c r="AR263" s="67"/>
      <c r="AS263" s="67"/>
      <c r="AT263" s="67"/>
      <c r="AU263" s="67"/>
      <c r="AV263" s="67"/>
      <c r="AW263" s="67"/>
      <c r="AX263" s="67"/>
      <c r="AY263" s="67"/>
      <c r="AZ263" s="67"/>
      <c r="BA263" s="67"/>
      <c r="BB263" s="67"/>
      <c r="BC263" s="67"/>
      <c r="BD263" s="67"/>
      <c r="BE263" s="67"/>
      <c r="BF263" s="67"/>
      <c r="BG263" s="67"/>
      <c r="BH263" s="67"/>
      <c r="BI263" s="67"/>
      <c r="BJ263" s="67"/>
      <c r="BK263" s="67"/>
      <c r="BL263" s="67"/>
      <c r="BM263" s="67"/>
      <c r="BN263" s="67"/>
      <c r="BO263" s="67"/>
      <c r="BP263" s="67"/>
      <c r="BQ263" s="67"/>
      <c r="BR263" s="67"/>
      <c r="BS263" s="67"/>
      <c r="BT263" s="67"/>
      <c r="BU263" s="67"/>
      <c r="BV263" s="67"/>
      <c r="BW263" s="67"/>
      <c r="BX263" s="67"/>
      <c r="BY263" s="67"/>
      <c r="BZ263" s="67"/>
      <c r="CA263" s="67"/>
      <c r="CB263" s="67"/>
      <c r="CC263" s="67"/>
      <c r="CD263" s="67"/>
      <c r="CE263" s="67"/>
      <c r="CF263" s="67"/>
      <c r="CG263" s="67"/>
      <c r="CH263" s="67"/>
      <c r="CI263" s="67"/>
      <c r="CJ263" s="67"/>
      <c r="CK263" s="67"/>
      <c r="CL263" s="67"/>
      <c r="CM263" s="67"/>
      <c r="CN263" s="67"/>
      <c r="CO263" s="67"/>
      <c r="CP263" s="67"/>
      <c r="CQ263" s="67"/>
      <c r="CR263" s="67"/>
      <c r="CS263" s="67"/>
      <c r="CT263" s="67"/>
      <c r="CU263" s="67"/>
      <c r="CV263" s="67"/>
      <c r="CW263" s="67"/>
      <c r="CX263" s="67"/>
      <c r="CY263" s="67"/>
      <c r="CZ263" s="67"/>
      <c r="DA263" s="67"/>
      <c r="DB263" s="67"/>
      <c r="DC263" s="67"/>
      <c r="DD263" s="67"/>
      <c r="DE263" s="67"/>
      <c r="DF263" s="67"/>
      <c r="DG263" s="67"/>
      <c r="DH263" s="67"/>
      <c r="DI263" s="67"/>
      <c r="DJ263" s="67"/>
    </row>
    <row r="264" spans="1:114" x14ac:dyDescent="0.25">
      <c r="A264" s="378">
        <v>14</v>
      </c>
      <c r="B264" s="329" t="s">
        <v>1014</v>
      </c>
      <c r="C264" s="330">
        <v>2000</v>
      </c>
      <c r="D264" s="331"/>
      <c r="E264" s="376"/>
      <c r="F264" s="333"/>
      <c r="G264" s="334"/>
      <c r="H264" s="316"/>
      <c r="I264" s="334"/>
      <c r="J264" s="334"/>
      <c r="K264" s="335"/>
      <c r="L264" s="297"/>
      <c r="M264" s="297"/>
      <c r="N264" s="314">
        <f t="shared" ref="N264" si="56">SUM(O264:DK264)</f>
        <v>5053</v>
      </c>
      <c r="O264" s="310">
        <v>974</v>
      </c>
      <c r="P264" s="315">
        <v>639</v>
      </c>
      <c r="Q264" s="315">
        <v>1000</v>
      </c>
      <c r="R264" s="315">
        <v>480</v>
      </c>
      <c r="S264" s="315">
        <v>960</v>
      </c>
      <c r="T264" s="55">
        <v>1000</v>
      </c>
      <c r="U264" s="55"/>
      <c r="V264" s="55"/>
      <c r="W264" s="55"/>
      <c r="X264" s="55"/>
      <c r="Y264" s="55"/>
      <c r="Z264" s="55"/>
      <c r="AA264" s="55"/>
      <c r="AB264" s="55"/>
      <c r="AC264" s="55"/>
      <c r="AD264" s="55"/>
      <c r="AE264" s="55"/>
      <c r="AF264" s="55"/>
      <c r="AG264" s="55"/>
      <c r="AH264" s="55"/>
      <c r="AI264" s="55"/>
      <c r="AJ264" s="55"/>
      <c r="AK264" s="55"/>
      <c r="AL264" s="55"/>
      <c r="AM264" s="55"/>
      <c r="AN264" s="55"/>
      <c r="AO264" s="55"/>
      <c r="AP264" s="55"/>
      <c r="AQ264" s="55"/>
      <c r="AR264" s="55"/>
      <c r="AS264" s="55"/>
      <c r="AT264" s="55"/>
      <c r="AU264" s="55"/>
      <c r="AV264" s="55"/>
      <c r="AW264" s="55"/>
      <c r="AX264" s="55"/>
      <c r="AY264" s="55"/>
      <c r="AZ264" s="55"/>
      <c r="BA264" s="55"/>
      <c r="BB264" s="55"/>
      <c r="BC264" s="55"/>
      <c r="BD264" s="55"/>
      <c r="BE264" s="55"/>
      <c r="BF264" s="55"/>
      <c r="BG264" s="55"/>
      <c r="BH264" s="55"/>
      <c r="BI264" s="55"/>
      <c r="BJ264" s="55"/>
      <c r="BK264" s="55"/>
      <c r="BL264" s="55"/>
      <c r="BM264" s="55"/>
      <c r="BN264" s="55"/>
      <c r="BO264" s="55"/>
      <c r="BP264" s="55"/>
      <c r="BQ264" s="55"/>
      <c r="BR264" s="55"/>
      <c r="BS264" s="55"/>
      <c r="BT264" s="55"/>
      <c r="BU264" s="55"/>
      <c r="BV264" s="55"/>
      <c r="BW264" s="55"/>
      <c r="BX264" s="55"/>
      <c r="BY264" s="55"/>
      <c r="BZ264" s="55"/>
      <c r="CA264" s="55"/>
      <c r="CB264" s="55"/>
      <c r="CC264" s="55"/>
      <c r="CD264" s="55"/>
      <c r="CE264" s="55"/>
      <c r="CF264" s="55"/>
      <c r="CG264" s="55"/>
      <c r="CH264" s="55"/>
      <c r="CI264" s="55"/>
      <c r="CJ264" s="55"/>
      <c r="CK264" s="55"/>
      <c r="CL264" s="55"/>
      <c r="CM264" s="55"/>
      <c r="CN264" s="55"/>
      <c r="CO264" s="55"/>
      <c r="CP264" s="55"/>
      <c r="CQ264" s="55"/>
      <c r="CR264" s="55"/>
      <c r="CS264" s="55"/>
      <c r="CT264" s="55"/>
      <c r="CU264" s="55"/>
      <c r="CV264" s="55"/>
      <c r="CW264" s="55"/>
      <c r="CX264" s="55"/>
      <c r="CY264" s="55"/>
      <c r="CZ264" s="55"/>
      <c r="DA264" s="55"/>
      <c r="DB264" s="55"/>
      <c r="DC264" s="55"/>
      <c r="DD264" s="55"/>
      <c r="DE264" s="55"/>
      <c r="DF264" s="55"/>
      <c r="DG264" s="55"/>
      <c r="DH264" s="55"/>
      <c r="DI264" s="55"/>
      <c r="DJ264" s="55"/>
    </row>
    <row r="265" spans="1:114" x14ac:dyDescent="0.25">
      <c r="A265" s="328"/>
      <c r="B265" s="329"/>
      <c r="C265" s="330"/>
      <c r="D265" s="331"/>
      <c r="E265" s="376"/>
      <c r="F265" s="333"/>
      <c r="G265" s="334"/>
      <c r="H265" s="316"/>
      <c r="I265" s="334"/>
      <c r="J265" s="334"/>
      <c r="K265" s="335"/>
      <c r="L265" s="297"/>
      <c r="M265" s="297"/>
      <c r="N265" s="295"/>
      <c r="O265" s="234" t="s">
        <v>1011</v>
      </c>
      <c r="P265" s="234" t="s">
        <v>1010</v>
      </c>
      <c r="Q265" s="234" t="s">
        <v>1020</v>
      </c>
      <c r="R265" s="234" t="s">
        <v>967</v>
      </c>
      <c r="S265" s="234" t="s">
        <v>932</v>
      </c>
      <c r="T265" s="234" t="s">
        <v>941</v>
      </c>
      <c r="U265" s="234" t="s">
        <v>945</v>
      </c>
      <c r="V265" s="67"/>
      <c r="W265" s="67"/>
      <c r="X265" s="67"/>
      <c r="Y265" s="67"/>
      <c r="Z265" s="67"/>
      <c r="AA265" s="67"/>
      <c r="AB265" s="67"/>
      <c r="AC265" s="67"/>
      <c r="AD265" s="67"/>
      <c r="AE265" s="67"/>
      <c r="AF265" s="67"/>
      <c r="AG265" s="67"/>
      <c r="AH265" s="67"/>
      <c r="AI265" s="67"/>
      <c r="AJ265" s="67"/>
      <c r="AK265" s="67"/>
      <c r="AL265" s="67"/>
      <c r="AM265" s="67"/>
      <c r="AN265" s="67"/>
      <c r="AO265" s="67"/>
      <c r="AP265" s="67"/>
      <c r="AQ265" s="67"/>
      <c r="AR265" s="67"/>
      <c r="AS265" s="67"/>
      <c r="AT265" s="67"/>
      <c r="AU265" s="67"/>
      <c r="AV265" s="67"/>
      <c r="AW265" s="67"/>
      <c r="AX265" s="67"/>
      <c r="AY265" s="67"/>
      <c r="AZ265" s="67"/>
      <c r="BA265" s="67"/>
      <c r="BB265" s="67"/>
      <c r="BC265" s="67"/>
      <c r="BD265" s="67"/>
      <c r="BE265" s="67"/>
      <c r="BF265" s="67"/>
      <c r="BG265" s="67"/>
      <c r="BH265" s="67"/>
      <c r="BI265" s="67"/>
      <c r="BJ265" s="67"/>
      <c r="BK265" s="67"/>
      <c r="BL265" s="67"/>
      <c r="BM265" s="67"/>
      <c r="BN265" s="67"/>
      <c r="BO265" s="67"/>
      <c r="BP265" s="67"/>
      <c r="BQ265" s="67"/>
      <c r="BR265" s="67"/>
      <c r="BS265" s="67"/>
      <c r="BT265" s="67"/>
      <c r="BU265" s="67"/>
      <c r="BV265" s="67"/>
      <c r="BW265" s="67"/>
      <c r="BX265" s="67"/>
      <c r="BY265" s="67"/>
      <c r="BZ265" s="67"/>
      <c r="CA265" s="67"/>
      <c r="CB265" s="67"/>
      <c r="CC265" s="67"/>
      <c r="CD265" s="67"/>
      <c r="CE265" s="67"/>
      <c r="CF265" s="67"/>
      <c r="CG265" s="67"/>
      <c r="CH265" s="67"/>
      <c r="CI265" s="67"/>
      <c r="CJ265" s="67"/>
      <c r="CK265" s="67"/>
      <c r="CL265" s="67"/>
      <c r="CM265" s="67"/>
      <c r="CN265" s="67"/>
      <c r="CO265" s="67"/>
      <c r="CP265" s="67"/>
      <c r="CQ265" s="67"/>
      <c r="CR265" s="67"/>
      <c r="CS265" s="67"/>
      <c r="CT265" s="67"/>
      <c r="CU265" s="67"/>
      <c r="CV265" s="67"/>
      <c r="CW265" s="67"/>
      <c r="CX265" s="67"/>
      <c r="CY265" s="67"/>
      <c r="CZ265" s="67"/>
      <c r="DA265" s="67"/>
      <c r="DB265" s="67"/>
      <c r="DC265" s="67"/>
      <c r="DD265" s="67"/>
      <c r="DE265" s="67"/>
      <c r="DF265" s="67"/>
      <c r="DG265" s="67"/>
      <c r="DH265" s="67"/>
      <c r="DI265" s="67"/>
      <c r="DJ265" s="67"/>
    </row>
    <row r="266" spans="1:114" x14ac:dyDescent="0.25">
      <c r="A266" s="378">
        <v>15</v>
      </c>
      <c r="B266" s="329" t="s">
        <v>1014</v>
      </c>
      <c r="C266" s="330">
        <v>2500</v>
      </c>
      <c r="D266" s="331"/>
      <c r="E266" s="376"/>
      <c r="F266" s="333"/>
      <c r="G266" s="334"/>
      <c r="H266" s="316"/>
      <c r="I266" s="334"/>
      <c r="J266" s="334"/>
      <c r="K266" s="335"/>
      <c r="L266" s="297"/>
      <c r="M266" s="297"/>
      <c r="N266" s="314">
        <f t="shared" ref="N266" si="57">SUM(O266:DK266)</f>
        <v>22666</v>
      </c>
      <c r="O266" s="310">
        <v>3974</v>
      </c>
      <c r="P266" s="315">
        <v>3056</v>
      </c>
      <c r="Q266" s="315">
        <v>1636</v>
      </c>
      <c r="R266" s="315">
        <v>4000</v>
      </c>
      <c r="S266" s="315">
        <v>4000</v>
      </c>
      <c r="T266" s="55">
        <v>4000</v>
      </c>
      <c r="U266" s="55">
        <v>2000</v>
      </c>
      <c r="V266" s="55"/>
      <c r="W266" s="55"/>
      <c r="X266" s="55"/>
      <c r="Y266" s="55"/>
      <c r="Z266" s="55"/>
      <c r="AA266" s="55"/>
      <c r="AB266" s="55"/>
      <c r="AC266" s="55"/>
      <c r="AD266" s="55"/>
      <c r="AE266" s="55"/>
      <c r="AF266" s="55"/>
      <c r="AG266" s="55"/>
      <c r="AH266" s="55"/>
      <c r="AI266" s="55"/>
      <c r="AJ266" s="55"/>
      <c r="AK266" s="55"/>
      <c r="AL266" s="55"/>
      <c r="AM266" s="55"/>
      <c r="AN266" s="55"/>
      <c r="AO266" s="55"/>
      <c r="AP266" s="55"/>
      <c r="AQ266" s="55"/>
      <c r="AR266" s="55"/>
      <c r="AS266" s="55"/>
      <c r="AT266" s="55"/>
      <c r="AU266" s="55"/>
      <c r="AV266" s="55"/>
      <c r="AW266" s="55"/>
      <c r="AX266" s="55"/>
      <c r="AY266" s="55"/>
      <c r="AZ266" s="55"/>
      <c r="BA266" s="55"/>
      <c r="BB266" s="55"/>
      <c r="BC266" s="55"/>
      <c r="BD266" s="55"/>
      <c r="BE266" s="55"/>
      <c r="BF266" s="55"/>
      <c r="BG266" s="55"/>
      <c r="BH266" s="55"/>
      <c r="BI266" s="55"/>
      <c r="BJ266" s="55"/>
      <c r="BK266" s="55"/>
      <c r="BL266" s="55"/>
      <c r="BM266" s="55"/>
      <c r="BN266" s="55"/>
      <c r="BO266" s="55"/>
      <c r="BP266" s="55"/>
      <c r="BQ266" s="55"/>
      <c r="BR266" s="55"/>
      <c r="BS266" s="55"/>
      <c r="BT266" s="55"/>
      <c r="BU266" s="55"/>
      <c r="BV266" s="55"/>
      <c r="BW266" s="55"/>
      <c r="BX266" s="55"/>
      <c r="BY266" s="55"/>
      <c r="BZ266" s="55"/>
      <c r="CA266" s="55"/>
      <c r="CB266" s="55"/>
      <c r="CC266" s="55"/>
      <c r="CD266" s="55"/>
      <c r="CE266" s="55"/>
      <c r="CF266" s="55"/>
      <c r="CG266" s="55"/>
      <c r="CH266" s="55"/>
      <c r="CI266" s="55"/>
      <c r="CJ266" s="55"/>
      <c r="CK266" s="55"/>
      <c r="CL266" s="55"/>
      <c r="CM266" s="55"/>
      <c r="CN266" s="55"/>
      <c r="CO266" s="55"/>
      <c r="CP266" s="55"/>
      <c r="CQ266" s="55"/>
      <c r="CR266" s="55"/>
      <c r="CS266" s="55"/>
      <c r="CT266" s="55"/>
      <c r="CU266" s="55"/>
      <c r="CV266" s="55"/>
      <c r="CW266" s="55"/>
      <c r="CX266" s="55"/>
      <c r="CY266" s="55"/>
      <c r="CZ266" s="55"/>
      <c r="DA266" s="55"/>
      <c r="DB266" s="55"/>
      <c r="DC266" s="55"/>
      <c r="DD266" s="55"/>
      <c r="DE266" s="55"/>
      <c r="DF266" s="55"/>
      <c r="DG266" s="55"/>
      <c r="DH266" s="55"/>
      <c r="DI266" s="55"/>
      <c r="DJ266" s="55"/>
    </row>
    <row r="267" spans="1:114" x14ac:dyDescent="0.25">
      <c r="A267" s="339"/>
      <c r="B267" s="340"/>
      <c r="C267" s="341"/>
      <c r="D267" s="342"/>
      <c r="E267" s="344"/>
      <c r="F267" s="350"/>
      <c r="G267" s="345"/>
      <c r="H267" s="346"/>
      <c r="I267" s="345"/>
      <c r="J267" s="345"/>
      <c r="K267" s="347"/>
      <c r="L267" s="297"/>
      <c r="M267" s="297"/>
      <c r="N267" s="348"/>
      <c r="O267" s="310" t="s">
        <v>1010</v>
      </c>
      <c r="P267" s="349" t="s">
        <v>1022</v>
      </c>
      <c r="Q267" s="349" t="s">
        <v>967</v>
      </c>
      <c r="R267" s="349" t="s">
        <v>1020</v>
      </c>
      <c r="S267" s="349" t="s">
        <v>1011</v>
      </c>
      <c r="T267" s="346"/>
      <c r="U267" s="346"/>
      <c r="V267" s="346"/>
      <c r="W267" s="346"/>
      <c r="X267" s="346"/>
      <c r="Y267" s="346"/>
      <c r="Z267" s="346"/>
      <c r="AA267" s="346"/>
      <c r="AB267" s="346"/>
      <c r="AC267" s="346"/>
      <c r="AD267" s="346"/>
      <c r="AE267" s="346"/>
      <c r="AF267" s="346"/>
      <c r="AG267" s="346"/>
      <c r="AH267" s="346"/>
      <c r="AI267" s="346"/>
      <c r="AJ267" s="346"/>
      <c r="AK267" s="346"/>
      <c r="AL267" s="346"/>
      <c r="AM267" s="346"/>
      <c r="AN267" s="346"/>
      <c r="AO267" s="346"/>
      <c r="AP267" s="346"/>
      <c r="AQ267" s="346"/>
      <c r="AR267" s="346"/>
      <c r="AS267" s="346"/>
      <c r="AT267" s="346"/>
      <c r="AU267" s="346"/>
      <c r="AV267" s="346"/>
      <c r="AW267" s="346"/>
      <c r="AX267" s="346"/>
      <c r="AY267" s="346"/>
      <c r="AZ267" s="346"/>
      <c r="BA267" s="346"/>
      <c r="BB267" s="346"/>
      <c r="BC267" s="346"/>
      <c r="BD267" s="346"/>
      <c r="BE267" s="346"/>
      <c r="BF267" s="346"/>
      <c r="BG267" s="346"/>
      <c r="BH267" s="346"/>
      <c r="BI267" s="346"/>
      <c r="BJ267" s="346"/>
      <c r="BK267" s="346"/>
      <c r="BL267" s="346"/>
      <c r="BM267" s="346"/>
      <c r="BN267" s="346"/>
      <c r="BO267" s="346"/>
      <c r="BP267" s="346"/>
      <c r="BQ267" s="346"/>
      <c r="BR267" s="346"/>
      <c r="BS267" s="346"/>
      <c r="BT267" s="346"/>
      <c r="BU267" s="346"/>
      <c r="BV267" s="346"/>
      <c r="BW267" s="346"/>
      <c r="BX267" s="346"/>
      <c r="BY267" s="346"/>
      <c r="BZ267" s="346"/>
      <c r="CA267" s="346"/>
      <c r="CB267" s="346"/>
      <c r="CC267" s="346"/>
      <c r="CD267" s="346"/>
      <c r="CE267" s="346"/>
      <c r="CF267" s="346"/>
      <c r="CG267" s="346"/>
      <c r="CH267" s="346"/>
      <c r="CI267" s="346"/>
      <c r="CJ267" s="346"/>
      <c r="CK267" s="346"/>
      <c r="CL267" s="346"/>
      <c r="CM267" s="346"/>
      <c r="CN267" s="346"/>
      <c r="CO267" s="346"/>
      <c r="CP267" s="346"/>
      <c r="CQ267" s="346"/>
      <c r="CR267" s="346"/>
      <c r="CS267" s="346"/>
      <c r="CT267" s="346"/>
      <c r="CU267" s="346"/>
      <c r="CV267" s="346"/>
      <c r="CW267" s="346"/>
      <c r="CX267" s="346"/>
      <c r="CY267" s="346"/>
      <c r="CZ267" s="346"/>
      <c r="DA267" s="346"/>
      <c r="DB267" s="346"/>
      <c r="DC267" s="346"/>
      <c r="DD267" s="346"/>
      <c r="DE267" s="346"/>
      <c r="DF267" s="346"/>
      <c r="DG267" s="346"/>
      <c r="DH267" s="346"/>
      <c r="DI267" s="346"/>
      <c r="DJ267" s="346"/>
    </row>
    <row r="268" spans="1:114" x14ac:dyDescent="0.25">
      <c r="A268" s="379">
        <v>16</v>
      </c>
      <c r="B268" s="79" t="s">
        <v>1021</v>
      </c>
      <c r="C268" s="80">
        <v>1000</v>
      </c>
      <c r="D268" s="81">
        <v>182.09</v>
      </c>
      <c r="E268" s="43">
        <v>0</v>
      </c>
      <c r="F268" s="60"/>
      <c r="G268" s="56">
        <f t="shared" ref="G268" si="58">+E268+F268</f>
        <v>0</v>
      </c>
      <c r="H268" s="55">
        <f>3200-3200</f>
        <v>0</v>
      </c>
      <c r="I268" s="56">
        <f t="shared" ref="I268" si="59">+G268-H268</f>
        <v>0</v>
      </c>
      <c r="J268" s="56">
        <f t="shared" ref="J268" si="60">I268*C268</f>
        <v>0</v>
      </c>
      <c r="K268" s="57">
        <f t="shared" ref="K268" si="61">+D268*I268</f>
        <v>0</v>
      </c>
      <c r="L268" s="297"/>
      <c r="M268" s="297"/>
      <c r="N268" s="314">
        <f t="shared" ref="N268" si="62">SUM(O268:DK268)</f>
        <v>1546</v>
      </c>
      <c r="O268" s="310">
        <v>294</v>
      </c>
      <c r="P268" s="315">
        <v>367</v>
      </c>
      <c r="Q268" s="315">
        <v>290</v>
      </c>
      <c r="R268" s="315">
        <v>300</v>
      </c>
      <c r="S268" s="315">
        <v>295</v>
      </c>
      <c r="T268" s="55"/>
      <c r="U268" s="55"/>
      <c r="V268" s="55"/>
      <c r="W268" s="55"/>
      <c r="X268" s="55"/>
      <c r="Y268" s="55"/>
      <c r="Z268" s="55"/>
      <c r="AA268" s="55"/>
      <c r="AB268" s="55"/>
      <c r="AC268" s="55"/>
      <c r="AD268" s="55"/>
      <c r="AE268" s="55"/>
      <c r="AF268" s="55"/>
      <c r="AG268" s="55"/>
      <c r="AH268" s="55"/>
      <c r="AI268" s="55"/>
      <c r="AJ268" s="55"/>
      <c r="AK268" s="55"/>
      <c r="AL268" s="55"/>
      <c r="AM268" s="55"/>
      <c r="AN268" s="55"/>
      <c r="AO268" s="55"/>
      <c r="AP268" s="55"/>
      <c r="AQ268" s="55"/>
      <c r="AR268" s="55"/>
      <c r="AS268" s="55"/>
      <c r="AT268" s="55"/>
      <c r="AU268" s="55"/>
      <c r="AV268" s="55"/>
      <c r="AW268" s="55"/>
      <c r="AX268" s="55"/>
      <c r="AY268" s="55"/>
      <c r="AZ268" s="55"/>
      <c r="BA268" s="55"/>
      <c r="BB268" s="55"/>
      <c r="BC268" s="55"/>
      <c r="BD268" s="55"/>
      <c r="BE268" s="55"/>
      <c r="BF268" s="55"/>
      <c r="BG268" s="55"/>
      <c r="BH268" s="55"/>
      <c r="BI268" s="55"/>
      <c r="BJ268" s="55"/>
      <c r="BK268" s="55"/>
      <c r="BL268" s="55"/>
      <c r="BM268" s="55"/>
      <c r="BN268" s="55"/>
      <c r="BO268" s="55"/>
      <c r="BP268" s="55"/>
      <c r="BQ268" s="55"/>
      <c r="BR268" s="55"/>
      <c r="BS268" s="55"/>
      <c r="BT268" s="55"/>
      <c r="BU268" s="55"/>
      <c r="BV268" s="55"/>
      <c r="BW268" s="55"/>
      <c r="BX268" s="55"/>
      <c r="BY268" s="55"/>
      <c r="BZ268" s="55"/>
      <c r="CA268" s="55"/>
      <c r="CB268" s="55"/>
      <c r="CC268" s="55"/>
      <c r="CD268" s="55"/>
      <c r="CE268" s="55"/>
      <c r="CF268" s="55"/>
      <c r="CG268" s="55"/>
      <c r="CH268" s="55"/>
      <c r="CI268" s="55"/>
      <c r="CJ268" s="55"/>
      <c r="CK268" s="55"/>
      <c r="CL268" s="55"/>
      <c r="CM268" s="55"/>
      <c r="CN268" s="55"/>
      <c r="CO268" s="55"/>
      <c r="CP268" s="55"/>
      <c r="CQ268" s="55"/>
      <c r="CR268" s="55"/>
      <c r="CS268" s="55"/>
      <c r="CT268" s="55"/>
      <c r="CU268" s="55"/>
      <c r="CV268" s="55"/>
      <c r="CW268" s="55"/>
      <c r="CX268" s="55"/>
      <c r="CY268" s="55"/>
      <c r="CZ268" s="55"/>
      <c r="DA268" s="55"/>
      <c r="DB268" s="55"/>
      <c r="DC268" s="55"/>
      <c r="DD268" s="55"/>
      <c r="DE268" s="55"/>
      <c r="DF268" s="55"/>
      <c r="DG268" s="55"/>
      <c r="DH268" s="55"/>
      <c r="DI268" s="55"/>
      <c r="DJ268" s="55"/>
    </row>
    <row r="269" spans="1:114" x14ac:dyDescent="0.25">
      <c r="A269" s="339"/>
      <c r="B269" s="340"/>
      <c r="C269" s="341"/>
      <c r="D269" s="342"/>
      <c r="E269" s="344"/>
      <c r="F269" s="350"/>
      <c r="G269" s="345"/>
      <c r="H269" s="346"/>
      <c r="I269" s="345"/>
      <c r="J269" s="345"/>
      <c r="K269" s="347"/>
      <c r="L269" s="297"/>
      <c r="M269" s="297"/>
      <c r="N269" s="348"/>
      <c r="O269" s="310" t="s">
        <v>1023</v>
      </c>
      <c r="P269" s="349" t="s">
        <v>1020</v>
      </c>
      <c r="Q269" s="349" t="s">
        <v>967</v>
      </c>
      <c r="R269" s="349" t="s">
        <v>1011</v>
      </c>
      <c r="S269" s="349" t="s">
        <v>1010</v>
      </c>
      <c r="T269" s="346"/>
      <c r="U269" s="346"/>
      <c r="V269" s="346"/>
      <c r="W269" s="346"/>
      <c r="X269" s="346"/>
      <c r="Y269" s="346"/>
      <c r="Z269" s="346"/>
      <c r="AA269" s="346"/>
      <c r="AB269" s="346"/>
      <c r="AC269" s="346"/>
      <c r="AD269" s="346"/>
      <c r="AE269" s="346"/>
      <c r="AF269" s="346"/>
      <c r="AG269" s="346"/>
      <c r="AH269" s="346"/>
      <c r="AI269" s="346"/>
      <c r="AJ269" s="346"/>
      <c r="AK269" s="346"/>
      <c r="AL269" s="346"/>
      <c r="AM269" s="346"/>
      <c r="AN269" s="346"/>
      <c r="AO269" s="346"/>
      <c r="AP269" s="346"/>
      <c r="AQ269" s="346"/>
      <c r="AR269" s="346"/>
      <c r="AS269" s="346"/>
      <c r="AT269" s="346"/>
      <c r="AU269" s="346"/>
      <c r="AV269" s="346"/>
      <c r="AW269" s="346"/>
      <c r="AX269" s="346"/>
      <c r="AY269" s="346"/>
      <c r="AZ269" s="346"/>
      <c r="BA269" s="346"/>
      <c r="BB269" s="346"/>
      <c r="BC269" s="346"/>
      <c r="BD269" s="346"/>
      <c r="BE269" s="346"/>
      <c r="BF269" s="346"/>
      <c r="BG269" s="346"/>
      <c r="BH269" s="346"/>
      <c r="BI269" s="346"/>
      <c r="BJ269" s="346"/>
      <c r="BK269" s="346"/>
      <c r="BL269" s="346"/>
      <c r="BM269" s="346"/>
      <c r="BN269" s="346"/>
      <c r="BO269" s="346"/>
      <c r="BP269" s="346"/>
      <c r="BQ269" s="346"/>
      <c r="BR269" s="346"/>
      <c r="BS269" s="346"/>
      <c r="BT269" s="346"/>
      <c r="BU269" s="346"/>
      <c r="BV269" s="346"/>
      <c r="BW269" s="346"/>
      <c r="BX269" s="346"/>
      <c r="BY269" s="346"/>
      <c r="BZ269" s="346"/>
      <c r="CA269" s="346"/>
      <c r="CB269" s="346"/>
      <c r="CC269" s="346"/>
      <c r="CD269" s="346"/>
      <c r="CE269" s="346"/>
      <c r="CF269" s="346"/>
      <c r="CG269" s="346"/>
      <c r="CH269" s="346"/>
      <c r="CI269" s="346"/>
      <c r="CJ269" s="346"/>
      <c r="CK269" s="346"/>
      <c r="CL269" s="346"/>
      <c r="CM269" s="346"/>
      <c r="CN269" s="346"/>
      <c r="CO269" s="346"/>
      <c r="CP269" s="346"/>
      <c r="CQ269" s="346"/>
      <c r="CR269" s="346"/>
      <c r="CS269" s="346"/>
      <c r="CT269" s="346"/>
      <c r="CU269" s="346"/>
      <c r="CV269" s="346"/>
      <c r="CW269" s="346"/>
      <c r="CX269" s="346"/>
      <c r="CY269" s="346"/>
      <c r="CZ269" s="346"/>
      <c r="DA269" s="346"/>
      <c r="DB269" s="346"/>
      <c r="DC269" s="346"/>
      <c r="DD269" s="346"/>
      <c r="DE269" s="346"/>
      <c r="DF269" s="346"/>
      <c r="DG269" s="346"/>
      <c r="DH269" s="346"/>
      <c r="DI269" s="346"/>
      <c r="DJ269" s="346"/>
    </row>
    <row r="270" spans="1:114" x14ac:dyDescent="0.25">
      <c r="A270" s="379">
        <v>17</v>
      </c>
      <c r="B270" s="79" t="s">
        <v>1021</v>
      </c>
      <c r="C270" s="80">
        <v>1500</v>
      </c>
      <c r="D270" s="81">
        <v>182.09</v>
      </c>
      <c r="E270" s="43">
        <v>0</v>
      </c>
      <c r="F270" s="60"/>
      <c r="G270" s="56">
        <f t="shared" ref="G270" si="63">+E270+F270</f>
        <v>0</v>
      </c>
      <c r="H270" s="55">
        <f>3200-3200</f>
        <v>0</v>
      </c>
      <c r="I270" s="56">
        <f t="shared" ref="I270" si="64">+G270-H270</f>
        <v>0</v>
      </c>
      <c r="J270" s="56">
        <f t="shared" ref="J270" si="65">I270*C270</f>
        <v>0</v>
      </c>
      <c r="K270" s="57">
        <f t="shared" ref="K270" si="66">+D270*I270</f>
        <v>0</v>
      </c>
      <c r="L270" s="297"/>
      <c r="M270" s="297"/>
      <c r="N270" s="314">
        <f t="shared" ref="N270" si="67">SUM(O270:DK270)</f>
        <v>1576</v>
      </c>
      <c r="O270" s="310">
        <v>447</v>
      </c>
      <c r="P270" s="315">
        <v>300</v>
      </c>
      <c r="Q270" s="315">
        <v>290</v>
      </c>
      <c r="R270" s="315">
        <v>240</v>
      </c>
      <c r="S270" s="315">
        <v>299</v>
      </c>
      <c r="T270" s="55"/>
      <c r="U270" s="55"/>
      <c r="V270" s="55"/>
      <c r="W270" s="55"/>
      <c r="X270" s="55"/>
      <c r="Y270" s="55"/>
      <c r="Z270" s="55"/>
      <c r="AA270" s="55"/>
      <c r="AB270" s="55"/>
      <c r="AC270" s="55"/>
      <c r="AD270" s="55"/>
      <c r="AE270" s="55"/>
      <c r="AF270" s="55"/>
      <c r="AG270" s="55"/>
      <c r="AH270" s="55"/>
      <c r="AI270" s="55"/>
      <c r="AJ270" s="55"/>
      <c r="AK270" s="55"/>
      <c r="AL270" s="55"/>
      <c r="AM270" s="55"/>
      <c r="AN270" s="55"/>
      <c r="AO270" s="55"/>
      <c r="AP270" s="55"/>
      <c r="AQ270" s="55"/>
      <c r="AR270" s="55"/>
      <c r="AS270" s="55"/>
      <c r="AT270" s="55"/>
      <c r="AU270" s="55"/>
      <c r="AV270" s="55"/>
      <c r="AW270" s="55"/>
      <c r="AX270" s="55"/>
      <c r="AY270" s="55"/>
      <c r="AZ270" s="55"/>
      <c r="BA270" s="55"/>
      <c r="BB270" s="55"/>
      <c r="BC270" s="55"/>
      <c r="BD270" s="55"/>
      <c r="BE270" s="55"/>
      <c r="BF270" s="55"/>
      <c r="BG270" s="55"/>
      <c r="BH270" s="55"/>
      <c r="BI270" s="55"/>
      <c r="BJ270" s="55"/>
      <c r="BK270" s="55"/>
      <c r="BL270" s="55"/>
      <c r="BM270" s="55"/>
      <c r="BN270" s="55"/>
      <c r="BO270" s="55"/>
      <c r="BP270" s="55"/>
      <c r="BQ270" s="55"/>
      <c r="BR270" s="55"/>
      <c r="BS270" s="55"/>
      <c r="BT270" s="55"/>
      <c r="BU270" s="55"/>
      <c r="BV270" s="55"/>
      <c r="BW270" s="55"/>
      <c r="BX270" s="55"/>
      <c r="BY270" s="55"/>
      <c r="BZ270" s="55"/>
      <c r="CA270" s="55"/>
      <c r="CB270" s="55"/>
      <c r="CC270" s="55"/>
      <c r="CD270" s="55"/>
      <c r="CE270" s="55"/>
      <c r="CF270" s="55"/>
      <c r="CG270" s="55"/>
      <c r="CH270" s="55"/>
      <c r="CI270" s="55"/>
      <c r="CJ270" s="55"/>
      <c r="CK270" s="55"/>
      <c r="CL270" s="55"/>
      <c r="CM270" s="55"/>
      <c r="CN270" s="55"/>
      <c r="CO270" s="55"/>
      <c r="CP270" s="55"/>
      <c r="CQ270" s="55"/>
      <c r="CR270" s="55"/>
      <c r="CS270" s="55"/>
      <c r="CT270" s="55"/>
      <c r="CU270" s="55"/>
      <c r="CV270" s="55"/>
      <c r="CW270" s="55"/>
      <c r="CX270" s="55"/>
      <c r="CY270" s="55"/>
      <c r="CZ270" s="55"/>
      <c r="DA270" s="55"/>
      <c r="DB270" s="55"/>
      <c r="DC270" s="55"/>
      <c r="DD270" s="55"/>
      <c r="DE270" s="55"/>
      <c r="DF270" s="55"/>
      <c r="DG270" s="55"/>
      <c r="DH270" s="55"/>
      <c r="DI270" s="55"/>
      <c r="DJ270" s="55"/>
    </row>
    <row r="271" spans="1:114" x14ac:dyDescent="0.25">
      <c r="A271" s="339"/>
      <c r="B271" s="340"/>
      <c r="C271" s="341"/>
      <c r="D271" s="342"/>
      <c r="E271" s="344"/>
      <c r="F271" s="350"/>
      <c r="G271" s="345"/>
      <c r="H271" s="346"/>
      <c r="I271" s="345"/>
      <c r="J271" s="345"/>
      <c r="K271" s="347"/>
      <c r="L271" s="297"/>
      <c r="M271" s="297"/>
      <c r="N271" s="348"/>
      <c r="O271" s="310" t="s">
        <v>1023</v>
      </c>
      <c r="P271" s="349" t="s">
        <v>967</v>
      </c>
      <c r="Q271" s="349" t="s">
        <v>1020</v>
      </c>
      <c r="R271" s="349" t="s">
        <v>1011</v>
      </c>
      <c r="S271" s="349" t="s">
        <v>1010</v>
      </c>
      <c r="T271" s="346"/>
      <c r="U271" s="346"/>
      <c r="V271" s="346"/>
      <c r="W271" s="346"/>
      <c r="X271" s="346"/>
      <c r="Y271" s="346"/>
      <c r="Z271" s="346"/>
      <c r="AA271" s="346"/>
      <c r="AB271" s="346"/>
      <c r="AC271" s="346"/>
      <c r="AD271" s="346"/>
      <c r="AE271" s="346"/>
      <c r="AF271" s="346"/>
      <c r="AG271" s="346"/>
      <c r="AH271" s="346"/>
      <c r="AI271" s="346"/>
      <c r="AJ271" s="346"/>
      <c r="AK271" s="346"/>
      <c r="AL271" s="346"/>
      <c r="AM271" s="346"/>
      <c r="AN271" s="346"/>
      <c r="AO271" s="346"/>
      <c r="AP271" s="346"/>
      <c r="AQ271" s="346"/>
      <c r="AR271" s="346"/>
      <c r="AS271" s="346"/>
      <c r="AT271" s="346"/>
      <c r="AU271" s="346"/>
      <c r="AV271" s="346"/>
      <c r="AW271" s="346"/>
      <c r="AX271" s="346"/>
      <c r="AY271" s="346"/>
      <c r="AZ271" s="346"/>
      <c r="BA271" s="346"/>
      <c r="BB271" s="346"/>
      <c r="BC271" s="346"/>
      <c r="BD271" s="346"/>
      <c r="BE271" s="346"/>
      <c r="BF271" s="346"/>
      <c r="BG271" s="346"/>
      <c r="BH271" s="346"/>
      <c r="BI271" s="346"/>
      <c r="BJ271" s="346"/>
      <c r="BK271" s="346"/>
      <c r="BL271" s="346"/>
      <c r="BM271" s="346"/>
      <c r="BN271" s="346"/>
      <c r="BO271" s="346"/>
      <c r="BP271" s="346"/>
      <c r="BQ271" s="346"/>
      <c r="BR271" s="346"/>
      <c r="BS271" s="346"/>
      <c r="BT271" s="346"/>
      <c r="BU271" s="346"/>
      <c r="BV271" s="346"/>
      <c r="BW271" s="346"/>
      <c r="BX271" s="346"/>
      <c r="BY271" s="346"/>
      <c r="BZ271" s="346"/>
      <c r="CA271" s="346"/>
      <c r="CB271" s="346"/>
      <c r="CC271" s="346"/>
      <c r="CD271" s="346"/>
      <c r="CE271" s="346"/>
      <c r="CF271" s="346"/>
      <c r="CG271" s="346"/>
      <c r="CH271" s="346"/>
      <c r="CI271" s="346"/>
      <c r="CJ271" s="346"/>
      <c r="CK271" s="346"/>
      <c r="CL271" s="346"/>
      <c r="CM271" s="346"/>
      <c r="CN271" s="346"/>
      <c r="CO271" s="346"/>
      <c r="CP271" s="346"/>
      <c r="CQ271" s="346"/>
      <c r="CR271" s="346"/>
      <c r="CS271" s="346"/>
      <c r="CT271" s="346"/>
      <c r="CU271" s="346"/>
      <c r="CV271" s="346"/>
      <c r="CW271" s="346"/>
      <c r="CX271" s="346"/>
      <c r="CY271" s="346"/>
      <c r="CZ271" s="346"/>
      <c r="DA271" s="346"/>
      <c r="DB271" s="346"/>
      <c r="DC271" s="346"/>
      <c r="DD271" s="346"/>
      <c r="DE271" s="346"/>
      <c r="DF271" s="346"/>
      <c r="DG271" s="346"/>
      <c r="DH271" s="346"/>
      <c r="DI271" s="346"/>
      <c r="DJ271" s="346"/>
    </row>
    <row r="272" spans="1:114" x14ac:dyDescent="0.25">
      <c r="A272" s="379">
        <v>18</v>
      </c>
      <c r="B272" s="79" t="s">
        <v>1021</v>
      </c>
      <c r="C272" s="80">
        <v>2000</v>
      </c>
      <c r="D272" s="81">
        <v>182.09</v>
      </c>
      <c r="E272" s="43">
        <v>0</v>
      </c>
      <c r="F272" s="60"/>
      <c r="G272" s="56">
        <f t="shared" ref="G272" si="68">+E272+F272</f>
        <v>0</v>
      </c>
      <c r="H272" s="55">
        <f>3200-3200</f>
        <v>0</v>
      </c>
      <c r="I272" s="56">
        <f t="shared" ref="I272" si="69">+G272-H272</f>
        <v>0</v>
      </c>
      <c r="J272" s="56">
        <f t="shared" ref="J272" si="70">I272*C272</f>
        <v>0</v>
      </c>
      <c r="K272" s="57">
        <f t="shared" ref="K272" si="71">+D272*I272</f>
        <v>0</v>
      </c>
      <c r="L272" s="297"/>
      <c r="M272" s="297"/>
      <c r="N272" s="314">
        <f t="shared" ref="N272" si="72">SUM(O272:DK272)</f>
        <v>1487</v>
      </c>
      <c r="O272" s="310">
        <v>447</v>
      </c>
      <c r="P272" s="315">
        <v>150</v>
      </c>
      <c r="Q272" s="315">
        <v>300</v>
      </c>
      <c r="R272" s="315">
        <v>290</v>
      </c>
      <c r="S272" s="315">
        <v>300</v>
      </c>
      <c r="T272" s="55"/>
      <c r="U272" s="55"/>
      <c r="V272" s="55"/>
      <c r="W272" s="55"/>
      <c r="X272" s="55"/>
      <c r="Y272" s="55"/>
      <c r="Z272" s="55"/>
      <c r="AA272" s="55"/>
      <c r="AB272" s="55"/>
      <c r="AC272" s="55"/>
      <c r="AD272" s="55"/>
      <c r="AE272" s="55"/>
      <c r="AF272" s="55"/>
      <c r="AG272" s="55"/>
      <c r="AH272" s="55"/>
      <c r="AI272" s="55"/>
      <c r="AJ272" s="55"/>
      <c r="AK272" s="55"/>
      <c r="AL272" s="55"/>
      <c r="AM272" s="55"/>
      <c r="AN272" s="55"/>
      <c r="AO272" s="55"/>
      <c r="AP272" s="55"/>
      <c r="AQ272" s="55"/>
      <c r="AR272" s="55"/>
      <c r="AS272" s="55"/>
      <c r="AT272" s="55"/>
      <c r="AU272" s="55"/>
      <c r="AV272" s="55"/>
      <c r="AW272" s="55"/>
      <c r="AX272" s="55"/>
      <c r="AY272" s="55"/>
      <c r="AZ272" s="55"/>
      <c r="BA272" s="55"/>
      <c r="BB272" s="55"/>
      <c r="BC272" s="55"/>
      <c r="BD272" s="55"/>
      <c r="BE272" s="55"/>
      <c r="BF272" s="55"/>
      <c r="BG272" s="55"/>
      <c r="BH272" s="55"/>
      <c r="BI272" s="55"/>
      <c r="BJ272" s="55"/>
      <c r="BK272" s="55"/>
      <c r="BL272" s="55"/>
      <c r="BM272" s="55"/>
      <c r="BN272" s="55"/>
      <c r="BO272" s="55"/>
      <c r="BP272" s="55"/>
      <c r="BQ272" s="55"/>
      <c r="BR272" s="55"/>
      <c r="BS272" s="55"/>
      <c r="BT272" s="55"/>
      <c r="BU272" s="55"/>
      <c r="BV272" s="55"/>
      <c r="BW272" s="55"/>
      <c r="BX272" s="55"/>
      <c r="BY272" s="55"/>
      <c r="BZ272" s="55"/>
      <c r="CA272" s="55"/>
      <c r="CB272" s="55"/>
      <c r="CC272" s="55"/>
      <c r="CD272" s="55"/>
      <c r="CE272" s="55"/>
      <c r="CF272" s="55"/>
      <c r="CG272" s="55"/>
      <c r="CH272" s="55"/>
      <c r="CI272" s="55"/>
      <c r="CJ272" s="55"/>
      <c r="CK272" s="55"/>
      <c r="CL272" s="55"/>
      <c r="CM272" s="55"/>
      <c r="CN272" s="55"/>
      <c r="CO272" s="55"/>
      <c r="CP272" s="55"/>
      <c r="CQ272" s="55"/>
      <c r="CR272" s="55"/>
      <c r="CS272" s="55"/>
      <c r="CT272" s="55"/>
      <c r="CU272" s="55"/>
      <c r="CV272" s="55"/>
      <c r="CW272" s="55"/>
      <c r="CX272" s="55"/>
      <c r="CY272" s="55"/>
      <c r="CZ272" s="55"/>
      <c r="DA272" s="55"/>
      <c r="DB272" s="55"/>
      <c r="DC272" s="55"/>
      <c r="DD272" s="55"/>
      <c r="DE272" s="55"/>
      <c r="DF272" s="55"/>
      <c r="DG272" s="55"/>
      <c r="DH272" s="55"/>
      <c r="DI272" s="55"/>
      <c r="DJ272" s="55"/>
    </row>
    <row r="273" spans="1:114" x14ac:dyDescent="0.25">
      <c r="A273" s="339"/>
      <c r="B273" s="340"/>
      <c r="C273" s="341"/>
      <c r="D273" s="342"/>
      <c r="E273" s="344"/>
      <c r="F273" s="350"/>
      <c r="G273" s="345"/>
      <c r="H273" s="346"/>
      <c r="I273" s="345"/>
      <c r="J273" s="345"/>
      <c r="K273" s="347"/>
      <c r="L273" s="297"/>
      <c r="M273" s="297"/>
      <c r="N273" s="348"/>
      <c r="O273" s="310" t="s">
        <v>1020</v>
      </c>
      <c r="P273" s="349" t="s">
        <v>1022</v>
      </c>
      <c r="Q273" s="349" t="s">
        <v>967</v>
      </c>
      <c r="R273" s="349" t="s">
        <v>1011</v>
      </c>
      <c r="S273" s="349" t="s">
        <v>1010</v>
      </c>
      <c r="T273" s="346"/>
      <c r="U273" s="346"/>
      <c r="V273" s="346"/>
      <c r="W273" s="346"/>
      <c r="X273" s="346"/>
      <c r="Y273" s="346"/>
      <c r="Z273" s="346"/>
      <c r="AA273" s="346"/>
      <c r="AB273" s="346"/>
      <c r="AC273" s="346"/>
      <c r="AD273" s="346"/>
      <c r="AE273" s="346"/>
      <c r="AF273" s="346"/>
      <c r="AG273" s="346"/>
      <c r="AH273" s="346"/>
      <c r="AI273" s="346"/>
      <c r="AJ273" s="346"/>
      <c r="AK273" s="346"/>
      <c r="AL273" s="346"/>
      <c r="AM273" s="346"/>
      <c r="AN273" s="346"/>
      <c r="AO273" s="346"/>
      <c r="AP273" s="346"/>
      <c r="AQ273" s="346"/>
      <c r="AR273" s="346"/>
      <c r="AS273" s="346"/>
      <c r="AT273" s="346"/>
      <c r="AU273" s="346"/>
      <c r="AV273" s="346"/>
      <c r="AW273" s="346"/>
      <c r="AX273" s="346"/>
      <c r="AY273" s="346"/>
      <c r="AZ273" s="346"/>
      <c r="BA273" s="346"/>
      <c r="BB273" s="346"/>
      <c r="BC273" s="346"/>
      <c r="BD273" s="346"/>
      <c r="BE273" s="346"/>
      <c r="BF273" s="346"/>
      <c r="BG273" s="346"/>
      <c r="BH273" s="346"/>
      <c r="BI273" s="346"/>
      <c r="BJ273" s="346"/>
      <c r="BK273" s="346"/>
      <c r="BL273" s="346"/>
      <c r="BM273" s="346"/>
      <c r="BN273" s="346"/>
      <c r="BO273" s="346"/>
      <c r="BP273" s="346"/>
      <c r="BQ273" s="346"/>
      <c r="BR273" s="346"/>
      <c r="BS273" s="346"/>
      <c r="BT273" s="346"/>
      <c r="BU273" s="346"/>
      <c r="BV273" s="346"/>
      <c r="BW273" s="346"/>
      <c r="BX273" s="346"/>
      <c r="BY273" s="346"/>
      <c r="BZ273" s="346"/>
      <c r="CA273" s="346"/>
      <c r="CB273" s="346"/>
      <c r="CC273" s="346"/>
      <c r="CD273" s="346"/>
      <c r="CE273" s="346"/>
      <c r="CF273" s="346"/>
      <c r="CG273" s="346"/>
      <c r="CH273" s="346"/>
      <c r="CI273" s="346"/>
      <c r="CJ273" s="346"/>
      <c r="CK273" s="346"/>
      <c r="CL273" s="346"/>
      <c r="CM273" s="346"/>
      <c r="CN273" s="346"/>
      <c r="CO273" s="346"/>
      <c r="CP273" s="346"/>
      <c r="CQ273" s="346"/>
      <c r="CR273" s="346"/>
      <c r="CS273" s="346"/>
      <c r="CT273" s="346"/>
      <c r="CU273" s="346"/>
      <c r="CV273" s="346"/>
      <c r="CW273" s="346"/>
      <c r="CX273" s="346"/>
      <c r="CY273" s="346"/>
      <c r="CZ273" s="346"/>
      <c r="DA273" s="346"/>
      <c r="DB273" s="346"/>
      <c r="DC273" s="346"/>
      <c r="DD273" s="346"/>
      <c r="DE273" s="346"/>
      <c r="DF273" s="346"/>
      <c r="DG273" s="346"/>
      <c r="DH273" s="346"/>
      <c r="DI273" s="346"/>
      <c r="DJ273" s="346"/>
    </row>
    <row r="274" spans="1:114" x14ac:dyDescent="0.25">
      <c r="A274" s="379">
        <v>19</v>
      </c>
      <c r="B274" s="79" t="s">
        <v>1021</v>
      </c>
      <c r="C274" s="80">
        <v>2500</v>
      </c>
      <c r="D274" s="81">
        <v>182.09</v>
      </c>
      <c r="E274" s="43">
        <v>0</v>
      </c>
      <c r="F274" s="60"/>
      <c r="G274" s="56">
        <f t="shared" ref="G274" si="73">+E274+F274</f>
        <v>0</v>
      </c>
      <c r="H274" s="55">
        <f>3200-3200</f>
        <v>0</v>
      </c>
      <c r="I274" s="56">
        <f t="shared" ref="I274" si="74">+G274-H274</f>
        <v>0</v>
      </c>
      <c r="J274" s="56">
        <f t="shared" ref="J274" si="75">I274*C274</f>
        <v>0</v>
      </c>
      <c r="K274" s="57">
        <f t="shared" ref="K274" si="76">+D274*I274</f>
        <v>0</v>
      </c>
      <c r="L274" s="297"/>
      <c r="M274" s="297"/>
      <c r="N274" s="314">
        <f t="shared" ref="N274" si="77">SUM(O274:DK274)</f>
        <v>1629</v>
      </c>
      <c r="O274" s="310">
        <v>300</v>
      </c>
      <c r="P274" s="315">
        <v>449</v>
      </c>
      <c r="Q274" s="315">
        <v>290</v>
      </c>
      <c r="R274" s="315">
        <v>290</v>
      </c>
      <c r="S274" s="315">
        <v>300</v>
      </c>
      <c r="T274" s="55"/>
      <c r="U274" s="55"/>
      <c r="V274" s="55"/>
      <c r="W274" s="55"/>
      <c r="X274" s="55"/>
      <c r="Y274" s="55"/>
      <c r="Z274" s="55"/>
      <c r="AA274" s="55"/>
      <c r="AB274" s="55"/>
      <c r="AC274" s="55"/>
      <c r="AD274" s="55"/>
      <c r="AE274" s="55"/>
      <c r="AF274" s="55"/>
      <c r="AG274" s="55"/>
      <c r="AH274" s="55"/>
      <c r="AI274" s="55"/>
      <c r="AJ274" s="55"/>
      <c r="AK274" s="55"/>
      <c r="AL274" s="55"/>
      <c r="AM274" s="55"/>
      <c r="AN274" s="55"/>
      <c r="AO274" s="55"/>
      <c r="AP274" s="55"/>
      <c r="AQ274" s="55"/>
      <c r="AR274" s="55"/>
      <c r="AS274" s="55"/>
      <c r="AT274" s="55"/>
      <c r="AU274" s="55"/>
      <c r="AV274" s="55"/>
      <c r="AW274" s="55"/>
      <c r="AX274" s="55"/>
      <c r="AY274" s="55"/>
      <c r="AZ274" s="55"/>
      <c r="BA274" s="55"/>
      <c r="BB274" s="55"/>
      <c r="BC274" s="55"/>
      <c r="BD274" s="55"/>
      <c r="BE274" s="55"/>
      <c r="BF274" s="55"/>
      <c r="BG274" s="55"/>
      <c r="BH274" s="55"/>
      <c r="BI274" s="55"/>
      <c r="BJ274" s="55"/>
      <c r="BK274" s="55"/>
      <c r="BL274" s="55"/>
      <c r="BM274" s="55"/>
      <c r="BN274" s="55"/>
      <c r="BO274" s="55"/>
      <c r="BP274" s="55"/>
      <c r="BQ274" s="55"/>
      <c r="BR274" s="55"/>
      <c r="BS274" s="55"/>
      <c r="BT274" s="55"/>
      <c r="BU274" s="55"/>
      <c r="BV274" s="55"/>
      <c r="BW274" s="55"/>
      <c r="BX274" s="55"/>
      <c r="BY274" s="55"/>
      <c r="BZ274" s="55"/>
      <c r="CA274" s="55"/>
      <c r="CB274" s="55"/>
      <c r="CC274" s="55"/>
      <c r="CD274" s="55"/>
      <c r="CE274" s="55"/>
      <c r="CF274" s="55"/>
      <c r="CG274" s="55"/>
      <c r="CH274" s="55"/>
      <c r="CI274" s="55"/>
      <c r="CJ274" s="55"/>
      <c r="CK274" s="55"/>
      <c r="CL274" s="55"/>
      <c r="CM274" s="55"/>
      <c r="CN274" s="55"/>
      <c r="CO274" s="55"/>
      <c r="CP274" s="55"/>
      <c r="CQ274" s="55"/>
      <c r="CR274" s="55"/>
      <c r="CS274" s="55"/>
      <c r="CT274" s="55"/>
      <c r="CU274" s="55"/>
      <c r="CV274" s="55"/>
      <c r="CW274" s="55"/>
      <c r="CX274" s="55"/>
      <c r="CY274" s="55"/>
      <c r="CZ274" s="55"/>
      <c r="DA274" s="55"/>
      <c r="DB274" s="55"/>
      <c r="DC274" s="55"/>
      <c r="DD274" s="55"/>
      <c r="DE274" s="55"/>
      <c r="DF274" s="55"/>
      <c r="DG274" s="55"/>
      <c r="DH274" s="55"/>
      <c r="DI274" s="55"/>
      <c r="DJ274" s="55"/>
    </row>
    <row r="275" spans="1:114" x14ac:dyDescent="0.25">
      <c r="A275" s="339"/>
      <c r="B275" s="340"/>
      <c r="C275" s="341"/>
      <c r="D275" s="342"/>
      <c r="E275" s="344"/>
      <c r="F275" s="350"/>
      <c r="G275" s="345"/>
      <c r="H275" s="346"/>
      <c r="I275" s="345"/>
      <c r="J275" s="345"/>
      <c r="K275" s="347"/>
      <c r="L275" s="297"/>
      <c r="M275" s="297"/>
      <c r="N275" s="348"/>
      <c r="O275" s="310" t="s">
        <v>1023</v>
      </c>
      <c r="P275" s="349" t="s">
        <v>967</v>
      </c>
      <c r="Q275" s="349" t="s">
        <v>1010</v>
      </c>
      <c r="R275" s="349" t="s">
        <v>1020</v>
      </c>
      <c r="S275" s="349"/>
      <c r="T275" s="346"/>
      <c r="U275" s="346"/>
      <c r="V275" s="346"/>
      <c r="W275" s="346"/>
      <c r="X275" s="346"/>
      <c r="Y275" s="346"/>
      <c r="Z275" s="346"/>
      <c r="AA275" s="346"/>
      <c r="AB275" s="346"/>
      <c r="AC275" s="346"/>
      <c r="AD275" s="346"/>
      <c r="AE275" s="346"/>
      <c r="AF275" s="346"/>
      <c r="AG275" s="346"/>
      <c r="AH275" s="346"/>
      <c r="AI275" s="346"/>
      <c r="AJ275" s="346"/>
      <c r="AK275" s="346"/>
      <c r="AL275" s="346"/>
      <c r="AM275" s="346"/>
      <c r="AN275" s="346"/>
      <c r="AO275" s="346"/>
      <c r="AP275" s="346"/>
      <c r="AQ275" s="346"/>
      <c r="AR275" s="346"/>
      <c r="AS275" s="346"/>
      <c r="AT275" s="346"/>
      <c r="AU275" s="346"/>
      <c r="AV275" s="346"/>
      <c r="AW275" s="346"/>
      <c r="AX275" s="346"/>
      <c r="AY275" s="346"/>
      <c r="AZ275" s="346"/>
      <c r="BA275" s="346"/>
      <c r="BB275" s="346"/>
      <c r="BC275" s="346"/>
      <c r="BD275" s="346"/>
      <c r="BE275" s="346"/>
      <c r="BF275" s="346"/>
      <c r="BG275" s="346"/>
      <c r="BH275" s="346"/>
      <c r="BI275" s="346"/>
      <c r="BJ275" s="346"/>
      <c r="BK275" s="346"/>
      <c r="BL275" s="346"/>
      <c r="BM275" s="346"/>
      <c r="BN275" s="346"/>
      <c r="BO275" s="346"/>
      <c r="BP275" s="346"/>
      <c r="BQ275" s="346"/>
      <c r="BR275" s="346"/>
      <c r="BS275" s="346"/>
      <c r="BT275" s="346"/>
      <c r="BU275" s="346"/>
      <c r="BV275" s="346"/>
      <c r="BW275" s="346"/>
      <c r="BX275" s="346"/>
      <c r="BY275" s="346"/>
      <c r="BZ275" s="346"/>
      <c r="CA275" s="346"/>
      <c r="CB275" s="346"/>
      <c r="CC275" s="346"/>
      <c r="CD275" s="346"/>
      <c r="CE275" s="346"/>
      <c r="CF275" s="346"/>
      <c r="CG275" s="346"/>
      <c r="CH275" s="346"/>
      <c r="CI275" s="346"/>
      <c r="CJ275" s="346"/>
      <c r="CK275" s="346"/>
      <c r="CL275" s="346"/>
      <c r="CM275" s="346"/>
      <c r="CN275" s="346"/>
      <c r="CO275" s="346"/>
      <c r="CP275" s="346"/>
      <c r="CQ275" s="346"/>
      <c r="CR275" s="346"/>
      <c r="CS275" s="346"/>
      <c r="CT275" s="346"/>
      <c r="CU275" s="346"/>
      <c r="CV275" s="346"/>
      <c r="CW275" s="346"/>
      <c r="CX275" s="346"/>
      <c r="CY275" s="346"/>
      <c r="CZ275" s="346"/>
      <c r="DA275" s="346"/>
      <c r="DB275" s="346"/>
      <c r="DC275" s="346"/>
      <c r="DD275" s="346"/>
      <c r="DE275" s="346"/>
      <c r="DF275" s="346"/>
      <c r="DG275" s="346"/>
      <c r="DH275" s="346"/>
      <c r="DI275" s="346"/>
      <c r="DJ275" s="346"/>
    </row>
    <row r="276" spans="1:114" x14ac:dyDescent="0.25">
      <c r="A276" s="379">
        <v>20</v>
      </c>
      <c r="B276" s="79" t="s">
        <v>1021</v>
      </c>
      <c r="C276" s="80">
        <v>3000</v>
      </c>
      <c r="D276" s="81">
        <v>182.09</v>
      </c>
      <c r="E276" s="43">
        <v>0</v>
      </c>
      <c r="F276" s="60"/>
      <c r="G276" s="56">
        <f t="shared" ref="G276" si="78">+E276+F276</f>
        <v>0</v>
      </c>
      <c r="H276" s="55">
        <f>3200-3200</f>
        <v>0</v>
      </c>
      <c r="I276" s="56">
        <f t="shared" ref="I276" si="79">+G276-H276</f>
        <v>0</v>
      </c>
      <c r="J276" s="56">
        <f t="shared" ref="J276" si="80">I276*C276</f>
        <v>0</v>
      </c>
      <c r="K276" s="57">
        <f t="shared" ref="K276" si="81">+D276*I276</f>
        <v>0</v>
      </c>
      <c r="L276" s="297"/>
      <c r="M276" s="297"/>
      <c r="N276" s="314">
        <f t="shared" ref="N276" si="82">SUM(O276:DK276)</f>
        <v>1347</v>
      </c>
      <c r="O276" s="310">
        <v>447</v>
      </c>
      <c r="P276" s="315">
        <v>300</v>
      </c>
      <c r="Q276" s="315">
        <v>300</v>
      </c>
      <c r="R276" s="315">
        <v>300</v>
      </c>
      <c r="S276" s="315"/>
      <c r="T276" s="55"/>
      <c r="U276" s="55"/>
      <c r="V276" s="55"/>
      <c r="W276" s="55"/>
      <c r="X276" s="55"/>
      <c r="Y276" s="55"/>
      <c r="Z276" s="55"/>
      <c r="AA276" s="55"/>
      <c r="AB276" s="55"/>
      <c r="AC276" s="55"/>
      <c r="AD276" s="55"/>
      <c r="AE276" s="55"/>
      <c r="AF276" s="55"/>
      <c r="AG276" s="55"/>
      <c r="AH276" s="55"/>
      <c r="AI276" s="55"/>
      <c r="AJ276" s="55"/>
      <c r="AK276" s="55"/>
      <c r="AL276" s="55"/>
      <c r="AM276" s="55"/>
      <c r="AN276" s="55"/>
      <c r="AO276" s="55"/>
      <c r="AP276" s="55"/>
      <c r="AQ276" s="55"/>
      <c r="AR276" s="55"/>
      <c r="AS276" s="55"/>
      <c r="AT276" s="55"/>
      <c r="AU276" s="55"/>
      <c r="AV276" s="55"/>
      <c r="AW276" s="55"/>
      <c r="AX276" s="55"/>
      <c r="AY276" s="55"/>
      <c r="AZ276" s="55"/>
      <c r="BA276" s="55"/>
      <c r="BB276" s="55"/>
      <c r="BC276" s="55"/>
      <c r="BD276" s="55"/>
      <c r="BE276" s="55"/>
      <c r="BF276" s="55"/>
      <c r="BG276" s="55"/>
      <c r="BH276" s="55"/>
      <c r="BI276" s="55"/>
      <c r="BJ276" s="55"/>
      <c r="BK276" s="55"/>
      <c r="BL276" s="55"/>
      <c r="BM276" s="55"/>
      <c r="BN276" s="55"/>
      <c r="BO276" s="55"/>
      <c r="BP276" s="55"/>
      <c r="BQ276" s="55"/>
      <c r="BR276" s="55"/>
      <c r="BS276" s="55"/>
      <c r="BT276" s="55"/>
      <c r="BU276" s="55"/>
      <c r="BV276" s="55"/>
      <c r="BW276" s="55"/>
      <c r="BX276" s="55"/>
      <c r="BY276" s="55"/>
      <c r="BZ276" s="55"/>
      <c r="CA276" s="55"/>
      <c r="CB276" s="55"/>
      <c r="CC276" s="55"/>
      <c r="CD276" s="55"/>
      <c r="CE276" s="55"/>
      <c r="CF276" s="55"/>
      <c r="CG276" s="55"/>
      <c r="CH276" s="55"/>
      <c r="CI276" s="55"/>
      <c r="CJ276" s="55"/>
      <c r="CK276" s="55"/>
      <c r="CL276" s="55"/>
      <c r="CM276" s="55"/>
      <c r="CN276" s="55"/>
      <c r="CO276" s="55"/>
      <c r="CP276" s="55"/>
      <c r="CQ276" s="55"/>
      <c r="CR276" s="55"/>
      <c r="CS276" s="55"/>
      <c r="CT276" s="55"/>
      <c r="CU276" s="55"/>
      <c r="CV276" s="55"/>
      <c r="CW276" s="55"/>
      <c r="CX276" s="55"/>
      <c r="CY276" s="55"/>
      <c r="CZ276" s="55"/>
      <c r="DA276" s="55"/>
      <c r="DB276" s="55"/>
      <c r="DC276" s="55"/>
      <c r="DD276" s="55"/>
      <c r="DE276" s="55"/>
      <c r="DF276" s="55"/>
      <c r="DG276" s="55"/>
      <c r="DH276" s="55"/>
      <c r="DI276" s="55"/>
      <c r="DJ276" s="55"/>
    </row>
    <row r="277" spans="1:114" x14ac:dyDescent="0.25">
      <c r="A277" s="339"/>
      <c r="B277" s="340"/>
      <c r="C277" s="341"/>
      <c r="D277" s="342"/>
      <c r="E277" s="344"/>
      <c r="F277" s="350"/>
      <c r="G277" s="345"/>
      <c r="H277" s="346"/>
      <c r="I277" s="345"/>
      <c r="J277" s="345"/>
      <c r="K277" s="347"/>
      <c r="L277" s="297"/>
      <c r="M277" s="297"/>
      <c r="N277" s="348"/>
      <c r="O277" s="310" t="s">
        <v>1023</v>
      </c>
      <c r="P277" s="349" t="s">
        <v>967</v>
      </c>
      <c r="Q277" s="349" t="s">
        <v>1011</v>
      </c>
      <c r="R277" s="349" t="s">
        <v>1010</v>
      </c>
      <c r="S277" s="349" t="s">
        <v>1020</v>
      </c>
      <c r="T277" s="346"/>
      <c r="U277" s="346"/>
      <c r="V277" s="346"/>
      <c r="W277" s="346"/>
      <c r="X277" s="346"/>
      <c r="Y277" s="346"/>
      <c r="Z277" s="346"/>
      <c r="AA277" s="346"/>
      <c r="AB277" s="346"/>
      <c r="AC277" s="346"/>
      <c r="AD277" s="346"/>
      <c r="AE277" s="346"/>
      <c r="AF277" s="346"/>
      <c r="AG277" s="346"/>
      <c r="AH277" s="346"/>
      <c r="AI277" s="346"/>
      <c r="AJ277" s="346"/>
      <c r="AK277" s="346"/>
      <c r="AL277" s="346"/>
      <c r="AM277" s="346"/>
      <c r="AN277" s="346"/>
      <c r="AO277" s="346"/>
      <c r="AP277" s="346"/>
      <c r="AQ277" s="346"/>
      <c r="AR277" s="346"/>
      <c r="AS277" s="346"/>
      <c r="AT277" s="346"/>
      <c r="AU277" s="346"/>
      <c r="AV277" s="346"/>
      <c r="AW277" s="346"/>
      <c r="AX277" s="346"/>
      <c r="AY277" s="346"/>
      <c r="AZ277" s="346"/>
      <c r="BA277" s="346"/>
      <c r="BB277" s="346"/>
      <c r="BC277" s="346"/>
      <c r="BD277" s="346"/>
      <c r="BE277" s="346"/>
      <c r="BF277" s="346"/>
      <c r="BG277" s="346"/>
      <c r="BH277" s="346"/>
      <c r="BI277" s="346"/>
      <c r="BJ277" s="346"/>
      <c r="BK277" s="346"/>
      <c r="BL277" s="346"/>
      <c r="BM277" s="346"/>
      <c r="BN277" s="346"/>
      <c r="BO277" s="346"/>
      <c r="BP277" s="346"/>
      <c r="BQ277" s="346"/>
      <c r="BR277" s="346"/>
      <c r="BS277" s="346"/>
      <c r="BT277" s="346"/>
      <c r="BU277" s="346"/>
      <c r="BV277" s="346"/>
      <c r="BW277" s="346"/>
      <c r="BX277" s="346"/>
      <c r="BY277" s="346"/>
      <c r="BZ277" s="346"/>
      <c r="CA277" s="346"/>
      <c r="CB277" s="346"/>
      <c r="CC277" s="346"/>
      <c r="CD277" s="346"/>
      <c r="CE277" s="346"/>
      <c r="CF277" s="346"/>
      <c r="CG277" s="346"/>
      <c r="CH277" s="346"/>
      <c r="CI277" s="346"/>
      <c r="CJ277" s="346"/>
      <c r="CK277" s="346"/>
      <c r="CL277" s="346"/>
      <c r="CM277" s="346"/>
      <c r="CN277" s="346"/>
      <c r="CO277" s="346"/>
      <c r="CP277" s="346"/>
      <c r="CQ277" s="346"/>
      <c r="CR277" s="346"/>
      <c r="CS277" s="346"/>
      <c r="CT277" s="346"/>
      <c r="CU277" s="346"/>
      <c r="CV277" s="346"/>
      <c r="CW277" s="346"/>
      <c r="CX277" s="346"/>
      <c r="CY277" s="346"/>
      <c r="CZ277" s="346"/>
      <c r="DA277" s="346"/>
      <c r="DB277" s="346"/>
      <c r="DC277" s="346"/>
      <c r="DD277" s="346"/>
      <c r="DE277" s="346"/>
      <c r="DF277" s="346"/>
      <c r="DG277" s="346"/>
      <c r="DH277" s="346"/>
      <c r="DI277" s="346"/>
      <c r="DJ277" s="346"/>
    </row>
    <row r="278" spans="1:114" x14ac:dyDescent="0.25">
      <c r="A278" s="379">
        <v>21</v>
      </c>
      <c r="B278" s="79" t="s">
        <v>1021</v>
      </c>
      <c r="C278" s="80">
        <v>5000</v>
      </c>
      <c r="D278" s="81">
        <v>182.09</v>
      </c>
      <c r="E278" s="43">
        <v>0</v>
      </c>
      <c r="F278" s="60"/>
      <c r="G278" s="56">
        <f t="shared" ref="G278" si="83">+E278+F278</f>
        <v>0</v>
      </c>
      <c r="H278" s="55">
        <f>3200-3200</f>
        <v>0</v>
      </c>
      <c r="I278" s="56">
        <f t="shared" ref="I278" si="84">+G278-H278</f>
        <v>0</v>
      </c>
      <c r="J278" s="56">
        <f t="shared" ref="J278" si="85">I278*C278</f>
        <v>0</v>
      </c>
      <c r="K278" s="57">
        <f t="shared" ref="K278" si="86">+D278*I278</f>
        <v>0</v>
      </c>
      <c r="L278" s="297"/>
      <c r="M278" s="297"/>
      <c r="N278" s="314">
        <f t="shared" ref="N278" si="87">SUM(O278:DK278)</f>
        <v>1633</v>
      </c>
      <c r="O278" s="310">
        <v>449</v>
      </c>
      <c r="P278" s="315">
        <v>290</v>
      </c>
      <c r="Q278" s="315">
        <v>295</v>
      </c>
      <c r="R278" s="315">
        <v>299</v>
      </c>
      <c r="S278" s="315">
        <v>300</v>
      </c>
      <c r="T278" s="55"/>
      <c r="U278" s="55"/>
      <c r="V278" s="55"/>
      <c r="W278" s="55"/>
      <c r="X278" s="55"/>
      <c r="Y278" s="55"/>
      <c r="Z278" s="55"/>
      <c r="AA278" s="55"/>
      <c r="AB278" s="55"/>
      <c r="AC278" s="55"/>
      <c r="AD278" s="55"/>
      <c r="AE278" s="55"/>
      <c r="AF278" s="55"/>
      <c r="AG278" s="55"/>
      <c r="AH278" s="55"/>
      <c r="AI278" s="55"/>
      <c r="AJ278" s="55"/>
      <c r="AK278" s="55"/>
      <c r="AL278" s="55"/>
      <c r="AM278" s="55"/>
      <c r="AN278" s="55"/>
      <c r="AO278" s="55"/>
      <c r="AP278" s="55"/>
      <c r="AQ278" s="55"/>
      <c r="AR278" s="55"/>
      <c r="AS278" s="55"/>
      <c r="AT278" s="55"/>
      <c r="AU278" s="55"/>
      <c r="AV278" s="55"/>
      <c r="AW278" s="55"/>
      <c r="AX278" s="55"/>
      <c r="AY278" s="55"/>
      <c r="AZ278" s="55"/>
      <c r="BA278" s="55"/>
      <c r="BB278" s="55"/>
      <c r="BC278" s="55"/>
      <c r="BD278" s="55"/>
      <c r="BE278" s="55"/>
      <c r="BF278" s="55"/>
      <c r="BG278" s="55"/>
      <c r="BH278" s="55"/>
      <c r="BI278" s="55"/>
      <c r="BJ278" s="55"/>
      <c r="BK278" s="55"/>
      <c r="BL278" s="55"/>
      <c r="BM278" s="55"/>
      <c r="BN278" s="55"/>
      <c r="BO278" s="55"/>
      <c r="BP278" s="55"/>
      <c r="BQ278" s="55"/>
      <c r="BR278" s="55"/>
      <c r="BS278" s="55"/>
      <c r="BT278" s="55"/>
      <c r="BU278" s="55"/>
      <c r="BV278" s="55"/>
      <c r="BW278" s="55"/>
      <c r="BX278" s="55"/>
      <c r="BY278" s="55"/>
      <c r="BZ278" s="55"/>
      <c r="CA278" s="55"/>
      <c r="CB278" s="55"/>
      <c r="CC278" s="55"/>
      <c r="CD278" s="55"/>
      <c r="CE278" s="55"/>
      <c r="CF278" s="55"/>
      <c r="CG278" s="55"/>
      <c r="CH278" s="55"/>
      <c r="CI278" s="55"/>
      <c r="CJ278" s="55"/>
      <c r="CK278" s="55"/>
      <c r="CL278" s="55"/>
      <c r="CM278" s="55"/>
      <c r="CN278" s="55"/>
      <c r="CO278" s="55"/>
      <c r="CP278" s="55"/>
      <c r="CQ278" s="55"/>
      <c r="CR278" s="55"/>
      <c r="CS278" s="55"/>
      <c r="CT278" s="55"/>
      <c r="CU278" s="55"/>
      <c r="CV278" s="55"/>
      <c r="CW278" s="55"/>
      <c r="CX278" s="55"/>
      <c r="CY278" s="55"/>
      <c r="CZ278" s="55"/>
      <c r="DA278" s="55"/>
      <c r="DB278" s="55"/>
      <c r="DC278" s="55"/>
      <c r="DD278" s="55"/>
      <c r="DE278" s="55"/>
      <c r="DF278" s="55"/>
      <c r="DG278" s="55"/>
      <c r="DH278" s="55"/>
      <c r="DI278" s="55"/>
      <c r="DJ278" s="55"/>
    </row>
    <row r="279" spans="1:114" x14ac:dyDescent="0.25">
      <c r="A279" s="339"/>
      <c r="B279" s="340"/>
      <c r="C279" s="341"/>
      <c r="D279" s="342"/>
      <c r="E279" s="344"/>
      <c r="F279" s="350"/>
      <c r="G279" s="345"/>
      <c r="H279" s="346"/>
      <c r="I279" s="345"/>
      <c r="J279" s="345"/>
      <c r="K279" s="347"/>
      <c r="L279" s="297"/>
      <c r="M279" s="297"/>
      <c r="N279" s="348"/>
      <c r="O279" s="310" t="s">
        <v>967</v>
      </c>
      <c r="P279" s="349" t="s">
        <v>945</v>
      </c>
      <c r="Q279" s="349" t="s">
        <v>932</v>
      </c>
      <c r="R279" s="349" t="s">
        <v>977</v>
      </c>
      <c r="S279" s="349"/>
      <c r="T279" s="346"/>
      <c r="U279" s="346"/>
      <c r="V279" s="346"/>
      <c r="W279" s="346"/>
      <c r="X279" s="346"/>
      <c r="Y279" s="346"/>
      <c r="Z279" s="346"/>
      <c r="AA279" s="346"/>
      <c r="AB279" s="346"/>
      <c r="AC279" s="346"/>
      <c r="AD279" s="346"/>
      <c r="AE279" s="346"/>
      <c r="AF279" s="346"/>
      <c r="AG279" s="346"/>
      <c r="AH279" s="346"/>
      <c r="AI279" s="346"/>
      <c r="AJ279" s="346"/>
      <c r="AK279" s="346"/>
      <c r="AL279" s="346"/>
      <c r="AM279" s="346"/>
      <c r="AN279" s="346"/>
      <c r="AO279" s="346"/>
      <c r="AP279" s="346"/>
      <c r="AQ279" s="346"/>
      <c r="AR279" s="346"/>
      <c r="AS279" s="346"/>
      <c r="AT279" s="346"/>
      <c r="AU279" s="346"/>
      <c r="AV279" s="346"/>
      <c r="AW279" s="346"/>
      <c r="AX279" s="346"/>
      <c r="AY279" s="346"/>
      <c r="AZ279" s="346"/>
      <c r="BA279" s="346"/>
      <c r="BB279" s="346"/>
      <c r="BC279" s="346"/>
      <c r="BD279" s="346"/>
      <c r="BE279" s="346"/>
      <c r="BF279" s="346"/>
      <c r="BG279" s="346"/>
      <c r="BH279" s="346"/>
      <c r="BI279" s="346"/>
      <c r="BJ279" s="346"/>
      <c r="BK279" s="346"/>
      <c r="BL279" s="346"/>
      <c r="BM279" s="346"/>
      <c r="BN279" s="346"/>
      <c r="BO279" s="346"/>
      <c r="BP279" s="346"/>
      <c r="BQ279" s="346"/>
      <c r="BR279" s="346"/>
      <c r="BS279" s="346"/>
      <c r="BT279" s="346"/>
      <c r="BU279" s="346"/>
      <c r="BV279" s="346"/>
      <c r="BW279" s="346"/>
      <c r="BX279" s="346"/>
      <c r="BY279" s="346"/>
      <c r="BZ279" s="346"/>
      <c r="CA279" s="346"/>
      <c r="CB279" s="346"/>
      <c r="CC279" s="346"/>
      <c r="CD279" s="346"/>
      <c r="CE279" s="346"/>
      <c r="CF279" s="346"/>
      <c r="CG279" s="346"/>
      <c r="CH279" s="346"/>
      <c r="CI279" s="346"/>
      <c r="CJ279" s="346"/>
      <c r="CK279" s="346"/>
      <c r="CL279" s="346"/>
      <c r="CM279" s="346"/>
      <c r="CN279" s="346"/>
      <c r="CO279" s="346"/>
      <c r="CP279" s="346"/>
      <c r="CQ279" s="346"/>
      <c r="CR279" s="346"/>
      <c r="CS279" s="346"/>
      <c r="CT279" s="346"/>
      <c r="CU279" s="346"/>
      <c r="CV279" s="346"/>
      <c r="CW279" s="346"/>
      <c r="CX279" s="346"/>
      <c r="CY279" s="346"/>
      <c r="CZ279" s="346"/>
      <c r="DA279" s="346"/>
      <c r="DB279" s="346"/>
      <c r="DC279" s="346"/>
      <c r="DD279" s="346"/>
      <c r="DE279" s="346"/>
      <c r="DF279" s="346"/>
      <c r="DG279" s="346"/>
      <c r="DH279" s="346"/>
      <c r="DI279" s="346"/>
      <c r="DJ279" s="346"/>
    </row>
    <row r="280" spans="1:114" x14ac:dyDescent="0.25">
      <c r="A280" s="120">
        <v>22</v>
      </c>
      <c r="B280" s="79" t="s">
        <v>1026</v>
      </c>
      <c r="C280" s="80">
        <v>1500</v>
      </c>
      <c r="D280" s="81">
        <v>182.09</v>
      </c>
      <c r="E280" s="43">
        <v>0</v>
      </c>
      <c r="F280" s="60"/>
      <c r="G280" s="56">
        <f t="shared" ref="G280" si="88">+E280+F280</f>
        <v>0</v>
      </c>
      <c r="H280" s="55">
        <f>3200-3200</f>
        <v>0</v>
      </c>
      <c r="I280" s="56">
        <f t="shared" ref="I280" si="89">+G280-H280</f>
        <v>0</v>
      </c>
      <c r="J280" s="56">
        <f t="shared" ref="J280" si="90">I280*C280</f>
        <v>0</v>
      </c>
      <c r="K280" s="57">
        <f t="shared" ref="K280" si="91">+D280*I280</f>
        <v>0</v>
      </c>
      <c r="L280" s="297"/>
      <c r="M280" s="297"/>
      <c r="N280" s="314">
        <f t="shared" ref="N280" si="92">SUM(O280:DK280)</f>
        <v>1500</v>
      </c>
      <c r="O280" s="310">
        <v>500</v>
      </c>
      <c r="P280" s="315">
        <v>500</v>
      </c>
      <c r="Q280" s="315">
        <v>500</v>
      </c>
      <c r="R280" s="349" t="s">
        <v>977</v>
      </c>
      <c r="S280" s="315"/>
      <c r="T280" s="55"/>
      <c r="U280" s="55"/>
      <c r="V280" s="55"/>
      <c r="W280" s="55"/>
      <c r="X280" s="55"/>
      <c r="Y280" s="55"/>
      <c r="Z280" s="55"/>
      <c r="AA280" s="55"/>
      <c r="AB280" s="55"/>
      <c r="AC280" s="55"/>
      <c r="AD280" s="55"/>
      <c r="AE280" s="55"/>
      <c r="AF280" s="55"/>
      <c r="AG280" s="55"/>
      <c r="AH280" s="55"/>
      <c r="AI280" s="55"/>
      <c r="AJ280" s="55"/>
      <c r="AK280" s="55"/>
      <c r="AL280" s="55"/>
      <c r="AM280" s="55"/>
      <c r="AN280" s="55"/>
      <c r="AO280" s="55"/>
      <c r="AP280" s="55"/>
      <c r="AQ280" s="55"/>
      <c r="AR280" s="55"/>
      <c r="AS280" s="55"/>
      <c r="AT280" s="55"/>
      <c r="AU280" s="55"/>
      <c r="AV280" s="55"/>
      <c r="AW280" s="55"/>
      <c r="AX280" s="55"/>
      <c r="AY280" s="55"/>
      <c r="AZ280" s="55"/>
      <c r="BA280" s="55"/>
      <c r="BB280" s="55"/>
      <c r="BC280" s="55"/>
      <c r="BD280" s="55"/>
      <c r="BE280" s="55"/>
      <c r="BF280" s="55"/>
      <c r="BG280" s="55"/>
      <c r="BH280" s="55"/>
      <c r="BI280" s="55"/>
      <c r="BJ280" s="55"/>
      <c r="BK280" s="55"/>
      <c r="BL280" s="55"/>
      <c r="BM280" s="55"/>
      <c r="BN280" s="55"/>
      <c r="BO280" s="55"/>
      <c r="BP280" s="55"/>
      <c r="BQ280" s="55"/>
      <c r="BR280" s="55"/>
      <c r="BS280" s="55"/>
      <c r="BT280" s="55"/>
      <c r="BU280" s="55"/>
      <c r="BV280" s="55"/>
      <c r="BW280" s="55"/>
      <c r="BX280" s="55"/>
      <c r="BY280" s="55"/>
      <c r="BZ280" s="55"/>
      <c r="CA280" s="55"/>
      <c r="CB280" s="55"/>
      <c r="CC280" s="55"/>
      <c r="CD280" s="55"/>
      <c r="CE280" s="55"/>
      <c r="CF280" s="55"/>
      <c r="CG280" s="55"/>
      <c r="CH280" s="55"/>
      <c r="CI280" s="55"/>
      <c r="CJ280" s="55"/>
      <c r="CK280" s="55"/>
      <c r="CL280" s="55"/>
      <c r="CM280" s="55"/>
      <c r="CN280" s="55"/>
      <c r="CO280" s="55"/>
      <c r="CP280" s="55"/>
      <c r="CQ280" s="55"/>
      <c r="CR280" s="55"/>
      <c r="CS280" s="55"/>
      <c r="CT280" s="55"/>
      <c r="CU280" s="55"/>
      <c r="CV280" s="55"/>
      <c r="CW280" s="55"/>
      <c r="CX280" s="55"/>
      <c r="CY280" s="55"/>
      <c r="CZ280" s="55"/>
      <c r="DA280" s="55"/>
      <c r="DB280" s="55"/>
      <c r="DC280" s="55"/>
      <c r="DD280" s="55"/>
      <c r="DE280" s="55"/>
      <c r="DF280" s="55"/>
      <c r="DG280" s="55"/>
      <c r="DH280" s="55"/>
      <c r="DI280" s="55"/>
      <c r="DJ280" s="55"/>
    </row>
    <row r="281" spans="1:114" x14ac:dyDescent="0.25">
      <c r="A281" s="339"/>
      <c r="B281" s="340"/>
      <c r="C281" s="341"/>
      <c r="D281" s="342"/>
      <c r="E281" s="344"/>
      <c r="F281" s="350"/>
      <c r="G281" s="345"/>
      <c r="H281" s="346"/>
      <c r="I281" s="345"/>
      <c r="J281" s="345"/>
      <c r="K281" s="347"/>
      <c r="L281" s="297"/>
      <c r="M281" s="297"/>
      <c r="N281" s="348"/>
      <c r="O281" s="310" t="s">
        <v>967</v>
      </c>
      <c r="P281" s="349" t="s">
        <v>945</v>
      </c>
      <c r="Q281" s="349" t="s">
        <v>932</v>
      </c>
      <c r="R281" s="349" t="s">
        <v>1004</v>
      </c>
      <c r="S281" s="349"/>
      <c r="T281" s="346"/>
      <c r="U281" s="346"/>
      <c r="V281" s="346"/>
      <c r="W281" s="346"/>
      <c r="X281" s="346"/>
      <c r="Y281" s="346"/>
      <c r="Z281" s="346"/>
      <c r="AA281" s="346"/>
      <c r="AB281" s="346"/>
      <c r="AC281" s="346"/>
      <c r="AD281" s="346"/>
      <c r="AE281" s="346"/>
      <c r="AF281" s="346"/>
      <c r="AG281" s="346"/>
      <c r="AH281" s="346"/>
      <c r="AI281" s="346"/>
      <c r="AJ281" s="346"/>
      <c r="AK281" s="346"/>
      <c r="AL281" s="346"/>
      <c r="AM281" s="346"/>
      <c r="AN281" s="346"/>
      <c r="AO281" s="346"/>
      <c r="AP281" s="346"/>
      <c r="AQ281" s="346"/>
      <c r="AR281" s="346"/>
      <c r="AS281" s="346"/>
      <c r="AT281" s="346"/>
      <c r="AU281" s="346"/>
      <c r="AV281" s="346"/>
      <c r="AW281" s="346"/>
      <c r="AX281" s="346"/>
      <c r="AY281" s="346"/>
      <c r="AZ281" s="346"/>
      <c r="BA281" s="346"/>
      <c r="BB281" s="346"/>
      <c r="BC281" s="346"/>
      <c r="BD281" s="346"/>
      <c r="BE281" s="346"/>
      <c r="BF281" s="346"/>
      <c r="BG281" s="346"/>
      <c r="BH281" s="346"/>
      <c r="BI281" s="346"/>
      <c r="BJ281" s="346"/>
      <c r="BK281" s="346"/>
      <c r="BL281" s="346"/>
      <c r="BM281" s="346"/>
      <c r="BN281" s="346"/>
      <c r="BO281" s="346"/>
      <c r="BP281" s="346"/>
      <c r="BQ281" s="346"/>
      <c r="BR281" s="346"/>
      <c r="BS281" s="346"/>
      <c r="BT281" s="346"/>
      <c r="BU281" s="346"/>
      <c r="BV281" s="346"/>
      <c r="BW281" s="346"/>
      <c r="BX281" s="346"/>
      <c r="BY281" s="346"/>
      <c r="BZ281" s="346"/>
      <c r="CA281" s="346"/>
      <c r="CB281" s="346"/>
      <c r="CC281" s="346"/>
      <c r="CD281" s="346"/>
      <c r="CE281" s="346"/>
      <c r="CF281" s="346"/>
      <c r="CG281" s="346"/>
      <c r="CH281" s="346"/>
      <c r="CI281" s="346"/>
      <c r="CJ281" s="346"/>
      <c r="CK281" s="346"/>
      <c r="CL281" s="346"/>
      <c r="CM281" s="346"/>
      <c r="CN281" s="346"/>
      <c r="CO281" s="346"/>
      <c r="CP281" s="346"/>
      <c r="CQ281" s="346"/>
      <c r="CR281" s="346"/>
      <c r="CS281" s="346"/>
      <c r="CT281" s="346"/>
      <c r="CU281" s="346"/>
      <c r="CV281" s="346"/>
      <c r="CW281" s="346"/>
      <c r="CX281" s="346"/>
      <c r="CY281" s="346"/>
      <c r="CZ281" s="346"/>
      <c r="DA281" s="346"/>
      <c r="DB281" s="346"/>
      <c r="DC281" s="346"/>
      <c r="DD281" s="346"/>
      <c r="DE281" s="346"/>
      <c r="DF281" s="346"/>
      <c r="DG281" s="346"/>
      <c r="DH281" s="346"/>
      <c r="DI281" s="346"/>
      <c r="DJ281" s="346"/>
    </row>
    <row r="282" spans="1:114" x14ac:dyDescent="0.25">
      <c r="A282" s="120">
        <v>23</v>
      </c>
      <c r="B282" s="79" t="s">
        <v>1028</v>
      </c>
      <c r="C282" s="80">
        <v>1500</v>
      </c>
      <c r="D282" s="81">
        <v>182.09</v>
      </c>
      <c r="E282" s="43">
        <v>0</v>
      </c>
      <c r="F282" s="60"/>
      <c r="G282" s="56">
        <f t="shared" ref="G282" si="93">+E282+F282</f>
        <v>0</v>
      </c>
      <c r="H282" s="55">
        <f>3200-3200</f>
        <v>0</v>
      </c>
      <c r="I282" s="56">
        <f t="shared" ref="I282" si="94">+G282-H282</f>
        <v>0</v>
      </c>
      <c r="J282" s="56">
        <f t="shared" ref="J282" si="95">I282*C282</f>
        <v>0</v>
      </c>
      <c r="K282" s="57">
        <f t="shared" ref="K282" si="96">+D282*I282</f>
        <v>0</v>
      </c>
      <c r="L282" s="297"/>
      <c r="M282" s="297"/>
      <c r="N282" s="314">
        <f t="shared" ref="N282" si="97">SUM(O282:DK282)</f>
        <v>1823</v>
      </c>
      <c r="O282" s="310">
        <v>500</v>
      </c>
      <c r="P282" s="315">
        <v>500</v>
      </c>
      <c r="Q282" s="315">
        <v>500</v>
      </c>
      <c r="R282" s="315">
        <v>323</v>
      </c>
      <c r="S282" s="315"/>
      <c r="T282" s="55"/>
      <c r="U282" s="55"/>
      <c r="V282" s="55"/>
      <c r="W282" s="55"/>
      <c r="X282" s="55"/>
      <c r="Y282" s="55"/>
      <c r="Z282" s="55"/>
      <c r="AA282" s="55"/>
      <c r="AB282" s="55"/>
      <c r="AC282" s="55"/>
      <c r="AD282" s="55"/>
      <c r="AE282" s="55"/>
      <c r="AF282" s="55"/>
      <c r="AG282" s="55"/>
      <c r="AH282" s="55"/>
      <c r="AI282" s="55"/>
      <c r="AJ282" s="55"/>
      <c r="AK282" s="55"/>
      <c r="AL282" s="55"/>
      <c r="AM282" s="55"/>
      <c r="AN282" s="55"/>
      <c r="AO282" s="55"/>
      <c r="AP282" s="55"/>
      <c r="AQ282" s="55"/>
      <c r="AR282" s="55"/>
      <c r="AS282" s="55"/>
      <c r="AT282" s="55"/>
      <c r="AU282" s="55"/>
      <c r="AV282" s="55"/>
      <c r="AW282" s="55"/>
      <c r="AX282" s="55"/>
      <c r="AY282" s="55"/>
      <c r="AZ282" s="55"/>
      <c r="BA282" s="55"/>
      <c r="BB282" s="55"/>
      <c r="BC282" s="55"/>
      <c r="BD282" s="55"/>
      <c r="BE282" s="55"/>
      <c r="BF282" s="55"/>
      <c r="BG282" s="55"/>
      <c r="BH282" s="55"/>
      <c r="BI282" s="55"/>
      <c r="BJ282" s="55"/>
      <c r="BK282" s="55"/>
      <c r="BL282" s="55"/>
      <c r="BM282" s="55"/>
      <c r="BN282" s="55"/>
      <c r="BO282" s="55"/>
      <c r="BP282" s="55"/>
      <c r="BQ282" s="55"/>
      <c r="BR282" s="55"/>
      <c r="BS282" s="55"/>
      <c r="BT282" s="55"/>
      <c r="BU282" s="55"/>
      <c r="BV282" s="55"/>
      <c r="BW282" s="55"/>
      <c r="BX282" s="55"/>
      <c r="BY282" s="55"/>
      <c r="BZ282" s="55"/>
      <c r="CA282" s="55"/>
      <c r="CB282" s="55"/>
      <c r="CC282" s="55"/>
      <c r="CD282" s="55"/>
      <c r="CE282" s="55"/>
      <c r="CF282" s="55"/>
      <c r="CG282" s="55"/>
      <c r="CH282" s="55"/>
      <c r="CI282" s="55"/>
      <c r="CJ282" s="55"/>
      <c r="CK282" s="55"/>
      <c r="CL282" s="55"/>
      <c r="CM282" s="55"/>
      <c r="CN282" s="55"/>
      <c r="CO282" s="55"/>
      <c r="CP282" s="55"/>
      <c r="CQ282" s="55"/>
      <c r="CR282" s="55"/>
      <c r="CS282" s="55"/>
      <c r="CT282" s="55"/>
      <c r="CU282" s="55"/>
      <c r="CV282" s="55"/>
      <c r="CW282" s="55"/>
      <c r="CX282" s="55"/>
      <c r="CY282" s="55"/>
      <c r="CZ282" s="55"/>
      <c r="DA282" s="55"/>
      <c r="DB282" s="55"/>
      <c r="DC282" s="55"/>
      <c r="DD282" s="55"/>
      <c r="DE282" s="55"/>
      <c r="DF282" s="55"/>
      <c r="DG282" s="55"/>
      <c r="DH282" s="55"/>
      <c r="DI282" s="55"/>
      <c r="DJ282" s="55"/>
    </row>
    <row r="283" spans="1:114" x14ac:dyDescent="0.25">
      <c r="A283" s="339"/>
      <c r="B283" s="340"/>
      <c r="C283" s="341"/>
      <c r="D283" s="342"/>
      <c r="E283" s="344"/>
      <c r="F283" s="350"/>
      <c r="G283" s="345"/>
      <c r="H283" s="346"/>
      <c r="I283" s="345"/>
      <c r="J283" s="345"/>
      <c r="K283" s="347"/>
      <c r="L283" s="297"/>
      <c r="M283" s="297"/>
      <c r="N283" s="348"/>
      <c r="O283" s="310" t="s">
        <v>967</v>
      </c>
      <c r="P283" s="349" t="s">
        <v>945</v>
      </c>
      <c r="Q283" s="349" t="s">
        <v>932</v>
      </c>
      <c r="R283" s="349" t="s">
        <v>977</v>
      </c>
      <c r="S283" s="349"/>
      <c r="T283" s="346"/>
      <c r="U283" s="346"/>
      <c r="V283" s="346"/>
      <c r="W283" s="346"/>
      <c r="X283" s="346"/>
      <c r="Y283" s="346"/>
      <c r="Z283" s="346"/>
      <c r="AA283" s="346"/>
      <c r="AB283" s="346"/>
      <c r="AC283" s="346"/>
      <c r="AD283" s="346"/>
      <c r="AE283" s="346"/>
      <c r="AF283" s="346"/>
      <c r="AG283" s="346"/>
      <c r="AH283" s="346"/>
      <c r="AI283" s="346"/>
      <c r="AJ283" s="346"/>
      <c r="AK283" s="346"/>
      <c r="AL283" s="346"/>
      <c r="AM283" s="346"/>
      <c r="AN283" s="346"/>
      <c r="AO283" s="346"/>
      <c r="AP283" s="346"/>
      <c r="AQ283" s="346"/>
      <c r="AR283" s="346"/>
      <c r="AS283" s="346"/>
      <c r="AT283" s="346"/>
      <c r="AU283" s="346"/>
      <c r="AV283" s="346"/>
      <c r="AW283" s="346"/>
      <c r="AX283" s="346"/>
      <c r="AY283" s="346"/>
      <c r="AZ283" s="346"/>
      <c r="BA283" s="346"/>
      <c r="BB283" s="346"/>
      <c r="BC283" s="346"/>
      <c r="BD283" s="346"/>
      <c r="BE283" s="346"/>
      <c r="BF283" s="346"/>
      <c r="BG283" s="346"/>
      <c r="BH283" s="346"/>
      <c r="BI283" s="346"/>
      <c r="BJ283" s="346"/>
      <c r="BK283" s="346"/>
      <c r="BL283" s="346"/>
      <c r="BM283" s="346"/>
      <c r="BN283" s="346"/>
      <c r="BO283" s="346"/>
      <c r="BP283" s="346"/>
      <c r="BQ283" s="346"/>
      <c r="BR283" s="346"/>
      <c r="BS283" s="346"/>
      <c r="BT283" s="346"/>
      <c r="BU283" s="346"/>
      <c r="BV283" s="346"/>
      <c r="BW283" s="346"/>
      <c r="BX283" s="346"/>
      <c r="BY283" s="346"/>
      <c r="BZ283" s="346"/>
      <c r="CA283" s="346"/>
      <c r="CB283" s="346"/>
      <c r="CC283" s="346"/>
      <c r="CD283" s="346"/>
      <c r="CE283" s="346"/>
      <c r="CF283" s="346"/>
      <c r="CG283" s="346"/>
      <c r="CH283" s="346"/>
      <c r="CI283" s="346"/>
      <c r="CJ283" s="346"/>
      <c r="CK283" s="346"/>
      <c r="CL283" s="346"/>
      <c r="CM283" s="346"/>
      <c r="CN283" s="346"/>
      <c r="CO283" s="346"/>
      <c r="CP283" s="346"/>
      <c r="CQ283" s="346"/>
      <c r="CR283" s="346"/>
      <c r="CS283" s="346"/>
      <c r="CT283" s="346"/>
      <c r="CU283" s="346"/>
      <c r="CV283" s="346"/>
      <c r="CW283" s="346"/>
      <c r="CX283" s="346"/>
      <c r="CY283" s="346"/>
      <c r="CZ283" s="346"/>
      <c r="DA283" s="346"/>
      <c r="DB283" s="346"/>
      <c r="DC283" s="346"/>
      <c r="DD283" s="346"/>
      <c r="DE283" s="346"/>
      <c r="DF283" s="346"/>
      <c r="DG283" s="346"/>
      <c r="DH283" s="346"/>
      <c r="DI283" s="346"/>
      <c r="DJ283" s="346"/>
    </row>
    <row r="284" spans="1:114" x14ac:dyDescent="0.25">
      <c r="A284" s="120">
        <v>24</v>
      </c>
      <c r="B284" s="79" t="s">
        <v>1027</v>
      </c>
      <c r="C284" s="80">
        <v>1500</v>
      </c>
      <c r="D284" s="81">
        <v>182.09</v>
      </c>
      <c r="E284" s="43">
        <v>0</v>
      </c>
      <c r="F284" s="60"/>
      <c r="G284" s="56">
        <f t="shared" ref="G284" si="98">+E284+F284</f>
        <v>0</v>
      </c>
      <c r="H284" s="55">
        <f>3200-3200</f>
        <v>0</v>
      </c>
      <c r="I284" s="56">
        <f t="shared" ref="I284" si="99">+G284-H284</f>
        <v>0</v>
      </c>
      <c r="J284" s="56">
        <f t="shared" ref="J284" si="100">I284*C284</f>
        <v>0</v>
      </c>
      <c r="K284" s="57">
        <f t="shared" ref="K284" si="101">+D284*I284</f>
        <v>0</v>
      </c>
      <c r="L284" s="297"/>
      <c r="M284" s="297"/>
      <c r="N284" s="314">
        <f t="shared" ref="N284" si="102">SUM(O284:DK284)</f>
        <v>1500</v>
      </c>
      <c r="O284" s="310">
        <v>500</v>
      </c>
      <c r="P284" s="315">
        <v>500</v>
      </c>
      <c r="Q284" s="315">
        <v>500</v>
      </c>
      <c r="R284" s="349" t="s">
        <v>977</v>
      </c>
      <c r="S284" s="315"/>
      <c r="T284" s="55"/>
      <c r="U284" s="55"/>
      <c r="V284" s="55"/>
      <c r="W284" s="55"/>
      <c r="X284" s="55"/>
      <c r="Y284" s="55"/>
      <c r="Z284" s="55"/>
      <c r="AA284" s="55"/>
      <c r="AB284" s="55"/>
      <c r="AC284" s="55"/>
      <c r="AD284" s="55"/>
      <c r="AE284" s="55"/>
      <c r="AF284" s="55"/>
      <c r="AG284" s="55"/>
      <c r="AH284" s="55"/>
      <c r="AI284" s="55"/>
      <c r="AJ284" s="55"/>
      <c r="AK284" s="55"/>
      <c r="AL284" s="55"/>
      <c r="AM284" s="55"/>
      <c r="AN284" s="55"/>
      <c r="AO284" s="55"/>
      <c r="AP284" s="55"/>
      <c r="AQ284" s="55"/>
      <c r="AR284" s="55"/>
      <c r="AS284" s="55"/>
      <c r="AT284" s="55"/>
      <c r="AU284" s="55"/>
      <c r="AV284" s="55"/>
      <c r="AW284" s="55"/>
      <c r="AX284" s="55"/>
      <c r="AY284" s="55"/>
      <c r="AZ284" s="55"/>
      <c r="BA284" s="55"/>
      <c r="BB284" s="55"/>
      <c r="BC284" s="55"/>
      <c r="BD284" s="55"/>
      <c r="BE284" s="55"/>
      <c r="BF284" s="55"/>
      <c r="BG284" s="55"/>
      <c r="BH284" s="55"/>
      <c r="BI284" s="55"/>
      <c r="BJ284" s="55"/>
      <c r="BK284" s="55"/>
      <c r="BL284" s="55"/>
      <c r="BM284" s="55"/>
      <c r="BN284" s="55"/>
      <c r="BO284" s="55"/>
      <c r="BP284" s="55"/>
      <c r="BQ284" s="55"/>
      <c r="BR284" s="55"/>
      <c r="BS284" s="55"/>
      <c r="BT284" s="55"/>
      <c r="BU284" s="55"/>
      <c r="BV284" s="55"/>
      <c r="BW284" s="55"/>
      <c r="BX284" s="55"/>
      <c r="BY284" s="55"/>
      <c r="BZ284" s="55"/>
      <c r="CA284" s="55"/>
      <c r="CB284" s="55"/>
      <c r="CC284" s="55"/>
      <c r="CD284" s="55"/>
      <c r="CE284" s="55"/>
      <c r="CF284" s="55"/>
      <c r="CG284" s="55"/>
      <c r="CH284" s="55"/>
      <c r="CI284" s="55"/>
      <c r="CJ284" s="55"/>
      <c r="CK284" s="55"/>
      <c r="CL284" s="55"/>
      <c r="CM284" s="55"/>
      <c r="CN284" s="55"/>
      <c r="CO284" s="55"/>
      <c r="CP284" s="55"/>
      <c r="CQ284" s="55"/>
      <c r="CR284" s="55"/>
      <c r="CS284" s="55"/>
      <c r="CT284" s="55"/>
      <c r="CU284" s="55"/>
      <c r="CV284" s="55"/>
      <c r="CW284" s="55"/>
      <c r="CX284" s="55"/>
      <c r="CY284" s="55"/>
      <c r="CZ284" s="55"/>
      <c r="DA284" s="55"/>
      <c r="DB284" s="55"/>
      <c r="DC284" s="55"/>
      <c r="DD284" s="55"/>
      <c r="DE284" s="55"/>
      <c r="DF284" s="55"/>
      <c r="DG284" s="55"/>
      <c r="DH284" s="55"/>
      <c r="DI284" s="55"/>
      <c r="DJ284" s="55"/>
    </row>
    <row r="285" spans="1:114" x14ac:dyDescent="0.25">
      <c r="A285" s="339"/>
      <c r="B285" s="340"/>
      <c r="C285" s="341"/>
      <c r="D285" s="342"/>
      <c r="E285" s="344"/>
      <c r="F285" s="350"/>
      <c r="G285" s="345"/>
      <c r="H285" s="346"/>
      <c r="I285" s="345"/>
      <c r="J285" s="345"/>
      <c r="K285" s="347"/>
      <c r="L285" s="297"/>
      <c r="M285" s="297"/>
      <c r="N285" s="348"/>
      <c r="O285" s="310" t="s">
        <v>967</v>
      </c>
      <c r="P285" s="349" t="s">
        <v>945</v>
      </c>
      <c r="Q285" s="349" t="s">
        <v>932</v>
      </c>
      <c r="R285" s="349" t="s">
        <v>977</v>
      </c>
      <c r="S285" s="349"/>
      <c r="T285" s="346"/>
      <c r="U285" s="346"/>
      <c r="V285" s="346"/>
      <c r="W285" s="346"/>
      <c r="X285" s="346"/>
      <c r="Y285" s="346"/>
      <c r="Z285" s="346"/>
      <c r="AA285" s="346"/>
      <c r="AB285" s="346"/>
      <c r="AC285" s="346"/>
      <c r="AD285" s="346"/>
      <c r="AE285" s="346"/>
      <c r="AF285" s="346"/>
      <c r="AG285" s="346"/>
      <c r="AH285" s="346"/>
      <c r="AI285" s="346"/>
      <c r="AJ285" s="346"/>
      <c r="AK285" s="346"/>
      <c r="AL285" s="346"/>
      <c r="AM285" s="346"/>
      <c r="AN285" s="346"/>
      <c r="AO285" s="346"/>
      <c r="AP285" s="346"/>
      <c r="AQ285" s="346"/>
      <c r="AR285" s="346"/>
      <c r="AS285" s="346"/>
      <c r="AT285" s="346"/>
      <c r="AU285" s="346"/>
      <c r="AV285" s="346"/>
      <c r="AW285" s="346"/>
      <c r="AX285" s="346"/>
      <c r="AY285" s="346"/>
      <c r="AZ285" s="346"/>
      <c r="BA285" s="346"/>
      <c r="BB285" s="346"/>
      <c r="BC285" s="346"/>
      <c r="BD285" s="346"/>
      <c r="BE285" s="346"/>
      <c r="BF285" s="346"/>
      <c r="BG285" s="346"/>
      <c r="BH285" s="346"/>
      <c r="BI285" s="346"/>
      <c r="BJ285" s="346"/>
      <c r="BK285" s="346"/>
      <c r="BL285" s="346"/>
      <c r="BM285" s="346"/>
      <c r="BN285" s="346"/>
      <c r="BO285" s="346"/>
      <c r="BP285" s="346"/>
      <c r="BQ285" s="346"/>
      <c r="BR285" s="346"/>
      <c r="BS285" s="346"/>
      <c r="BT285" s="346"/>
      <c r="BU285" s="346"/>
      <c r="BV285" s="346"/>
      <c r="BW285" s="346"/>
      <c r="BX285" s="346"/>
      <c r="BY285" s="346"/>
      <c r="BZ285" s="346"/>
      <c r="CA285" s="346"/>
      <c r="CB285" s="346"/>
      <c r="CC285" s="346"/>
      <c r="CD285" s="346"/>
      <c r="CE285" s="346"/>
      <c r="CF285" s="346"/>
      <c r="CG285" s="346"/>
      <c r="CH285" s="346"/>
      <c r="CI285" s="346"/>
      <c r="CJ285" s="346"/>
      <c r="CK285" s="346"/>
      <c r="CL285" s="346"/>
      <c r="CM285" s="346"/>
      <c r="CN285" s="346"/>
      <c r="CO285" s="346"/>
      <c r="CP285" s="346"/>
      <c r="CQ285" s="346"/>
      <c r="CR285" s="346"/>
      <c r="CS285" s="346"/>
      <c r="CT285" s="346"/>
      <c r="CU285" s="346"/>
      <c r="CV285" s="346"/>
      <c r="CW285" s="346"/>
      <c r="CX285" s="346"/>
      <c r="CY285" s="346"/>
      <c r="CZ285" s="346"/>
      <c r="DA285" s="346"/>
      <c r="DB285" s="346"/>
      <c r="DC285" s="346"/>
      <c r="DD285" s="346"/>
      <c r="DE285" s="346"/>
      <c r="DF285" s="346"/>
      <c r="DG285" s="346"/>
      <c r="DH285" s="346"/>
      <c r="DI285" s="346"/>
      <c r="DJ285" s="346"/>
    </row>
    <row r="286" spans="1:114" x14ac:dyDescent="0.25">
      <c r="A286" s="120">
        <v>25</v>
      </c>
      <c r="B286" s="79" t="s">
        <v>1029</v>
      </c>
      <c r="C286" s="80">
        <v>1500</v>
      </c>
      <c r="D286" s="81">
        <v>182.09</v>
      </c>
      <c r="E286" s="43">
        <v>0</v>
      </c>
      <c r="F286" s="60"/>
      <c r="G286" s="56">
        <f t="shared" ref="G286" si="103">+E286+F286</f>
        <v>0</v>
      </c>
      <c r="H286" s="55">
        <f>3200-3200</f>
        <v>0</v>
      </c>
      <c r="I286" s="56">
        <f t="shared" ref="I286" si="104">+G286-H286</f>
        <v>0</v>
      </c>
      <c r="J286" s="56">
        <f t="shared" ref="J286" si="105">I286*C286</f>
        <v>0</v>
      </c>
      <c r="K286" s="57">
        <f t="shared" ref="K286" si="106">+D286*I286</f>
        <v>0</v>
      </c>
      <c r="L286" s="297"/>
      <c r="M286" s="297"/>
      <c r="N286" s="314">
        <f t="shared" ref="N286" si="107">SUM(O286:DK286)</f>
        <v>1500</v>
      </c>
      <c r="O286" s="310">
        <v>500</v>
      </c>
      <c r="P286" s="315">
        <v>500</v>
      </c>
      <c r="Q286" s="315">
        <v>500</v>
      </c>
      <c r="R286" s="349" t="s">
        <v>977</v>
      </c>
      <c r="S286" s="315"/>
      <c r="T286" s="55"/>
      <c r="U286" s="55"/>
      <c r="V286" s="55"/>
      <c r="W286" s="55"/>
      <c r="X286" s="55"/>
      <c r="Y286" s="55"/>
      <c r="Z286" s="55"/>
      <c r="AA286" s="55"/>
      <c r="AB286" s="55"/>
      <c r="AC286" s="55"/>
      <c r="AD286" s="55"/>
      <c r="AE286" s="55"/>
      <c r="AF286" s="55"/>
      <c r="AG286" s="55"/>
      <c r="AH286" s="55"/>
      <c r="AI286" s="55"/>
      <c r="AJ286" s="55"/>
      <c r="AK286" s="55"/>
      <c r="AL286" s="55"/>
      <c r="AM286" s="55"/>
      <c r="AN286" s="55"/>
      <c r="AO286" s="55"/>
      <c r="AP286" s="55"/>
      <c r="AQ286" s="55"/>
      <c r="AR286" s="55"/>
      <c r="AS286" s="55"/>
      <c r="AT286" s="55"/>
      <c r="AU286" s="55"/>
      <c r="AV286" s="55"/>
      <c r="AW286" s="55"/>
      <c r="AX286" s="55"/>
      <c r="AY286" s="55"/>
      <c r="AZ286" s="55"/>
      <c r="BA286" s="55"/>
      <c r="BB286" s="55"/>
      <c r="BC286" s="55"/>
      <c r="BD286" s="55"/>
      <c r="BE286" s="55"/>
      <c r="BF286" s="55"/>
      <c r="BG286" s="55"/>
      <c r="BH286" s="55"/>
      <c r="BI286" s="55"/>
      <c r="BJ286" s="55"/>
      <c r="BK286" s="55"/>
      <c r="BL286" s="55"/>
      <c r="BM286" s="55"/>
      <c r="BN286" s="55"/>
      <c r="BO286" s="55"/>
      <c r="BP286" s="55"/>
      <c r="BQ286" s="55"/>
      <c r="BR286" s="55"/>
      <c r="BS286" s="55"/>
      <c r="BT286" s="55"/>
      <c r="BU286" s="55"/>
      <c r="BV286" s="55"/>
      <c r="BW286" s="55"/>
      <c r="BX286" s="55"/>
      <c r="BY286" s="55"/>
      <c r="BZ286" s="55"/>
      <c r="CA286" s="55"/>
      <c r="CB286" s="55"/>
      <c r="CC286" s="55"/>
      <c r="CD286" s="55"/>
      <c r="CE286" s="55"/>
      <c r="CF286" s="55"/>
      <c r="CG286" s="55"/>
      <c r="CH286" s="55"/>
      <c r="CI286" s="55"/>
      <c r="CJ286" s="55"/>
      <c r="CK286" s="55"/>
      <c r="CL286" s="55"/>
      <c r="CM286" s="55"/>
      <c r="CN286" s="55"/>
      <c r="CO286" s="55"/>
      <c r="CP286" s="55"/>
      <c r="CQ286" s="55"/>
      <c r="CR286" s="55"/>
      <c r="CS286" s="55"/>
      <c r="CT286" s="55"/>
      <c r="CU286" s="55"/>
      <c r="CV286" s="55"/>
      <c r="CW286" s="55"/>
      <c r="CX286" s="55"/>
      <c r="CY286" s="55"/>
      <c r="CZ286" s="55"/>
      <c r="DA286" s="55"/>
      <c r="DB286" s="55"/>
      <c r="DC286" s="55"/>
      <c r="DD286" s="55"/>
      <c r="DE286" s="55"/>
      <c r="DF286" s="55"/>
      <c r="DG286" s="55"/>
      <c r="DH286" s="55"/>
      <c r="DI286" s="55"/>
      <c r="DJ286" s="55"/>
    </row>
    <row r="287" spans="1:114" x14ac:dyDescent="0.25">
      <c r="A287" s="339"/>
      <c r="B287" s="340"/>
      <c r="C287" s="341"/>
      <c r="D287" s="342"/>
      <c r="E287" s="344"/>
      <c r="F287" s="350"/>
      <c r="G287" s="345"/>
      <c r="H287" s="346"/>
      <c r="I287" s="345"/>
      <c r="J287" s="345"/>
      <c r="K287" s="347"/>
      <c r="L287" s="297"/>
      <c r="M287" s="297"/>
      <c r="N287" s="348"/>
      <c r="O287" s="310" t="s">
        <v>967</v>
      </c>
      <c r="P287" s="349" t="s">
        <v>945</v>
      </c>
      <c r="Q287" s="349" t="s">
        <v>932</v>
      </c>
      <c r="R287" s="349" t="s">
        <v>977</v>
      </c>
      <c r="S287" s="349"/>
      <c r="T287" s="346"/>
      <c r="U287" s="346"/>
      <c r="V287" s="346"/>
      <c r="W287" s="346"/>
      <c r="X287" s="346"/>
      <c r="Y287" s="346"/>
      <c r="Z287" s="346"/>
      <c r="AA287" s="346"/>
      <c r="AB287" s="346"/>
      <c r="AC287" s="346"/>
      <c r="AD287" s="346"/>
      <c r="AE287" s="346"/>
      <c r="AF287" s="346"/>
      <c r="AG287" s="346"/>
      <c r="AH287" s="346"/>
      <c r="AI287" s="346"/>
      <c r="AJ287" s="346"/>
      <c r="AK287" s="346"/>
      <c r="AL287" s="346"/>
      <c r="AM287" s="346"/>
      <c r="AN287" s="346"/>
      <c r="AO287" s="346"/>
      <c r="AP287" s="346"/>
      <c r="AQ287" s="346"/>
      <c r="AR287" s="346"/>
      <c r="AS287" s="346"/>
      <c r="AT287" s="346"/>
      <c r="AU287" s="346"/>
      <c r="AV287" s="346"/>
      <c r="AW287" s="346"/>
      <c r="AX287" s="346"/>
      <c r="AY287" s="346"/>
      <c r="AZ287" s="346"/>
      <c r="BA287" s="346"/>
      <c r="BB287" s="346"/>
      <c r="BC287" s="346"/>
      <c r="BD287" s="346"/>
      <c r="BE287" s="346"/>
      <c r="BF287" s="346"/>
      <c r="BG287" s="346"/>
      <c r="BH287" s="346"/>
      <c r="BI287" s="346"/>
      <c r="BJ287" s="346"/>
      <c r="BK287" s="346"/>
      <c r="BL287" s="346"/>
      <c r="BM287" s="346"/>
      <c r="BN287" s="346"/>
      <c r="BO287" s="346"/>
      <c r="BP287" s="346"/>
      <c r="BQ287" s="346"/>
      <c r="BR287" s="346"/>
      <c r="BS287" s="346"/>
      <c r="BT287" s="346"/>
      <c r="BU287" s="346"/>
      <c r="BV287" s="346"/>
      <c r="BW287" s="346"/>
      <c r="BX287" s="346"/>
      <c r="BY287" s="346"/>
      <c r="BZ287" s="346"/>
      <c r="CA287" s="346"/>
      <c r="CB287" s="346"/>
      <c r="CC287" s="346"/>
      <c r="CD287" s="346"/>
      <c r="CE287" s="346"/>
      <c r="CF287" s="346"/>
      <c r="CG287" s="346"/>
      <c r="CH287" s="346"/>
      <c r="CI287" s="346"/>
      <c r="CJ287" s="346"/>
      <c r="CK287" s="346"/>
      <c r="CL287" s="346"/>
      <c r="CM287" s="346"/>
      <c r="CN287" s="346"/>
      <c r="CO287" s="346"/>
      <c r="CP287" s="346"/>
      <c r="CQ287" s="346"/>
      <c r="CR287" s="346"/>
      <c r="CS287" s="346"/>
      <c r="CT287" s="346"/>
      <c r="CU287" s="346"/>
      <c r="CV287" s="346"/>
      <c r="CW287" s="346"/>
      <c r="CX287" s="346"/>
      <c r="CY287" s="346"/>
      <c r="CZ287" s="346"/>
      <c r="DA287" s="346"/>
      <c r="DB287" s="346"/>
      <c r="DC287" s="346"/>
      <c r="DD287" s="346"/>
      <c r="DE287" s="346"/>
      <c r="DF287" s="346"/>
      <c r="DG287" s="346"/>
      <c r="DH287" s="346"/>
      <c r="DI287" s="346"/>
      <c r="DJ287" s="346"/>
    </row>
    <row r="288" spans="1:114" x14ac:dyDescent="0.25">
      <c r="A288" s="120">
        <v>26</v>
      </c>
      <c r="B288" s="79" t="s">
        <v>1030</v>
      </c>
      <c r="C288" s="80">
        <v>1500</v>
      </c>
      <c r="D288" s="81">
        <v>182.09</v>
      </c>
      <c r="E288" s="43">
        <v>0</v>
      </c>
      <c r="F288" s="60"/>
      <c r="G288" s="56">
        <f t="shared" ref="G288" si="108">+E288+F288</f>
        <v>0</v>
      </c>
      <c r="H288" s="55">
        <f>3200-3200</f>
        <v>0</v>
      </c>
      <c r="I288" s="56">
        <f t="shared" ref="I288" si="109">+G288-H288</f>
        <v>0</v>
      </c>
      <c r="J288" s="56">
        <f t="shared" ref="J288" si="110">I288*C288</f>
        <v>0</v>
      </c>
      <c r="K288" s="57">
        <f t="shared" ref="K288" si="111">+D288*I288</f>
        <v>0</v>
      </c>
      <c r="L288" s="297"/>
      <c r="M288" s="297"/>
      <c r="N288" s="314">
        <f t="shared" ref="N288" si="112">SUM(O288:DK288)</f>
        <v>1500</v>
      </c>
      <c r="O288" s="310">
        <v>500</v>
      </c>
      <c r="P288" s="315">
        <v>500</v>
      </c>
      <c r="Q288" s="315">
        <v>500</v>
      </c>
      <c r="R288" s="349" t="s">
        <v>977</v>
      </c>
      <c r="S288" s="315"/>
      <c r="T288" s="55"/>
      <c r="U288" s="55"/>
      <c r="V288" s="55"/>
      <c r="W288" s="55"/>
      <c r="X288" s="55"/>
      <c r="Y288" s="55"/>
      <c r="Z288" s="55"/>
      <c r="AA288" s="55"/>
      <c r="AB288" s="55"/>
      <c r="AC288" s="55"/>
      <c r="AD288" s="55"/>
      <c r="AE288" s="55"/>
      <c r="AF288" s="55"/>
      <c r="AG288" s="55"/>
      <c r="AH288" s="55"/>
      <c r="AI288" s="55"/>
      <c r="AJ288" s="55"/>
      <c r="AK288" s="55"/>
      <c r="AL288" s="55"/>
      <c r="AM288" s="55"/>
      <c r="AN288" s="55"/>
      <c r="AO288" s="55"/>
      <c r="AP288" s="55"/>
      <c r="AQ288" s="55"/>
      <c r="AR288" s="55"/>
      <c r="AS288" s="55"/>
      <c r="AT288" s="55"/>
      <c r="AU288" s="55"/>
      <c r="AV288" s="55"/>
      <c r="AW288" s="55"/>
      <c r="AX288" s="55"/>
      <c r="AY288" s="55"/>
      <c r="AZ288" s="55"/>
      <c r="BA288" s="55"/>
      <c r="BB288" s="55"/>
      <c r="BC288" s="55"/>
      <c r="BD288" s="55"/>
      <c r="BE288" s="55"/>
      <c r="BF288" s="55"/>
      <c r="BG288" s="55"/>
      <c r="BH288" s="55"/>
      <c r="BI288" s="55"/>
      <c r="BJ288" s="55"/>
      <c r="BK288" s="55"/>
      <c r="BL288" s="55"/>
      <c r="BM288" s="55"/>
      <c r="BN288" s="55"/>
      <c r="BO288" s="55"/>
      <c r="BP288" s="55"/>
      <c r="BQ288" s="55"/>
      <c r="BR288" s="55"/>
      <c r="BS288" s="55"/>
      <c r="BT288" s="55"/>
      <c r="BU288" s="55"/>
      <c r="BV288" s="55"/>
      <c r="BW288" s="55"/>
      <c r="BX288" s="55"/>
      <c r="BY288" s="55"/>
      <c r="BZ288" s="55"/>
      <c r="CA288" s="55"/>
      <c r="CB288" s="55"/>
      <c r="CC288" s="55"/>
      <c r="CD288" s="55"/>
      <c r="CE288" s="55"/>
      <c r="CF288" s="55"/>
      <c r="CG288" s="55"/>
      <c r="CH288" s="55"/>
      <c r="CI288" s="55"/>
      <c r="CJ288" s="55"/>
      <c r="CK288" s="55"/>
      <c r="CL288" s="55"/>
      <c r="CM288" s="55"/>
      <c r="CN288" s="55"/>
      <c r="CO288" s="55"/>
      <c r="CP288" s="55"/>
      <c r="CQ288" s="55"/>
      <c r="CR288" s="55"/>
      <c r="CS288" s="55"/>
      <c r="CT288" s="55"/>
      <c r="CU288" s="55"/>
      <c r="CV288" s="55"/>
      <c r="CW288" s="55"/>
      <c r="CX288" s="55"/>
      <c r="CY288" s="55"/>
      <c r="CZ288" s="55"/>
      <c r="DA288" s="55"/>
      <c r="DB288" s="55"/>
      <c r="DC288" s="55"/>
      <c r="DD288" s="55"/>
      <c r="DE288" s="55"/>
      <c r="DF288" s="55"/>
      <c r="DG288" s="55"/>
      <c r="DH288" s="55"/>
      <c r="DI288" s="55"/>
      <c r="DJ288" s="55"/>
    </row>
    <row r="289" spans="1:114" x14ac:dyDescent="0.25">
      <c r="A289" s="339"/>
      <c r="B289" s="340"/>
      <c r="C289" s="341"/>
      <c r="D289" s="342"/>
      <c r="E289" s="344"/>
      <c r="F289" s="350"/>
      <c r="G289" s="345"/>
      <c r="H289" s="346"/>
      <c r="I289" s="345"/>
      <c r="J289" s="345"/>
      <c r="K289" s="347"/>
      <c r="L289" s="297"/>
      <c r="M289" s="297"/>
      <c r="N289" s="348"/>
      <c r="O289" s="310" t="s">
        <v>967</v>
      </c>
      <c r="P289" s="349" t="s">
        <v>945</v>
      </c>
      <c r="Q289" s="349" t="s">
        <v>932</v>
      </c>
      <c r="R289" s="349" t="s">
        <v>977</v>
      </c>
      <c r="S289" s="349"/>
      <c r="T289" s="346"/>
      <c r="U289" s="346"/>
      <c r="V289" s="346"/>
      <c r="W289" s="346"/>
      <c r="X289" s="346"/>
      <c r="Y289" s="346"/>
      <c r="Z289" s="346"/>
      <c r="AA289" s="346"/>
      <c r="AB289" s="346"/>
      <c r="AC289" s="346"/>
      <c r="AD289" s="346"/>
      <c r="AE289" s="346"/>
      <c r="AF289" s="346"/>
      <c r="AG289" s="346"/>
      <c r="AH289" s="346"/>
      <c r="AI289" s="346"/>
      <c r="AJ289" s="346"/>
      <c r="AK289" s="346"/>
      <c r="AL289" s="346"/>
      <c r="AM289" s="346"/>
      <c r="AN289" s="346"/>
      <c r="AO289" s="346"/>
      <c r="AP289" s="346"/>
      <c r="AQ289" s="346"/>
      <c r="AR289" s="346"/>
      <c r="AS289" s="346"/>
      <c r="AT289" s="346"/>
      <c r="AU289" s="346"/>
      <c r="AV289" s="346"/>
      <c r="AW289" s="346"/>
      <c r="AX289" s="346"/>
      <c r="AY289" s="346"/>
      <c r="AZ289" s="346"/>
      <c r="BA289" s="346"/>
      <c r="BB289" s="346"/>
      <c r="BC289" s="346"/>
      <c r="BD289" s="346"/>
      <c r="BE289" s="346"/>
      <c r="BF289" s="346"/>
      <c r="BG289" s="346"/>
      <c r="BH289" s="346"/>
      <c r="BI289" s="346"/>
      <c r="BJ289" s="346"/>
      <c r="BK289" s="346"/>
      <c r="BL289" s="346"/>
      <c r="BM289" s="346"/>
      <c r="BN289" s="346"/>
      <c r="BO289" s="346"/>
      <c r="BP289" s="346"/>
      <c r="BQ289" s="346"/>
      <c r="BR289" s="346"/>
      <c r="BS289" s="346"/>
      <c r="BT289" s="346"/>
      <c r="BU289" s="346"/>
      <c r="BV289" s="346"/>
      <c r="BW289" s="346"/>
      <c r="BX289" s="346"/>
      <c r="BY289" s="346"/>
      <c r="BZ289" s="346"/>
      <c r="CA289" s="346"/>
      <c r="CB289" s="346"/>
      <c r="CC289" s="346"/>
      <c r="CD289" s="346"/>
      <c r="CE289" s="346"/>
      <c r="CF289" s="346"/>
      <c r="CG289" s="346"/>
      <c r="CH289" s="346"/>
      <c r="CI289" s="346"/>
      <c r="CJ289" s="346"/>
      <c r="CK289" s="346"/>
      <c r="CL289" s="346"/>
      <c r="CM289" s="346"/>
      <c r="CN289" s="346"/>
      <c r="CO289" s="346"/>
      <c r="CP289" s="346"/>
      <c r="CQ289" s="346"/>
      <c r="CR289" s="346"/>
      <c r="CS289" s="346"/>
      <c r="CT289" s="346"/>
      <c r="CU289" s="346"/>
      <c r="CV289" s="346"/>
      <c r="CW289" s="346"/>
      <c r="CX289" s="346"/>
      <c r="CY289" s="346"/>
      <c r="CZ289" s="346"/>
      <c r="DA289" s="346"/>
      <c r="DB289" s="346"/>
      <c r="DC289" s="346"/>
      <c r="DD289" s="346"/>
      <c r="DE289" s="346"/>
      <c r="DF289" s="346"/>
      <c r="DG289" s="346"/>
      <c r="DH289" s="346"/>
      <c r="DI289" s="346"/>
      <c r="DJ289" s="346"/>
    </row>
    <row r="290" spans="1:114" x14ac:dyDescent="0.25">
      <c r="A290" s="120">
        <v>27</v>
      </c>
      <c r="B290" s="79" t="s">
        <v>1031</v>
      </c>
      <c r="C290" s="80">
        <v>1500</v>
      </c>
      <c r="D290" s="81">
        <v>182.09</v>
      </c>
      <c r="E290" s="43">
        <v>0</v>
      </c>
      <c r="F290" s="60"/>
      <c r="G290" s="56">
        <f t="shared" ref="G290" si="113">+E290+F290</f>
        <v>0</v>
      </c>
      <c r="H290" s="55">
        <f>3200-3200</f>
        <v>0</v>
      </c>
      <c r="I290" s="56">
        <f t="shared" ref="I290" si="114">+G290-H290</f>
        <v>0</v>
      </c>
      <c r="J290" s="56">
        <f t="shared" ref="J290" si="115">I290*C290</f>
        <v>0</v>
      </c>
      <c r="K290" s="57">
        <f t="shared" ref="K290" si="116">+D290*I290</f>
        <v>0</v>
      </c>
      <c r="L290" s="297"/>
      <c r="M290" s="297"/>
      <c r="N290" s="314">
        <f t="shared" ref="N290" si="117">SUM(O290:DK290)</f>
        <v>1500</v>
      </c>
      <c r="O290" s="310">
        <v>500</v>
      </c>
      <c r="P290" s="315">
        <v>500</v>
      </c>
      <c r="Q290" s="315">
        <v>500</v>
      </c>
      <c r="R290" s="349" t="s">
        <v>977</v>
      </c>
      <c r="S290" s="315"/>
      <c r="T290" s="55"/>
      <c r="U290" s="55"/>
      <c r="V290" s="55"/>
      <c r="W290" s="55"/>
      <c r="X290" s="55"/>
      <c r="Y290" s="55"/>
      <c r="Z290" s="55"/>
      <c r="AA290" s="55"/>
      <c r="AB290" s="55"/>
      <c r="AC290" s="55"/>
      <c r="AD290" s="55"/>
      <c r="AE290" s="55"/>
      <c r="AF290" s="55"/>
      <c r="AG290" s="55"/>
      <c r="AH290" s="55"/>
      <c r="AI290" s="55"/>
      <c r="AJ290" s="55"/>
      <c r="AK290" s="55"/>
      <c r="AL290" s="55"/>
      <c r="AM290" s="55"/>
      <c r="AN290" s="55"/>
      <c r="AO290" s="55"/>
      <c r="AP290" s="55"/>
      <c r="AQ290" s="55"/>
      <c r="AR290" s="55"/>
      <c r="AS290" s="55"/>
      <c r="AT290" s="55"/>
      <c r="AU290" s="55"/>
      <c r="AV290" s="55"/>
      <c r="AW290" s="55"/>
      <c r="AX290" s="55"/>
      <c r="AY290" s="55"/>
      <c r="AZ290" s="55"/>
      <c r="BA290" s="55"/>
      <c r="BB290" s="55"/>
      <c r="BC290" s="55"/>
      <c r="BD290" s="55"/>
      <c r="BE290" s="55"/>
      <c r="BF290" s="55"/>
      <c r="BG290" s="55"/>
      <c r="BH290" s="55"/>
      <c r="BI290" s="55"/>
      <c r="BJ290" s="55"/>
      <c r="BK290" s="55"/>
      <c r="BL290" s="55"/>
      <c r="BM290" s="55"/>
      <c r="BN290" s="55"/>
      <c r="BO290" s="55"/>
      <c r="BP290" s="55"/>
      <c r="BQ290" s="55"/>
      <c r="BR290" s="55"/>
      <c r="BS290" s="55"/>
      <c r="BT290" s="55"/>
      <c r="BU290" s="55"/>
      <c r="BV290" s="55"/>
      <c r="BW290" s="55"/>
      <c r="BX290" s="55"/>
      <c r="BY290" s="55"/>
      <c r="BZ290" s="55"/>
      <c r="CA290" s="55"/>
      <c r="CB290" s="55"/>
      <c r="CC290" s="55"/>
      <c r="CD290" s="55"/>
      <c r="CE290" s="55"/>
      <c r="CF290" s="55"/>
      <c r="CG290" s="55"/>
      <c r="CH290" s="55"/>
      <c r="CI290" s="55"/>
      <c r="CJ290" s="55"/>
      <c r="CK290" s="55"/>
      <c r="CL290" s="55"/>
      <c r="CM290" s="55"/>
      <c r="CN290" s="55"/>
      <c r="CO290" s="55"/>
      <c r="CP290" s="55"/>
      <c r="CQ290" s="55"/>
      <c r="CR290" s="55"/>
      <c r="CS290" s="55"/>
      <c r="CT290" s="55"/>
      <c r="CU290" s="55"/>
      <c r="CV290" s="55"/>
      <c r="CW290" s="55"/>
      <c r="CX290" s="55"/>
      <c r="CY290" s="55"/>
      <c r="CZ290" s="55"/>
      <c r="DA290" s="55"/>
      <c r="DB290" s="55"/>
      <c r="DC290" s="55"/>
      <c r="DD290" s="55"/>
      <c r="DE290" s="55"/>
      <c r="DF290" s="55"/>
      <c r="DG290" s="55"/>
      <c r="DH290" s="55"/>
      <c r="DI290" s="55"/>
      <c r="DJ290" s="55"/>
    </row>
    <row r="291" spans="1:114" x14ac:dyDescent="0.25">
      <c r="A291" s="339"/>
      <c r="B291" s="340"/>
      <c r="C291" s="341"/>
      <c r="D291" s="342"/>
      <c r="E291" s="344"/>
      <c r="F291" s="350"/>
      <c r="G291" s="345"/>
      <c r="H291" s="346"/>
      <c r="I291" s="345"/>
      <c r="J291" s="345"/>
      <c r="K291" s="347"/>
      <c r="L291" s="297"/>
      <c r="M291" s="297"/>
      <c r="N291" s="348"/>
      <c r="O291" s="310" t="s">
        <v>967</v>
      </c>
      <c r="P291" s="349" t="s">
        <v>945</v>
      </c>
      <c r="Q291" s="349" t="s">
        <v>932</v>
      </c>
      <c r="R291" s="349" t="s">
        <v>977</v>
      </c>
      <c r="S291" s="349"/>
      <c r="T291" s="346"/>
      <c r="U291" s="346"/>
      <c r="V291" s="346"/>
      <c r="W291" s="346"/>
      <c r="X291" s="346"/>
      <c r="Y291" s="346"/>
      <c r="Z291" s="346"/>
      <c r="AA291" s="346"/>
      <c r="AB291" s="346"/>
      <c r="AC291" s="346"/>
      <c r="AD291" s="346"/>
      <c r="AE291" s="346"/>
      <c r="AF291" s="346"/>
      <c r="AG291" s="346"/>
      <c r="AH291" s="346"/>
      <c r="AI291" s="346"/>
      <c r="AJ291" s="346"/>
      <c r="AK291" s="346"/>
      <c r="AL291" s="346"/>
      <c r="AM291" s="346"/>
      <c r="AN291" s="346"/>
      <c r="AO291" s="346"/>
      <c r="AP291" s="346"/>
      <c r="AQ291" s="346"/>
      <c r="AR291" s="346"/>
      <c r="AS291" s="346"/>
      <c r="AT291" s="346"/>
      <c r="AU291" s="346"/>
      <c r="AV291" s="346"/>
      <c r="AW291" s="346"/>
      <c r="AX291" s="346"/>
      <c r="AY291" s="346"/>
      <c r="AZ291" s="346"/>
      <c r="BA291" s="346"/>
      <c r="BB291" s="346"/>
      <c r="BC291" s="346"/>
      <c r="BD291" s="346"/>
      <c r="BE291" s="346"/>
      <c r="BF291" s="346"/>
      <c r="BG291" s="346"/>
      <c r="BH291" s="346"/>
      <c r="BI291" s="346"/>
      <c r="BJ291" s="346"/>
      <c r="BK291" s="346"/>
      <c r="BL291" s="346"/>
      <c r="BM291" s="346"/>
      <c r="BN291" s="346"/>
      <c r="BO291" s="346"/>
      <c r="BP291" s="346"/>
      <c r="BQ291" s="346"/>
      <c r="BR291" s="346"/>
      <c r="BS291" s="346"/>
      <c r="BT291" s="346"/>
      <c r="BU291" s="346"/>
      <c r="BV291" s="346"/>
      <c r="BW291" s="346"/>
      <c r="BX291" s="346"/>
      <c r="BY291" s="346"/>
      <c r="BZ291" s="346"/>
      <c r="CA291" s="346"/>
      <c r="CB291" s="346"/>
      <c r="CC291" s="346"/>
      <c r="CD291" s="346"/>
      <c r="CE291" s="346"/>
      <c r="CF291" s="346"/>
      <c r="CG291" s="346"/>
      <c r="CH291" s="346"/>
      <c r="CI291" s="346"/>
      <c r="CJ291" s="346"/>
      <c r="CK291" s="346"/>
      <c r="CL291" s="346"/>
      <c r="CM291" s="346"/>
      <c r="CN291" s="346"/>
      <c r="CO291" s="346"/>
      <c r="CP291" s="346"/>
      <c r="CQ291" s="346"/>
      <c r="CR291" s="346"/>
      <c r="CS291" s="346"/>
      <c r="CT291" s="346"/>
      <c r="CU291" s="346"/>
      <c r="CV291" s="346"/>
      <c r="CW291" s="346"/>
      <c r="CX291" s="346"/>
      <c r="CY291" s="346"/>
      <c r="CZ291" s="346"/>
      <c r="DA291" s="346"/>
      <c r="DB291" s="346"/>
      <c r="DC291" s="346"/>
      <c r="DD291" s="346"/>
      <c r="DE291" s="346"/>
      <c r="DF291" s="346"/>
      <c r="DG291" s="346"/>
      <c r="DH291" s="346"/>
      <c r="DI291" s="346"/>
      <c r="DJ291" s="346"/>
    </row>
    <row r="292" spans="1:114" x14ac:dyDescent="0.25">
      <c r="A292" s="120">
        <v>28</v>
      </c>
      <c r="B292" s="79" t="s">
        <v>1032</v>
      </c>
      <c r="C292" s="80">
        <v>1500</v>
      </c>
      <c r="D292" s="81">
        <v>182.09</v>
      </c>
      <c r="E292" s="43">
        <v>0</v>
      </c>
      <c r="F292" s="60"/>
      <c r="G292" s="56">
        <f t="shared" ref="G292" si="118">+E292+F292</f>
        <v>0</v>
      </c>
      <c r="H292" s="55">
        <f>3200-3200</f>
        <v>0</v>
      </c>
      <c r="I292" s="56">
        <f t="shared" ref="I292" si="119">+G292-H292</f>
        <v>0</v>
      </c>
      <c r="J292" s="56">
        <f t="shared" ref="J292" si="120">I292*C292</f>
        <v>0</v>
      </c>
      <c r="K292" s="57">
        <f t="shared" ref="K292" si="121">+D292*I292</f>
        <v>0</v>
      </c>
      <c r="L292" s="297"/>
      <c r="M292" s="297"/>
      <c r="N292" s="314">
        <f t="shared" ref="N292" si="122">SUM(O292:DK292)</f>
        <v>1500</v>
      </c>
      <c r="O292" s="310">
        <v>500</v>
      </c>
      <c r="P292" s="315">
        <v>500</v>
      </c>
      <c r="Q292" s="315">
        <v>500</v>
      </c>
      <c r="R292" s="349" t="s">
        <v>977</v>
      </c>
      <c r="S292" s="315"/>
      <c r="T292" s="55"/>
      <c r="U292" s="55"/>
      <c r="V292" s="55"/>
      <c r="W292" s="55"/>
      <c r="X292" s="55"/>
      <c r="Y292" s="55"/>
      <c r="Z292" s="55"/>
      <c r="AA292" s="55"/>
      <c r="AB292" s="55"/>
      <c r="AC292" s="55"/>
      <c r="AD292" s="55"/>
      <c r="AE292" s="55"/>
      <c r="AF292" s="55"/>
      <c r="AG292" s="55"/>
      <c r="AH292" s="55"/>
      <c r="AI292" s="55"/>
      <c r="AJ292" s="55"/>
      <c r="AK292" s="55"/>
      <c r="AL292" s="55"/>
      <c r="AM292" s="55"/>
      <c r="AN292" s="55"/>
      <c r="AO292" s="55"/>
      <c r="AP292" s="55"/>
      <c r="AQ292" s="55"/>
      <c r="AR292" s="55"/>
      <c r="AS292" s="55"/>
      <c r="AT292" s="55"/>
      <c r="AU292" s="55"/>
      <c r="AV292" s="55"/>
      <c r="AW292" s="55"/>
      <c r="AX292" s="55"/>
      <c r="AY292" s="55"/>
      <c r="AZ292" s="55"/>
      <c r="BA292" s="55"/>
      <c r="BB292" s="55"/>
      <c r="BC292" s="55"/>
      <c r="BD292" s="55"/>
      <c r="BE292" s="55"/>
      <c r="BF292" s="55"/>
      <c r="BG292" s="55"/>
      <c r="BH292" s="55"/>
      <c r="BI292" s="55"/>
      <c r="BJ292" s="55"/>
      <c r="BK292" s="55"/>
      <c r="BL292" s="55"/>
      <c r="BM292" s="55"/>
      <c r="BN292" s="55"/>
      <c r="BO292" s="55"/>
      <c r="BP292" s="55"/>
      <c r="BQ292" s="55"/>
      <c r="BR292" s="55"/>
      <c r="BS292" s="55"/>
      <c r="BT292" s="55"/>
      <c r="BU292" s="55"/>
      <c r="BV292" s="55"/>
      <c r="BW292" s="55"/>
      <c r="BX292" s="55"/>
      <c r="BY292" s="55"/>
      <c r="BZ292" s="55"/>
      <c r="CA292" s="55"/>
      <c r="CB292" s="55"/>
      <c r="CC292" s="55"/>
      <c r="CD292" s="55"/>
      <c r="CE292" s="55"/>
      <c r="CF292" s="55"/>
      <c r="CG292" s="55"/>
      <c r="CH292" s="55"/>
      <c r="CI292" s="55"/>
      <c r="CJ292" s="55"/>
      <c r="CK292" s="55"/>
      <c r="CL292" s="55"/>
      <c r="CM292" s="55"/>
      <c r="CN292" s="55"/>
      <c r="CO292" s="55"/>
      <c r="CP292" s="55"/>
      <c r="CQ292" s="55"/>
      <c r="CR292" s="55"/>
      <c r="CS292" s="55"/>
      <c r="CT292" s="55"/>
      <c r="CU292" s="55"/>
      <c r="CV292" s="55"/>
      <c r="CW292" s="55"/>
      <c r="CX292" s="55"/>
      <c r="CY292" s="55"/>
      <c r="CZ292" s="55"/>
      <c r="DA292" s="55"/>
      <c r="DB292" s="55"/>
      <c r="DC292" s="55"/>
      <c r="DD292" s="55"/>
      <c r="DE292" s="55"/>
      <c r="DF292" s="55"/>
      <c r="DG292" s="55"/>
      <c r="DH292" s="55"/>
      <c r="DI292" s="55"/>
      <c r="DJ292" s="55"/>
    </row>
    <row r="293" spans="1:114" x14ac:dyDescent="0.25">
      <c r="A293" s="339"/>
      <c r="B293" s="340"/>
      <c r="C293" s="341"/>
      <c r="D293" s="342"/>
      <c r="E293" s="344"/>
      <c r="F293" s="350"/>
      <c r="G293" s="345"/>
      <c r="H293" s="346"/>
      <c r="I293" s="345"/>
      <c r="J293" s="345"/>
      <c r="K293" s="347"/>
      <c r="L293" s="297"/>
      <c r="M293" s="297"/>
      <c r="N293" s="348"/>
      <c r="O293" s="310" t="s">
        <v>967</v>
      </c>
      <c r="P293" s="349" t="s">
        <v>945</v>
      </c>
      <c r="Q293" s="349" t="s">
        <v>932</v>
      </c>
      <c r="R293" s="349" t="s">
        <v>977</v>
      </c>
      <c r="S293" s="349"/>
      <c r="T293" s="346"/>
      <c r="U293" s="346"/>
      <c r="V293" s="346"/>
      <c r="W293" s="346"/>
      <c r="X293" s="346"/>
      <c r="Y293" s="346"/>
      <c r="Z293" s="346"/>
      <c r="AA293" s="346"/>
      <c r="AB293" s="346"/>
      <c r="AC293" s="346"/>
      <c r="AD293" s="346"/>
      <c r="AE293" s="346"/>
      <c r="AF293" s="346"/>
      <c r="AG293" s="346"/>
      <c r="AH293" s="346"/>
      <c r="AI293" s="346"/>
      <c r="AJ293" s="346"/>
      <c r="AK293" s="346"/>
      <c r="AL293" s="346"/>
      <c r="AM293" s="346"/>
      <c r="AN293" s="346"/>
      <c r="AO293" s="346"/>
      <c r="AP293" s="346"/>
      <c r="AQ293" s="346"/>
      <c r="AR293" s="346"/>
      <c r="AS293" s="346"/>
      <c r="AT293" s="346"/>
      <c r="AU293" s="346"/>
      <c r="AV293" s="346"/>
      <c r="AW293" s="346"/>
      <c r="AX293" s="346"/>
      <c r="AY293" s="346"/>
      <c r="AZ293" s="346"/>
      <c r="BA293" s="346"/>
      <c r="BB293" s="346"/>
      <c r="BC293" s="346"/>
      <c r="BD293" s="346"/>
      <c r="BE293" s="346"/>
      <c r="BF293" s="346"/>
      <c r="BG293" s="346"/>
      <c r="BH293" s="346"/>
      <c r="BI293" s="346"/>
      <c r="BJ293" s="346"/>
      <c r="BK293" s="346"/>
      <c r="BL293" s="346"/>
      <c r="BM293" s="346"/>
      <c r="BN293" s="346"/>
      <c r="BO293" s="346"/>
      <c r="BP293" s="346"/>
      <c r="BQ293" s="346"/>
      <c r="BR293" s="346"/>
      <c r="BS293" s="346"/>
      <c r="BT293" s="346"/>
      <c r="BU293" s="346"/>
      <c r="BV293" s="346"/>
      <c r="BW293" s="346"/>
      <c r="BX293" s="346"/>
      <c r="BY293" s="346"/>
      <c r="BZ293" s="346"/>
      <c r="CA293" s="346"/>
      <c r="CB293" s="346"/>
      <c r="CC293" s="346"/>
      <c r="CD293" s="346"/>
      <c r="CE293" s="346"/>
      <c r="CF293" s="346"/>
      <c r="CG293" s="346"/>
      <c r="CH293" s="346"/>
      <c r="CI293" s="346"/>
      <c r="CJ293" s="346"/>
      <c r="CK293" s="346"/>
      <c r="CL293" s="346"/>
      <c r="CM293" s="346"/>
      <c r="CN293" s="346"/>
      <c r="CO293" s="346"/>
      <c r="CP293" s="346"/>
      <c r="CQ293" s="346"/>
      <c r="CR293" s="346"/>
      <c r="CS293" s="346"/>
      <c r="CT293" s="346"/>
      <c r="CU293" s="346"/>
      <c r="CV293" s="346"/>
      <c r="CW293" s="346"/>
      <c r="CX293" s="346"/>
      <c r="CY293" s="346"/>
      <c r="CZ293" s="346"/>
      <c r="DA293" s="346"/>
      <c r="DB293" s="346"/>
      <c r="DC293" s="346"/>
      <c r="DD293" s="346"/>
      <c r="DE293" s="346"/>
      <c r="DF293" s="346"/>
      <c r="DG293" s="346"/>
      <c r="DH293" s="346"/>
      <c r="DI293" s="346"/>
      <c r="DJ293" s="346"/>
    </row>
    <row r="294" spans="1:114" x14ac:dyDescent="0.25">
      <c r="A294" s="120">
        <v>29</v>
      </c>
      <c r="B294" s="79" t="s">
        <v>1033</v>
      </c>
      <c r="C294" s="80">
        <v>1500</v>
      </c>
      <c r="D294" s="81">
        <v>182.09</v>
      </c>
      <c r="E294" s="43">
        <v>0</v>
      </c>
      <c r="F294" s="60"/>
      <c r="G294" s="56">
        <f t="shared" ref="G294" si="123">+E294+F294</f>
        <v>0</v>
      </c>
      <c r="H294" s="55">
        <f>3200-3200</f>
        <v>0</v>
      </c>
      <c r="I294" s="56">
        <f t="shared" ref="I294" si="124">+G294-H294</f>
        <v>0</v>
      </c>
      <c r="J294" s="56">
        <f t="shared" ref="J294" si="125">I294*C294</f>
        <v>0</v>
      </c>
      <c r="K294" s="57">
        <f t="shared" ref="K294" si="126">+D294*I294</f>
        <v>0</v>
      </c>
      <c r="L294" s="297"/>
      <c r="M294" s="297"/>
      <c r="N294" s="314">
        <f t="shared" ref="N294" si="127">SUM(O294:DK294)</f>
        <v>1500</v>
      </c>
      <c r="O294" s="310">
        <v>500</v>
      </c>
      <c r="P294" s="315">
        <v>500</v>
      </c>
      <c r="Q294" s="315">
        <v>500</v>
      </c>
      <c r="R294" s="349" t="s">
        <v>977</v>
      </c>
      <c r="S294" s="315"/>
      <c r="T294" s="55"/>
      <c r="U294" s="55"/>
      <c r="V294" s="55"/>
      <c r="W294" s="55"/>
      <c r="X294" s="55"/>
      <c r="Y294" s="55"/>
      <c r="Z294" s="55"/>
      <c r="AA294" s="55"/>
      <c r="AB294" s="55"/>
      <c r="AC294" s="55"/>
      <c r="AD294" s="55"/>
      <c r="AE294" s="55"/>
      <c r="AF294" s="55"/>
      <c r="AG294" s="55"/>
      <c r="AH294" s="55"/>
      <c r="AI294" s="55"/>
      <c r="AJ294" s="55"/>
      <c r="AK294" s="55"/>
      <c r="AL294" s="55"/>
      <c r="AM294" s="55"/>
      <c r="AN294" s="55"/>
      <c r="AO294" s="55"/>
      <c r="AP294" s="55"/>
      <c r="AQ294" s="55"/>
      <c r="AR294" s="55"/>
      <c r="AS294" s="55"/>
      <c r="AT294" s="55"/>
      <c r="AU294" s="55"/>
      <c r="AV294" s="55"/>
      <c r="AW294" s="55"/>
      <c r="AX294" s="55"/>
      <c r="AY294" s="55"/>
      <c r="AZ294" s="55"/>
      <c r="BA294" s="55"/>
      <c r="BB294" s="55"/>
      <c r="BC294" s="55"/>
      <c r="BD294" s="55"/>
      <c r="BE294" s="55"/>
      <c r="BF294" s="55"/>
      <c r="BG294" s="55"/>
      <c r="BH294" s="55"/>
      <c r="BI294" s="55"/>
      <c r="BJ294" s="55"/>
      <c r="BK294" s="55"/>
      <c r="BL294" s="55"/>
      <c r="BM294" s="55"/>
      <c r="BN294" s="55"/>
      <c r="BO294" s="55"/>
      <c r="BP294" s="55"/>
      <c r="BQ294" s="55"/>
      <c r="BR294" s="55"/>
      <c r="BS294" s="55"/>
      <c r="BT294" s="55"/>
      <c r="BU294" s="55"/>
      <c r="BV294" s="55"/>
      <c r="BW294" s="55"/>
      <c r="BX294" s="55"/>
      <c r="BY294" s="55"/>
      <c r="BZ294" s="55"/>
      <c r="CA294" s="55"/>
      <c r="CB294" s="55"/>
      <c r="CC294" s="55"/>
      <c r="CD294" s="55"/>
      <c r="CE294" s="55"/>
      <c r="CF294" s="55"/>
      <c r="CG294" s="55"/>
      <c r="CH294" s="55"/>
      <c r="CI294" s="55"/>
      <c r="CJ294" s="55"/>
      <c r="CK294" s="55"/>
      <c r="CL294" s="55"/>
      <c r="CM294" s="55"/>
      <c r="CN294" s="55"/>
      <c r="CO294" s="55"/>
      <c r="CP294" s="55"/>
      <c r="CQ294" s="55"/>
      <c r="CR294" s="55"/>
      <c r="CS294" s="55"/>
      <c r="CT294" s="55"/>
      <c r="CU294" s="55"/>
      <c r="CV294" s="55"/>
      <c r="CW294" s="55"/>
      <c r="CX294" s="55"/>
      <c r="CY294" s="55"/>
      <c r="CZ294" s="55"/>
      <c r="DA294" s="55"/>
      <c r="DB294" s="55"/>
      <c r="DC294" s="55"/>
      <c r="DD294" s="55"/>
      <c r="DE294" s="55"/>
      <c r="DF294" s="55"/>
      <c r="DG294" s="55"/>
      <c r="DH294" s="55"/>
      <c r="DI294" s="55"/>
      <c r="DJ294" s="55"/>
    </row>
    <row r="295" spans="1:114" x14ac:dyDescent="0.25">
      <c r="A295" s="339"/>
      <c r="B295" s="340"/>
      <c r="C295" s="341"/>
      <c r="D295" s="342"/>
      <c r="E295" s="344"/>
      <c r="F295" s="350"/>
      <c r="G295" s="345"/>
      <c r="H295" s="346"/>
      <c r="I295" s="345"/>
      <c r="J295" s="345"/>
      <c r="K295" s="347"/>
      <c r="L295" s="297"/>
      <c r="M295" s="297"/>
      <c r="N295" s="348"/>
      <c r="O295" s="310" t="s">
        <v>967</v>
      </c>
      <c r="P295" s="349" t="s">
        <v>945</v>
      </c>
      <c r="Q295" s="349" t="s">
        <v>932</v>
      </c>
      <c r="R295" s="349" t="s">
        <v>977</v>
      </c>
      <c r="S295" s="349"/>
      <c r="T295" s="346"/>
      <c r="U295" s="346"/>
      <c r="V295" s="346"/>
      <c r="W295" s="346"/>
      <c r="X295" s="346"/>
      <c r="Y295" s="346"/>
      <c r="Z295" s="346"/>
      <c r="AA295" s="346"/>
      <c r="AB295" s="346"/>
      <c r="AC295" s="346"/>
      <c r="AD295" s="346"/>
      <c r="AE295" s="346"/>
      <c r="AF295" s="346"/>
      <c r="AG295" s="346"/>
      <c r="AH295" s="346"/>
      <c r="AI295" s="346"/>
      <c r="AJ295" s="346"/>
      <c r="AK295" s="346"/>
      <c r="AL295" s="346"/>
      <c r="AM295" s="346"/>
      <c r="AN295" s="346"/>
      <c r="AO295" s="346"/>
      <c r="AP295" s="346"/>
      <c r="AQ295" s="346"/>
      <c r="AR295" s="346"/>
      <c r="AS295" s="346"/>
      <c r="AT295" s="346"/>
      <c r="AU295" s="346"/>
      <c r="AV295" s="346"/>
      <c r="AW295" s="346"/>
      <c r="AX295" s="346"/>
      <c r="AY295" s="346"/>
      <c r="AZ295" s="346"/>
      <c r="BA295" s="346"/>
      <c r="BB295" s="346"/>
      <c r="BC295" s="346"/>
      <c r="BD295" s="346"/>
      <c r="BE295" s="346"/>
      <c r="BF295" s="346"/>
      <c r="BG295" s="346"/>
      <c r="BH295" s="346"/>
      <c r="BI295" s="346"/>
      <c r="BJ295" s="346"/>
      <c r="BK295" s="346"/>
      <c r="BL295" s="346"/>
      <c r="BM295" s="346"/>
      <c r="BN295" s="346"/>
      <c r="BO295" s="346"/>
      <c r="BP295" s="346"/>
      <c r="BQ295" s="346"/>
      <c r="BR295" s="346"/>
      <c r="BS295" s="346"/>
      <c r="BT295" s="346"/>
      <c r="BU295" s="346"/>
      <c r="BV295" s="346"/>
      <c r="BW295" s="346"/>
      <c r="BX295" s="346"/>
      <c r="BY295" s="346"/>
      <c r="BZ295" s="346"/>
      <c r="CA295" s="346"/>
      <c r="CB295" s="346"/>
      <c r="CC295" s="346"/>
      <c r="CD295" s="346"/>
      <c r="CE295" s="346"/>
      <c r="CF295" s="346"/>
      <c r="CG295" s="346"/>
      <c r="CH295" s="346"/>
      <c r="CI295" s="346"/>
      <c r="CJ295" s="346"/>
      <c r="CK295" s="346"/>
      <c r="CL295" s="346"/>
      <c r="CM295" s="346"/>
      <c r="CN295" s="346"/>
      <c r="CO295" s="346"/>
      <c r="CP295" s="346"/>
      <c r="CQ295" s="346"/>
      <c r="CR295" s="346"/>
      <c r="CS295" s="346"/>
      <c r="CT295" s="346"/>
      <c r="CU295" s="346"/>
      <c r="CV295" s="346"/>
      <c r="CW295" s="346"/>
      <c r="CX295" s="346"/>
      <c r="CY295" s="346"/>
      <c r="CZ295" s="346"/>
      <c r="DA295" s="346"/>
      <c r="DB295" s="346"/>
      <c r="DC295" s="346"/>
      <c r="DD295" s="346"/>
      <c r="DE295" s="346"/>
      <c r="DF295" s="346"/>
      <c r="DG295" s="346"/>
      <c r="DH295" s="346"/>
      <c r="DI295" s="346"/>
      <c r="DJ295" s="346"/>
    </row>
    <row r="296" spans="1:114" x14ac:dyDescent="0.25">
      <c r="A296" s="120">
        <v>30</v>
      </c>
      <c r="B296" s="79" t="s">
        <v>1034</v>
      </c>
      <c r="C296" s="80">
        <v>1500</v>
      </c>
      <c r="D296" s="81">
        <v>182.09</v>
      </c>
      <c r="E296" s="43">
        <v>0</v>
      </c>
      <c r="F296" s="60"/>
      <c r="G296" s="56">
        <f t="shared" ref="G296" si="128">+E296+F296</f>
        <v>0</v>
      </c>
      <c r="H296" s="55">
        <f>3200-3200</f>
        <v>0</v>
      </c>
      <c r="I296" s="56">
        <f t="shared" ref="I296" si="129">+G296-H296</f>
        <v>0</v>
      </c>
      <c r="J296" s="56">
        <f t="shared" ref="J296" si="130">I296*C296</f>
        <v>0</v>
      </c>
      <c r="K296" s="57">
        <f t="shared" ref="K296" si="131">+D296*I296</f>
        <v>0</v>
      </c>
      <c r="L296" s="297"/>
      <c r="M296" s="297"/>
      <c r="N296" s="314">
        <f t="shared" ref="N296" si="132">SUM(O296:DK296)</f>
        <v>1500</v>
      </c>
      <c r="O296" s="310">
        <v>500</v>
      </c>
      <c r="P296" s="315">
        <v>500</v>
      </c>
      <c r="Q296" s="315">
        <v>500</v>
      </c>
      <c r="R296" s="349" t="s">
        <v>977</v>
      </c>
      <c r="S296" s="315"/>
      <c r="T296" s="55"/>
      <c r="U296" s="55"/>
      <c r="V296" s="55"/>
      <c r="W296" s="55"/>
      <c r="X296" s="55"/>
      <c r="Y296" s="55"/>
      <c r="Z296" s="55"/>
      <c r="AA296" s="55"/>
      <c r="AB296" s="55"/>
      <c r="AC296" s="55"/>
      <c r="AD296" s="55"/>
      <c r="AE296" s="55"/>
      <c r="AF296" s="55"/>
      <c r="AG296" s="55"/>
      <c r="AH296" s="55"/>
      <c r="AI296" s="55"/>
      <c r="AJ296" s="55"/>
      <c r="AK296" s="55"/>
      <c r="AL296" s="55"/>
      <c r="AM296" s="55"/>
      <c r="AN296" s="55"/>
      <c r="AO296" s="55"/>
      <c r="AP296" s="55"/>
      <c r="AQ296" s="55"/>
      <c r="AR296" s="55"/>
      <c r="AS296" s="55"/>
      <c r="AT296" s="55"/>
      <c r="AU296" s="55"/>
      <c r="AV296" s="55"/>
      <c r="AW296" s="55"/>
      <c r="AX296" s="55"/>
      <c r="AY296" s="55"/>
      <c r="AZ296" s="55"/>
      <c r="BA296" s="55"/>
      <c r="BB296" s="55"/>
      <c r="BC296" s="55"/>
      <c r="BD296" s="55"/>
      <c r="BE296" s="55"/>
      <c r="BF296" s="55"/>
      <c r="BG296" s="55"/>
      <c r="BH296" s="55"/>
      <c r="BI296" s="55"/>
      <c r="BJ296" s="55"/>
      <c r="BK296" s="55"/>
      <c r="BL296" s="55"/>
      <c r="BM296" s="55"/>
      <c r="BN296" s="55"/>
      <c r="BO296" s="55"/>
      <c r="BP296" s="55"/>
      <c r="BQ296" s="55"/>
      <c r="BR296" s="55"/>
      <c r="BS296" s="55"/>
      <c r="BT296" s="55"/>
      <c r="BU296" s="55"/>
      <c r="BV296" s="55"/>
      <c r="BW296" s="55"/>
      <c r="BX296" s="55"/>
      <c r="BY296" s="55"/>
      <c r="BZ296" s="55"/>
      <c r="CA296" s="55"/>
      <c r="CB296" s="55"/>
      <c r="CC296" s="55"/>
      <c r="CD296" s="55"/>
      <c r="CE296" s="55"/>
      <c r="CF296" s="55"/>
      <c r="CG296" s="55"/>
      <c r="CH296" s="55"/>
      <c r="CI296" s="55"/>
      <c r="CJ296" s="55"/>
      <c r="CK296" s="55"/>
      <c r="CL296" s="55"/>
      <c r="CM296" s="55"/>
      <c r="CN296" s="55"/>
      <c r="CO296" s="55"/>
      <c r="CP296" s="55"/>
      <c r="CQ296" s="55"/>
      <c r="CR296" s="55"/>
      <c r="CS296" s="55"/>
      <c r="CT296" s="55"/>
      <c r="CU296" s="55"/>
      <c r="CV296" s="55"/>
      <c r="CW296" s="55"/>
      <c r="CX296" s="55"/>
      <c r="CY296" s="55"/>
      <c r="CZ296" s="55"/>
      <c r="DA296" s="55"/>
      <c r="DB296" s="55"/>
      <c r="DC296" s="55"/>
      <c r="DD296" s="55"/>
      <c r="DE296" s="55"/>
      <c r="DF296" s="55"/>
      <c r="DG296" s="55"/>
      <c r="DH296" s="55"/>
      <c r="DI296" s="55"/>
      <c r="DJ296" s="55"/>
    </row>
    <row r="297" spans="1:114" x14ac:dyDescent="0.25">
      <c r="A297" s="339"/>
      <c r="B297" s="340"/>
      <c r="C297" s="341"/>
      <c r="D297" s="342"/>
      <c r="E297" s="344"/>
      <c r="F297" s="350"/>
      <c r="G297" s="345"/>
      <c r="H297" s="346"/>
      <c r="I297" s="345"/>
      <c r="J297" s="345"/>
      <c r="K297" s="347"/>
      <c r="L297" s="297"/>
      <c r="M297" s="297"/>
      <c r="N297" s="348"/>
      <c r="O297" s="310" t="s">
        <v>967</v>
      </c>
      <c r="P297" s="349" t="s">
        <v>945</v>
      </c>
      <c r="Q297" s="349" t="s">
        <v>932</v>
      </c>
      <c r="R297" s="349" t="s">
        <v>977</v>
      </c>
      <c r="S297" s="349"/>
      <c r="T297" s="346"/>
      <c r="U297" s="346"/>
      <c r="V297" s="346"/>
      <c r="W297" s="346"/>
      <c r="X297" s="346"/>
      <c r="Y297" s="346"/>
      <c r="Z297" s="346"/>
      <c r="AA297" s="346"/>
      <c r="AB297" s="346"/>
      <c r="AC297" s="346"/>
      <c r="AD297" s="346"/>
      <c r="AE297" s="346"/>
      <c r="AF297" s="346"/>
      <c r="AG297" s="346"/>
      <c r="AH297" s="346"/>
      <c r="AI297" s="346"/>
      <c r="AJ297" s="346"/>
      <c r="AK297" s="346"/>
      <c r="AL297" s="346"/>
      <c r="AM297" s="346"/>
      <c r="AN297" s="346"/>
      <c r="AO297" s="346"/>
      <c r="AP297" s="346"/>
      <c r="AQ297" s="346"/>
      <c r="AR297" s="346"/>
      <c r="AS297" s="346"/>
      <c r="AT297" s="346"/>
      <c r="AU297" s="346"/>
      <c r="AV297" s="346"/>
      <c r="AW297" s="346"/>
      <c r="AX297" s="346"/>
      <c r="AY297" s="346"/>
      <c r="AZ297" s="346"/>
      <c r="BA297" s="346"/>
      <c r="BB297" s="346"/>
      <c r="BC297" s="346"/>
      <c r="BD297" s="346"/>
      <c r="BE297" s="346"/>
      <c r="BF297" s="346"/>
      <c r="BG297" s="346"/>
      <c r="BH297" s="346"/>
      <c r="BI297" s="346"/>
      <c r="BJ297" s="346"/>
      <c r="BK297" s="346"/>
      <c r="BL297" s="346"/>
      <c r="BM297" s="346"/>
      <c r="BN297" s="346"/>
      <c r="BO297" s="346"/>
      <c r="BP297" s="346"/>
      <c r="BQ297" s="346"/>
      <c r="BR297" s="346"/>
      <c r="BS297" s="346"/>
      <c r="BT297" s="346"/>
      <c r="BU297" s="346"/>
      <c r="BV297" s="346"/>
      <c r="BW297" s="346"/>
      <c r="BX297" s="346"/>
      <c r="BY297" s="346"/>
      <c r="BZ297" s="346"/>
      <c r="CA297" s="346"/>
      <c r="CB297" s="346"/>
      <c r="CC297" s="346"/>
      <c r="CD297" s="346"/>
      <c r="CE297" s="346"/>
      <c r="CF297" s="346"/>
      <c r="CG297" s="346"/>
      <c r="CH297" s="346"/>
      <c r="CI297" s="346"/>
      <c r="CJ297" s="346"/>
      <c r="CK297" s="346"/>
      <c r="CL297" s="346"/>
      <c r="CM297" s="346"/>
      <c r="CN297" s="346"/>
      <c r="CO297" s="346"/>
      <c r="CP297" s="346"/>
      <c r="CQ297" s="346"/>
      <c r="CR297" s="346"/>
      <c r="CS297" s="346"/>
      <c r="CT297" s="346"/>
      <c r="CU297" s="346"/>
      <c r="CV297" s="346"/>
      <c r="CW297" s="346"/>
      <c r="CX297" s="346"/>
      <c r="CY297" s="346"/>
      <c r="CZ297" s="346"/>
      <c r="DA297" s="346"/>
      <c r="DB297" s="346"/>
      <c r="DC297" s="346"/>
      <c r="DD297" s="346"/>
      <c r="DE297" s="346"/>
      <c r="DF297" s="346"/>
      <c r="DG297" s="346"/>
      <c r="DH297" s="346"/>
      <c r="DI297" s="346"/>
      <c r="DJ297" s="346"/>
    </row>
    <row r="298" spans="1:114" x14ac:dyDescent="0.25">
      <c r="A298" s="120">
        <v>31</v>
      </c>
      <c r="B298" s="79" t="s">
        <v>1035</v>
      </c>
      <c r="C298" s="80">
        <v>1500</v>
      </c>
      <c r="D298" s="81">
        <v>182.09</v>
      </c>
      <c r="E298" s="43">
        <v>0</v>
      </c>
      <c r="F298" s="60"/>
      <c r="G298" s="56">
        <f t="shared" ref="G298" si="133">+E298+F298</f>
        <v>0</v>
      </c>
      <c r="H298" s="55">
        <f>3200-3200</f>
        <v>0</v>
      </c>
      <c r="I298" s="56">
        <f t="shared" ref="I298" si="134">+G298-H298</f>
        <v>0</v>
      </c>
      <c r="J298" s="56">
        <f t="shared" ref="J298" si="135">I298*C298</f>
        <v>0</v>
      </c>
      <c r="K298" s="57">
        <f t="shared" ref="K298" si="136">+D298*I298</f>
        <v>0</v>
      </c>
      <c r="L298" s="297"/>
      <c r="M298" s="297"/>
      <c r="N298" s="314">
        <f t="shared" ref="N298" si="137">SUM(O298:DK298)</f>
        <v>1500</v>
      </c>
      <c r="O298" s="310">
        <v>500</v>
      </c>
      <c r="P298" s="315">
        <v>500</v>
      </c>
      <c r="Q298" s="315">
        <v>500</v>
      </c>
      <c r="R298" s="349" t="s">
        <v>977</v>
      </c>
      <c r="S298" s="315"/>
      <c r="T298" s="55"/>
      <c r="U298" s="55"/>
      <c r="V298" s="55"/>
      <c r="W298" s="55"/>
      <c r="X298" s="55"/>
      <c r="Y298" s="55"/>
      <c r="Z298" s="55"/>
      <c r="AA298" s="55"/>
      <c r="AB298" s="55"/>
      <c r="AC298" s="55"/>
      <c r="AD298" s="55"/>
      <c r="AE298" s="55"/>
      <c r="AF298" s="55"/>
      <c r="AG298" s="55"/>
      <c r="AH298" s="55"/>
      <c r="AI298" s="55"/>
      <c r="AJ298" s="55"/>
      <c r="AK298" s="55"/>
      <c r="AL298" s="55"/>
      <c r="AM298" s="55"/>
      <c r="AN298" s="55"/>
      <c r="AO298" s="55"/>
      <c r="AP298" s="55"/>
      <c r="AQ298" s="55"/>
      <c r="AR298" s="55"/>
      <c r="AS298" s="55"/>
      <c r="AT298" s="55"/>
      <c r="AU298" s="55"/>
      <c r="AV298" s="55"/>
      <c r="AW298" s="55"/>
      <c r="AX298" s="55"/>
      <c r="AY298" s="55"/>
      <c r="AZ298" s="55"/>
      <c r="BA298" s="55"/>
      <c r="BB298" s="55"/>
      <c r="BC298" s="55"/>
      <c r="BD298" s="55"/>
      <c r="BE298" s="55"/>
      <c r="BF298" s="55"/>
      <c r="BG298" s="55"/>
      <c r="BH298" s="55"/>
      <c r="BI298" s="55"/>
      <c r="BJ298" s="55"/>
      <c r="BK298" s="55"/>
      <c r="BL298" s="55"/>
      <c r="BM298" s="55"/>
      <c r="BN298" s="55"/>
      <c r="BO298" s="55"/>
      <c r="BP298" s="55"/>
      <c r="BQ298" s="55"/>
      <c r="BR298" s="55"/>
      <c r="BS298" s="55"/>
      <c r="BT298" s="55"/>
      <c r="BU298" s="55"/>
      <c r="BV298" s="55"/>
      <c r="BW298" s="55"/>
      <c r="BX298" s="55"/>
      <c r="BY298" s="55"/>
      <c r="BZ298" s="55"/>
      <c r="CA298" s="55"/>
      <c r="CB298" s="55"/>
      <c r="CC298" s="55"/>
      <c r="CD298" s="55"/>
      <c r="CE298" s="55"/>
      <c r="CF298" s="55"/>
      <c r="CG298" s="55"/>
      <c r="CH298" s="55"/>
      <c r="CI298" s="55"/>
      <c r="CJ298" s="55"/>
      <c r="CK298" s="55"/>
      <c r="CL298" s="55"/>
      <c r="CM298" s="55"/>
      <c r="CN298" s="55"/>
      <c r="CO298" s="55"/>
      <c r="CP298" s="55"/>
      <c r="CQ298" s="55"/>
      <c r="CR298" s="55"/>
      <c r="CS298" s="55"/>
      <c r="CT298" s="55"/>
      <c r="CU298" s="55"/>
      <c r="CV298" s="55"/>
      <c r="CW298" s="55"/>
      <c r="CX298" s="55"/>
      <c r="CY298" s="55"/>
      <c r="CZ298" s="55"/>
      <c r="DA298" s="55"/>
      <c r="DB298" s="55"/>
      <c r="DC298" s="55"/>
      <c r="DD298" s="55"/>
      <c r="DE298" s="55"/>
      <c r="DF298" s="55"/>
      <c r="DG298" s="55"/>
      <c r="DH298" s="55"/>
      <c r="DI298" s="55"/>
      <c r="DJ298" s="55"/>
    </row>
    <row r="299" spans="1:114" x14ac:dyDescent="0.25">
      <c r="A299" s="339"/>
      <c r="B299" s="340"/>
      <c r="C299" s="341"/>
      <c r="D299" s="342"/>
      <c r="E299" s="344"/>
      <c r="F299" s="350"/>
      <c r="G299" s="345"/>
      <c r="H299" s="346"/>
      <c r="I299" s="345"/>
      <c r="J299" s="345"/>
      <c r="K299" s="347"/>
      <c r="L299" s="297"/>
      <c r="M299" s="297"/>
      <c r="N299" s="348"/>
      <c r="O299" s="310" t="s">
        <v>967</v>
      </c>
      <c r="P299" s="349" t="s">
        <v>945</v>
      </c>
      <c r="Q299" s="349" t="s">
        <v>932</v>
      </c>
      <c r="R299" s="349" t="s">
        <v>977</v>
      </c>
      <c r="S299" s="349"/>
      <c r="T299" s="346"/>
      <c r="U299" s="346"/>
      <c r="V299" s="346"/>
      <c r="W299" s="346"/>
      <c r="X299" s="346"/>
      <c r="Y299" s="346"/>
      <c r="Z299" s="346"/>
      <c r="AA299" s="346"/>
      <c r="AB299" s="346"/>
      <c r="AC299" s="346"/>
      <c r="AD299" s="346"/>
      <c r="AE299" s="346"/>
      <c r="AF299" s="346"/>
      <c r="AG299" s="346"/>
      <c r="AH299" s="346"/>
      <c r="AI299" s="346"/>
      <c r="AJ299" s="346"/>
      <c r="AK299" s="346"/>
      <c r="AL299" s="346"/>
      <c r="AM299" s="346"/>
      <c r="AN299" s="346"/>
      <c r="AO299" s="346"/>
      <c r="AP299" s="346"/>
      <c r="AQ299" s="346"/>
      <c r="AR299" s="346"/>
      <c r="AS299" s="346"/>
      <c r="AT299" s="346"/>
      <c r="AU299" s="346"/>
      <c r="AV299" s="346"/>
      <c r="AW299" s="346"/>
      <c r="AX299" s="346"/>
      <c r="AY299" s="346"/>
      <c r="AZ299" s="346"/>
      <c r="BA299" s="346"/>
      <c r="BB299" s="346"/>
      <c r="BC299" s="346"/>
      <c r="BD299" s="346"/>
      <c r="BE299" s="346"/>
      <c r="BF299" s="346"/>
      <c r="BG299" s="346"/>
      <c r="BH299" s="346"/>
      <c r="BI299" s="346"/>
      <c r="BJ299" s="346"/>
      <c r="BK299" s="346"/>
      <c r="BL299" s="346"/>
      <c r="BM299" s="346"/>
      <c r="BN299" s="346"/>
      <c r="BO299" s="346"/>
      <c r="BP299" s="346"/>
      <c r="BQ299" s="346"/>
      <c r="BR299" s="346"/>
      <c r="BS299" s="346"/>
      <c r="BT299" s="346"/>
      <c r="BU299" s="346"/>
      <c r="BV299" s="346"/>
      <c r="BW299" s="346"/>
      <c r="BX299" s="346"/>
      <c r="BY299" s="346"/>
      <c r="BZ299" s="346"/>
      <c r="CA299" s="346"/>
      <c r="CB299" s="346"/>
      <c r="CC299" s="346"/>
      <c r="CD299" s="346"/>
      <c r="CE299" s="346"/>
      <c r="CF299" s="346"/>
      <c r="CG299" s="346"/>
      <c r="CH299" s="346"/>
      <c r="CI299" s="346"/>
      <c r="CJ299" s="346"/>
      <c r="CK299" s="346"/>
      <c r="CL299" s="346"/>
      <c r="CM299" s="346"/>
      <c r="CN299" s="346"/>
      <c r="CO299" s="346"/>
      <c r="CP299" s="346"/>
      <c r="CQ299" s="346"/>
      <c r="CR299" s="346"/>
      <c r="CS299" s="346"/>
      <c r="CT299" s="346"/>
      <c r="CU299" s="346"/>
      <c r="CV299" s="346"/>
      <c r="CW299" s="346"/>
      <c r="CX299" s="346"/>
      <c r="CY299" s="346"/>
      <c r="CZ299" s="346"/>
      <c r="DA299" s="346"/>
      <c r="DB299" s="346"/>
      <c r="DC299" s="346"/>
      <c r="DD299" s="346"/>
      <c r="DE299" s="346"/>
      <c r="DF299" s="346"/>
      <c r="DG299" s="346"/>
      <c r="DH299" s="346"/>
      <c r="DI299" s="346"/>
      <c r="DJ299" s="346"/>
    </row>
    <row r="300" spans="1:114" x14ac:dyDescent="0.25">
      <c r="A300" s="120">
        <v>32</v>
      </c>
      <c r="B300" s="79" t="s">
        <v>1025</v>
      </c>
      <c r="C300" s="80">
        <v>1500</v>
      </c>
      <c r="D300" s="81">
        <v>182.09</v>
      </c>
      <c r="E300" s="43">
        <v>0</v>
      </c>
      <c r="F300" s="60"/>
      <c r="G300" s="56">
        <f t="shared" ref="G300" si="138">+E300+F300</f>
        <v>0</v>
      </c>
      <c r="H300" s="55">
        <f>3200-3200</f>
        <v>0</v>
      </c>
      <c r="I300" s="56">
        <f t="shared" ref="I300" si="139">+G300-H300</f>
        <v>0</v>
      </c>
      <c r="J300" s="56">
        <f t="shared" ref="J300" si="140">I300*C300</f>
        <v>0</v>
      </c>
      <c r="K300" s="57">
        <f t="shared" ref="K300" si="141">+D300*I300</f>
        <v>0</v>
      </c>
      <c r="L300" s="297"/>
      <c r="M300" s="297"/>
      <c r="N300" s="314">
        <f t="shared" ref="N300" si="142">SUM(O300:DK300)</f>
        <v>1500</v>
      </c>
      <c r="O300" s="310">
        <v>500</v>
      </c>
      <c r="P300" s="315">
        <v>500</v>
      </c>
      <c r="Q300" s="315">
        <v>500</v>
      </c>
      <c r="R300" s="349" t="s">
        <v>977</v>
      </c>
      <c r="S300" s="315"/>
      <c r="T300" s="55"/>
      <c r="U300" s="55"/>
      <c r="V300" s="55"/>
      <c r="W300" s="55"/>
      <c r="X300" s="55"/>
      <c r="Y300" s="55"/>
      <c r="Z300" s="55"/>
      <c r="AA300" s="55"/>
      <c r="AB300" s="55"/>
      <c r="AC300" s="55"/>
      <c r="AD300" s="55"/>
      <c r="AE300" s="55"/>
      <c r="AF300" s="55"/>
      <c r="AG300" s="55"/>
      <c r="AH300" s="55"/>
      <c r="AI300" s="55"/>
      <c r="AJ300" s="55"/>
      <c r="AK300" s="55"/>
      <c r="AL300" s="55"/>
      <c r="AM300" s="55"/>
      <c r="AN300" s="55"/>
      <c r="AO300" s="55"/>
      <c r="AP300" s="55"/>
      <c r="AQ300" s="55"/>
      <c r="AR300" s="55"/>
      <c r="AS300" s="55"/>
      <c r="AT300" s="55"/>
      <c r="AU300" s="55"/>
      <c r="AV300" s="55"/>
      <c r="AW300" s="55"/>
      <c r="AX300" s="55"/>
      <c r="AY300" s="55"/>
      <c r="AZ300" s="55"/>
      <c r="BA300" s="55"/>
      <c r="BB300" s="55"/>
      <c r="BC300" s="55"/>
      <c r="BD300" s="55"/>
      <c r="BE300" s="55"/>
      <c r="BF300" s="55"/>
      <c r="BG300" s="55"/>
      <c r="BH300" s="55"/>
      <c r="BI300" s="55"/>
      <c r="BJ300" s="55"/>
      <c r="BK300" s="55"/>
      <c r="BL300" s="55"/>
      <c r="BM300" s="55"/>
      <c r="BN300" s="55"/>
      <c r="BO300" s="55"/>
      <c r="BP300" s="55"/>
      <c r="BQ300" s="55"/>
      <c r="BR300" s="55"/>
      <c r="BS300" s="55"/>
      <c r="BT300" s="55"/>
      <c r="BU300" s="55"/>
      <c r="BV300" s="55"/>
      <c r="BW300" s="55"/>
      <c r="BX300" s="55"/>
      <c r="BY300" s="55"/>
      <c r="BZ300" s="55"/>
      <c r="CA300" s="55"/>
      <c r="CB300" s="55"/>
      <c r="CC300" s="55"/>
      <c r="CD300" s="55"/>
      <c r="CE300" s="55"/>
      <c r="CF300" s="55"/>
      <c r="CG300" s="55"/>
      <c r="CH300" s="55"/>
      <c r="CI300" s="55"/>
      <c r="CJ300" s="55"/>
      <c r="CK300" s="55"/>
      <c r="CL300" s="55"/>
      <c r="CM300" s="55"/>
      <c r="CN300" s="55"/>
      <c r="CO300" s="55"/>
      <c r="CP300" s="55"/>
      <c r="CQ300" s="55"/>
      <c r="CR300" s="55"/>
      <c r="CS300" s="55"/>
      <c r="CT300" s="55"/>
      <c r="CU300" s="55"/>
      <c r="CV300" s="55"/>
      <c r="CW300" s="55"/>
      <c r="CX300" s="55"/>
      <c r="CY300" s="55"/>
      <c r="CZ300" s="55"/>
      <c r="DA300" s="55"/>
      <c r="DB300" s="55"/>
      <c r="DC300" s="55"/>
      <c r="DD300" s="55"/>
      <c r="DE300" s="55"/>
      <c r="DF300" s="55"/>
      <c r="DG300" s="55"/>
      <c r="DH300" s="55"/>
      <c r="DI300" s="55"/>
      <c r="DJ300" s="55"/>
    </row>
    <row r="301" spans="1:114" x14ac:dyDescent="0.25">
      <c r="A301" s="339"/>
      <c r="B301" s="340"/>
      <c r="C301" s="341"/>
      <c r="D301" s="342"/>
      <c r="E301" s="344"/>
      <c r="F301" s="350"/>
      <c r="G301" s="345"/>
      <c r="H301" s="346"/>
      <c r="I301" s="345"/>
      <c r="J301" s="345"/>
      <c r="K301" s="347"/>
      <c r="L301" s="297"/>
      <c r="M301" s="297"/>
      <c r="N301" s="348"/>
      <c r="O301" s="310"/>
      <c r="P301" s="349"/>
      <c r="Q301" s="349"/>
      <c r="R301" s="349"/>
      <c r="S301" s="349"/>
      <c r="T301" s="346"/>
      <c r="U301" s="346"/>
      <c r="V301" s="346"/>
      <c r="W301" s="346"/>
      <c r="X301" s="346"/>
      <c r="Y301" s="346"/>
      <c r="Z301" s="346"/>
      <c r="AA301" s="346"/>
      <c r="AB301" s="346"/>
      <c r="AC301" s="346"/>
      <c r="AD301" s="346"/>
      <c r="AE301" s="346"/>
      <c r="AF301" s="346"/>
      <c r="AG301" s="346"/>
      <c r="AH301" s="346"/>
      <c r="AI301" s="346"/>
      <c r="AJ301" s="346"/>
      <c r="AK301" s="346"/>
      <c r="AL301" s="346"/>
      <c r="AM301" s="346"/>
      <c r="AN301" s="346"/>
      <c r="AO301" s="346"/>
      <c r="AP301" s="346"/>
      <c r="AQ301" s="346"/>
      <c r="AR301" s="346"/>
      <c r="AS301" s="346"/>
      <c r="AT301" s="346"/>
      <c r="AU301" s="346"/>
      <c r="AV301" s="346"/>
      <c r="AW301" s="346"/>
      <c r="AX301" s="346"/>
      <c r="AY301" s="346"/>
      <c r="AZ301" s="346"/>
      <c r="BA301" s="346"/>
      <c r="BB301" s="346"/>
      <c r="BC301" s="346"/>
      <c r="BD301" s="346"/>
      <c r="BE301" s="346"/>
      <c r="BF301" s="346"/>
      <c r="BG301" s="346"/>
      <c r="BH301" s="346"/>
      <c r="BI301" s="346"/>
      <c r="BJ301" s="346"/>
      <c r="BK301" s="346"/>
      <c r="BL301" s="346"/>
      <c r="BM301" s="346"/>
      <c r="BN301" s="346"/>
      <c r="BO301" s="346"/>
      <c r="BP301" s="346"/>
      <c r="BQ301" s="346"/>
      <c r="BR301" s="346"/>
      <c r="BS301" s="346"/>
      <c r="BT301" s="346"/>
      <c r="BU301" s="346"/>
      <c r="BV301" s="346"/>
      <c r="BW301" s="346"/>
      <c r="BX301" s="346"/>
      <c r="BY301" s="346"/>
      <c r="BZ301" s="346"/>
      <c r="CA301" s="346"/>
      <c r="CB301" s="346"/>
      <c r="CC301" s="346"/>
      <c r="CD301" s="346"/>
      <c r="CE301" s="346"/>
      <c r="CF301" s="346"/>
      <c r="CG301" s="346"/>
      <c r="CH301" s="346"/>
      <c r="CI301" s="346"/>
      <c r="CJ301" s="346"/>
      <c r="CK301" s="346"/>
      <c r="CL301" s="346"/>
      <c r="CM301" s="346"/>
      <c r="CN301" s="346"/>
      <c r="CO301" s="346"/>
      <c r="CP301" s="346"/>
      <c r="CQ301" s="346"/>
      <c r="CR301" s="346"/>
      <c r="CS301" s="346"/>
      <c r="CT301" s="346"/>
      <c r="CU301" s="346"/>
      <c r="CV301" s="346"/>
      <c r="CW301" s="346"/>
      <c r="CX301" s="346"/>
      <c r="CY301" s="346"/>
      <c r="CZ301" s="346"/>
      <c r="DA301" s="346"/>
      <c r="DB301" s="346"/>
      <c r="DC301" s="346"/>
      <c r="DD301" s="346"/>
      <c r="DE301" s="346"/>
      <c r="DF301" s="346"/>
      <c r="DG301" s="346"/>
      <c r="DH301" s="346"/>
      <c r="DI301" s="346"/>
      <c r="DJ301" s="346"/>
    </row>
    <row r="302" spans="1:114" ht="15.75" thickBot="1" x14ac:dyDescent="0.3">
      <c r="A302" s="120">
        <v>33</v>
      </c>
      <c r="B302" s="79"/>
      <c r="C302" s="80">
        <v>1500</v>
      </c>
      <c r="D302" s="81">
        <v>182.09</v>
      </c>
      <c r="E302" s="43">
        <v>0</v>
      </c>
      <c r="F302" s="60"/>
      <c r="G302" s="56">
        <f t="shared" ref="G302" si="143">+E302+F302</f>
        <v>0</v>
      </c>
      <c r="H302" s="55">
        <f>3200-3200</f>
        <v>0</v>
      </c>
      <c r="I302" s="56">
        <f t="shared" ref="I302" si="144">+G302-H302</f>
        <v>0</v>
      </c>
      <c r="J302" s="56">
        <f t="shared" ref="J302" si="145">I302*C302</f>
        <v>0</v>
      </c>
      <c r="K302" s="57">
        <f t="shared" ref="K302" si="146">+D302*I302</f>
        <v>0</v>
      </c>
      <c r="L302" s="297"/>
      <c r="M302" s="297"/>
      <c r="N302" s="314">
        <f t="shared" ref="N302" si="147">SUM(O302:DK302)</f>
        <v>0</v>
      </c>
      <c r="O302" s="310"/>
      <c r="P302" s="315"/>
      <c r="Q302" s="315"/>
      <c r="R302" s="315"/>
      <c r="S302" s="315"/>
      <c r="T302" s="55"/>
      <c r="U302" s="55"/>
      <c r="V302" s="55"/>
      <c r="W302" s="55"/>
      <c r="X302" s="55"/>
      <c r="Y302" s="55"/>
      <c r="Z302" s="55"/>
      <c r="AA302" s="55"/>
      <c r="AB302" s="55"/>
      <c r="AC302" s="55"/>
      <c r="AD302" s="55"/>
      <c r="AE302" s="55"/>
      <c r="AF302" s="55"/>
      <c r="AG302" s="55"/>
      <c r="AH302" s="55"/>
      <c r="AI302" s="55"/>
      <c r="AJ302" s="55"/>
      <c r="AK302" s="55"/>
      <c r="AL302" s="55"/>
      <c r="AM302" s="55"/>
      <c r="AN302" s="55"/>
      <c r="AO302" s="55"/>
      <c r="AP302" s="55"/>
      <c r="AQ302" s="55"/>
      <c r="AR302" s="55"/>
      <c r="AS302" s="55"/>
      <c r="AT302" s="55"/>
      <c r="AU302" s="55"/>
      <c r="AV302" s="55"/>
      <c r="AW302" s="55"/>
      <c r="AX302" s="55"/>
      <c r="AY302" s="55"/>
      <c r="AZ302" s="55"/>
      <c r="BA302" s="55"/>
      <c r="BB302" s="55"/>
      <c r="BC302" s="55"/>
      <c r="BD302" s="55"/>
      <c r="BE302" s="55"/>
      <c r="BF302" s="55"/>
      <c r="BG302" s="55"/>
      <c r="BH302" s="55"/>
      <c r="BI302" s="55"/>
      <c r="BJ302" s="55"/>
      <c r="BK302" s="55"/>
      <c r="BL302" s="55"/>
      <c r="BM302" s="55"/>
      <c r="BN302" s="55"/>
      <c r="BO302" s="55"/>
      <c r="BP302" s="55"/>
      <c r="BQ302" s="55"/>
      <c r="BR302" s="55"/>
      <c r="BS302" s="55"/>
      <c r="BT302" s="55"/>
      <c r="BU302" s="55"/>
      <c r="BV302" s="55"/>
      <c r="BW302" s="55"/>
      <c r="BX302" s="55"/>
      <c r="BY302" s="55"/>
      <c r="BZ302" s="55"/>
      <c r="CA302" s="55"/>
      <c r="CB302" s="55"/>
      <c r="CC302" s="55"/>
      <c r="CD302" s="55"/>
      <c r="CE302" s="55"/>
      <c r="CF302" s="55"/>
      <c r="CG302" s="55"/>
      <c r="CH302" s="55"/>
      <c r="CI302" s="55"/>
      <c r="CJ302" s="55"/>
      <c r="CK302" s="55"/>
      <c r="CL302" s="55"/>
      <c r="CM302" s="55"/>
      <c r="CN302" s="55"/>
      <c r="CO302" s="55"/>
      <c r="CP302" s="55"/>
      <c r="CQ302" s="55"/>
      <c r="CR302" s="55"/>
      <c r="CS302" s="55"/>
      <c r="CT302" s="55"/>
      <c r="CU302" s="55"/>
      <c r="CV302" s="55"/>
      <c r="CW302" s="55"/>
      <c r="CX302" s="55"/>
      <c r="CY302" s="55"/>
      <c r="CZ302" s="55"/>
      <c r="DA302" s="55"/>
      <c r="DB302" s="55"/>
      <c r="DC302" s="55"/>
      <c r="DD302" s="55"/>
      <c r="DE302" s="55"/>
      <c r="DF302" s="55"/>
      <c r="DG302" s="55"/>
      <c r="DH302" s="55"/>
      <c r="DI302" s="55"/>
      <c r="DJ302" s="55"/>
    </row>
    <row r="303" spans="1:114" ht="15.75" thickBot="1" x14ac:dyDescent="0.3">
      <c r="A303" s="83"/>
      <c r="B303" s="119" t="s">
        <v>673</v>
      </c>
      <c r="C303" s="36"/>
      <c r="D303" s="36"/>
      <c r="E303" s="29">
        <f t="shared" ref="E303:K303" si="148">SUM(E238:E254)</f>
        <v>0</v>
      </c>
      <c r="F303" s="29">
        <f t="shared" si="148"/>
        <v>0</v>
      </c>
      <c r="G303" s="29">
        <f t="shared" si="148"/>
        <v>0</v>
      </c>
      <c r="H303" s="29">
        <f t="shared" si="148"/>
        <v>0</v>
      </c>
      <c r="I303" s="29">
        <f t="shared" si="148"/>
        <v>0</v>
      </c>
      <c r="J303" s="29">
        <f t="shared" si="148"/>
        <v>0</v>
      </c>
      <c r="K303" s="172">
        <f t="shared" si="148"/>
        <v>0</v>
      </c>
      <c r="L303" s="299"/>
      <c r="M303" s="299"/>
      <c r="N303" s="322">
        <f t="shared" si="51"/>
        <v>0</v>
      </c>
      <c r="O303" s="325"/>
      <c r="P303" s="325"/>
      <c r="Q303" s="325"/>
      <c r="R303" s="325"/>
      <c r="S303" s="325"/>
      <c r="T303" s="324"/>
      <c r="U303" s="324"/>
      <c r="V303" s="324"/>
      <c r="W303" s="324"/>
      <c r="X303" s="324"/>
      <c r="Y303" s="324"/>
      <c r="Z303" s="324"/>
      <c r="AA303" s="324"/>
      <c r="AB303" s="324"/>
      <c r="AC303" s="324"/>
      <c r="AD303" s="324"/>
      <c r="AE303" s="324"/>
      <c r="AF303" s="324"/>
      <c r="AG303" s="324"/>
      <c r="AH303" s="324"/>
      <c r="AI303" s="324"/>
      <c r="AJ303" s="324"/>
      <c r="AK303" s="324"/>
      <c r="AL303" s="324"/>
      <c r="AM303" s="324"/>
      <c r="AN303" s="324"/>
      <c r="AO303" s="324"/>
      <c r="AP303" s="324"/>
      <c r="AQ303" s="324"/>
      <c r="AR303" s="324"/>
      <c r="AS303" s="324"/>
      <c r="AT303" s="324"/>
      <c r="AU303" s="324"/>
      <c r="AV303" s="324"/>
      <c r="AW303" s="324"/>
      <c r="AX303" s="324"/>
      <c r="AY303" s="324"/>
      <c r="AZ303" s="324"/>
      <c r="BA303" s="324"/>
      <c r="BB303" s="324"/>
      <c r="BC303" s="324"/>
      <c r="BD303" s="324"/>
      <c r="BE303" s="324"/>
      <c r="BF303" s="324"/>
      <c r="BG303" s="324"/>
      <c r="BH303" s="324"/>
      <c r="BI303" s="324"/>
      <c r="BJ303" s="324"/>
      <c r="BK303" s="324"/>
      <c r="BL303" s="324"/>
      <c r="BM303" s="324"/>
      <c r="BN303" s="324"/>
      <c r="BO303" s="324"/>
      <c r="BP303" s="324"/>
      <c r="BQ303" s="324"/>
      <c r="BR303" s="324"/>
      <c r="BS303" s="324"/>
      <c r="BT303" s="324"/>
      <c r="BU303" s="324"/>
      <c r="BV303" s="324"/>
      <c r="BW303" s="324"/>
      <c r="BX303" s="324"/>
      <c r="BY303" s="324"/>
      <c r="BZ303" s="324"/>
      <c r="CA303" s="324"/>
      <c r="CB303" s="324"/>
      <c r="CC303" s="324"/>
      <c r="CD303" s="324"/>
      <c r="CE303" s="324"/>
      <c r="CF303" s="324"/>
      <c r="CG303" s="324"/>
      <c r="CH303" s="324"/>
      <c r="CI303" s="324"/>
      <c r="CJ303" s="324"/>
      <c r="CK303" s="324"/>
      <c r="CL303" s="324"/>
      <c r="CM303" s="324"/>
      <c r="CN303" s="324"/>
      <c r="CO303" s="324"/>
      <c r="CP303" s="324"/>
      <c r="CQ303" s="324"/>
      <c r="CR303" s="324"/>
      <c r="CS303" s="324"/>
      <c r="CT303" s="324"/>
      <c r="CU303" s="324"/>
      <c r="CV303" s="324"/>
      <c r="CW303" s="324"/>
      <c r="CX303" s="324"/>
      <c r="CY303" s="324"/>
      <c r="CZ303" s="324"/>
      <c r="DA303" s="324"/>
      <c r="DB303" s="324"/>
      <c r="DC303" s="324"/>
      <c r="DD303" s="324"/>
      <c r="DE303" s="324"/>
      <c r="DF303" s="324"/>
      <c r="DG303" s="324"/>
      <c r="DH303" s="324"/>
      <c r="DI303" s="324"/>
      <c r="DJ303" s="324"/>
    </row>
    <row r="304" spans="1:114" ht="15.75" thickBot="1" x14ac:dyDescent="0.3">
      <c r="B304" s="93"/>
      <c r="C304" s="94"/>
      <c r="D304" s="95"/>
      <c r="E304" s="96"/>
      <c r="F304" s="62"/>
      <c r="G304" s="96"/>
      <c r="H304" s="96"/>
      <c r="I304" s="96"/>
      <c r="J304" s="96"/>
      <c r="K304" s="95"/>
      <c r="L304" s="163"/>
      <c r="M304" s="163"/>
      <c r="N304" s="295"/>
      <c r="O304" s="234"/>
      <c r="P304" s="234"/>
      <c r="Q304" s="234"/>
      <c r="R304" s="234"/>
      <c r="S304" s="234"/>
      <c r="T304" s="67"/>
      <c r="U304" s="67"/>
      <c r="V304" s="67"/>
    </row>
    <row r="305" spans="1:114" ht="15.75" thickBot="1" x14ac:dyDescent="0.3">
      <c r="A305" s="407" t="s">
        <v>657</v>
      </c>
      <c r="B305" s="414" t="s">
        <v>0</v>
      </c>
      <c r="C305" s="414" t="s">
        <v>1</v>
      </c>
      <c r="D305" s="415" t="s">
        <v>649</v>
      </c>
      <c r="E305" s="416" t="s">
        <v>19</v>
      </c>
      <c r="F305" s="416"/>
      <c r="G305" s="416"/>
      <c r="H305" s="416"/>
      <c r="I305" s="416"/>
      <c r="J305" s="410" t="s">
        <v>21</v>
      </c>
      <c r="K305" s="412" t="s">
        <v>602</v>
      </c>
      <c r="L305" s="295"/>
      <c r="M305" s="295"/>
      <c r="N305" s="403" t="s">
        <v>601</v>
      </c>
      <c r="O305" s="403" t="s">
        <v>924</v>
      </c>
      <c r="P305" s="403"/>
      <c r="Q305" s="403"/>
      <c r="R305" s="403"/>
      <c r="S305" s="403"/>
      <c r="T305" s="403"/>
      <c r="U305" s="403"/>
      <c r="V305" s="403"/>
      <c r="W305" s="403"/>
      <c r="X305" s="403"/>
      <c r="Y305" s="403"/>
      <c r="Z305" s="403"/>
      <c r="AA305" s="403"/>
      <c r="AB305" s="403"/>
      <c r="AC305" s="403"/>
      <c r="AD305" s="403"/>
      <c r="AE305" s="403"/>
      <c r="AF305" s="403"/>
      <c r="AG305" s="403"/>
      <c r="AH305" s="403"/>
      <c r="AI305" s="403"/>
      <c r="AJ305" s="403"/>
      <c r="AK305" s="403"/>
      <c r="AL305" s="403"/>
      <c r="AM305" s="403"/>
      <c r="AN305" s="403"/>
      <c r="AO305" s="403"/>
      <c r="AP305" s="403"/>
      <c r="AQ305" s="403"/>
      <c r="AR305" s="403"/>
      <c r="AS305" s="403"/>
      <c r="AT305" s="403"/>
      <c r="AU305" s="403"/>
      <c r="AV305" s="403"/>
      <c r="AW305" s="403"/>
      <c r="AX305" s="403"/>
      <c r="AY305" s="403"/>
      <c r="AZ305" s="403"/>
      <c r="BA305" s="403"/>
      <c r="BB305" s="403"/>
      <c r="BC305" s="403"/>
      <c r="BD305" s="403"/>
      <c r="BE305" s="403"/>
      <c r="BF305" s="403"/>
      <c r="BG305" s="403"/>
      <c r="BH305" s="403"/>
      <c r="BI305" s="403"/>
      <c r="BJ305" s="403"/>
      <c r="BK305" s="403"/>
      <c r="BL305" s="403"/>
      <c r="BM305" s="403"/>
      <c r="BN305" s="403"/>
      <c r="BO305" s="403"/>
      <c r="BP305" s="403"/>
      <c r="BQ305" s="403"/>
      <c r="BR305" s="403"/>
      <c r="BS305" s="403"/>
      <c r="BT305" s="403"/>
      <c r="BU305" s="403"/>
      <c r="BV305" s="403"/>
      <c r="BW305" s="403"/>
      <c r="BX305" s="403"/>
      <c r="BY305" s="403"/>
      <c r="BZ305" s="403"/>
      <c r="CA305" s="403"/>
      <c r="CB305" s="403"/>
      <c r="CC305" s="403"/>
      <c r="CD305" s="403"/>
      <c r="CE305" s="403"/>
      <c r="CF305" s="403"/>
      <c r="CG305" s="403"/>
      <c r="CH305" s="403"/>
      <c r="CI305" s="403"/>
      <c r="CJ305" s="403"/>
      <c r="CK305" s="403"/>
      <c r="CL305" s="403"/>
      <c r="CM305" s="403"/>
      <c r="CN305" s="403"/>
      <c r="CO305" s="403"/>
      <c r="CP305" s="403"/>
      <c r="CQ305" s="403"/>
      <c r="CR305" s="403"/>
      <c r="CS305" s="403"/>
      <c r="CT305" s="403"/>
      <c r="CU305" s="403"/>
      <c r="CV305" s="403"/>
      <c r="CW305" s="403"/>
      <c r="CX305" s="403"/>
      <c r="CY305" s="403"/>
      <c r="CZ305" s="403"/>
      <c r="DA305" s="403"/>
      <c r="DB305" s="403"/>
      <c r="DC305" s="403"/>
      <c r="DD305" s="403"/>
      <c r="DE305" s="403"/>
      <c r="DF305" s="403"/>
      <c r="DG305" s="403"/>
      <c r="DH305" s="403"/>
      <c r="DI305" s="403"/>
      <c r="DJ305" s="403"/>
    </row>
    <row r="306" spans="1:114" ht="15.75" thickBot="1" x14ac:dyDescent="0.3">
      <c r="A306" s="408"/>
      <c r="B306" s="414"/>
      <c r="C306" s="414"/>
      <c r="D306" s="415"/>
      <c r="E306" s="68" t="s">
        <v>22</v>
      </c>
      <c r="F306" s="68" t="s">
        <v>600</v>
      </c>
      <c r="G306" s="68" t="s">
        <v>601</v>
      </c>
      <c r="H306" s="68" t="s">
        <v>589</v>
      </c>
      <c r="I306" s="68" t="s">
        <v>601</v>
      </c>
      <c r="J306" s="411"/>
      <c r="K306" s="413"/>
      <c r="L306" s="295"/>
      <c r="M306" s="295"/>
      <c r="N306" s="403"/>
      <c r="O306" s="400" t="s">
        <v>927</v>
      </c>
      <c r="P306" s="400" t="s">
        <v>928</v>
      </c>
      <c r="Q306" s="400" t="s">
        <v>929</v>
      </c>
      <c r="R306" s="400" t="s">
        <v>930</v>
      </c>
      <c r="S306" s="400" t="s">
        <v>931</v>
      </c>
      <c r="T306" s="398" t="s">
        <v>932</v>
      </c>
      <c r="U306" s="398" t="s">
        <v>933</v>
      </c>
      <c r="V306" s="398" t="s">
        <v>934</v>
      </c>
      <c r="W306" s="398" t="s">
        <v>935</v>
      </c>
      <c r="X306" s="398" t="s">
        <v>936</v>
      </c>
      <c r="Y306" s="398" t="s">
        <v>946</v>
      </c>
      <c r="Z306" s="398" t="s">
        <v>937</v>
      </c>
      <c r="AA306" s="398" t="s">
        <v>938</v>
      </c>
      <c r="AB306" s="398" t="s">
        <v>939</v>
      </c>
      <c r="AC306" s="398" t="s">
        <v>939</v>
      </c>
      <c r="AD306" s="398" t="s">
        <v>939</v>
      </c>
      <c r="AE306" s="398" t="s">
        <v>940</v>
      </c>
      <c r="AF306" s="398" t="s">
        <v>943</v>
      </c>
      <c r="AG306" s="398"/>
      <c r="AH306" s="398"/>
      <c r="AI306" s="398"/>
      <c r="AJ306" s="398"/>
      <c r="AK306" s="398"/>
      <c r="AL306" s="398"/>
      <c r="AM306" s="398"/>
      <c r="AN306" s="398"/>
      <c r="AO306" s="398"/>
      <c r="AP306" s="398"/>
      <c r="AQ306" s="398"/>
      <c r="AR306" s="398"/>
      <c r="AS306" s="398"/>
      <c r="AT306" s="398"/>
      <c r="AU306" s="398"/>
      <c r="AV306" s="398"/>
      <c r="AW306" s="398"/>
      <c r="AX306" s="398"/>
      <c r="AY306" s="398"/>
      <c r="AZ306" s="398"/>
      <c r="BA306" s="398"/>
      <c r="BB306" s="398"/>
      <c r="BC306" s="398"/>
      <c r="BD306" s="398"/>
      <c r="BE306" s="398"/>
      <c r="BF306" s="398"/>
      <c r="BG306" s="398"/>
      <c r="BH306" s="398"/>
      <c r="BI306" s="398"/>
      <c r="BJ306" s="398"/>
      <c r="BK306" s="398"/>
      <c r="BL306" s="398"/>
      <c r="BM306" s="398"/>
      <c r="BN306" s="398"/>
      <c r="BO306" s="398"/>
      <c r="BP306" s="398"/>
      <c r="BQ306" s="398"/>
      <c r="BR306" s="398"/>
      <c r="BS306" s="398"/>
      <c r="BT306" s="398"/>
      <c r="BU306" s="398"/>
      <c r="BV306" s="398"/>
      <c r="BW306" s="398"/>
      <c r="BX306" s="398"/>
      <c r="BY306" s="398"/>
      <c r="BZ306" s="398"/>
      <c r="CA306" s="398"/>
      <c r="CB306" s="398"/>
      <c r="CC306" s="398"/>
      <c r="CD306" s="398"/>
      <c r="CE306" s="398"/>
      <c r="CF306" s="398"/>
      <c r="CG306" s="398"/>
      <c r="CH306" s="398"/>
      <c r="CI306" s="398"/>
      <c r="CJ306" s="398"/>
      <c r="CK306" s="398"/>
      <c r="CL306" s="398"/>
      <c r="CM306" s="398"/>
      <c r="CN306" s="398"/>
      <c r="CO306" s="398"/>
      <c r="CP306" s="398"/>
      <c r="CQ306" s="398"/>
      <c r="CR306" s="398"/>
      <c r="CS306" s="398"/>
      <c r="CT306" s="398"/>
      <c r="CU306" s="398"/>
      <c r="CV306" s="398"/>
      <c r="CW306" s="398"/>
      <c r="CX306" s="398"/>
      <c r="CY306" s="398"/>
      <c r="CZ306" s="398"/>
      <c r="DA306" s="398"/>
      <c r="DB306" s="398"/>
      <c r="DC306" s="398"/>
      <c r="DD306" s="398"/>
      <c r="DE306" s="398"/>
      <c r="DF306" s="398"/>
      <c r="DG306" s="398"/>
      <c r="DH306" s="398"/>
      <c r="DI306" s="398"/>
      <c r="DJ306" s="398"/>
    </row>
    <row r="307" spans="1:114" ht="15.75" thickBot="1" x14ac:dyDescent="0.3">
      <c r="A307" s="409"/>
      <c r="B307" s="69">
        <v>1</v>
      </c>
      <c r="C307" s="69">
        <v>2</v>
      </c>
      <c r="D307" s="69">
        <v>3</v>
      </c>
      <c r="E307" s="70">
        <v>4</v>
      </c>
      <c r="F307" s="70">
        <f>+E307+1</f>
        <v>5</v>
      </c>
      <c r="G307" s="70" t="s">
        <v>652</v>
      </c>
      <c r="H307" s="70">
        <v>7</v>
      </c>
      <c r="I307" s="71" t="s">
        <v>651</v>
      </c>
      <c r="J307" s="42" t="s">
        <v>650</v>
      </c>
      <c r="K307" s="303" t="s">
        <v>653</v>
      </c>
      <c r="L307" s="296"/>
      <c r="M307" s="296"/>
      <c r="N307" s="403"/>
      <c r="O307" s="402"/>
      <c r="P307" s="402"/>
      <c r="Q307" s="402"/>
      <c r="R307" s="402"/>
      <c r="S307" s="402"/>
      <c r="T307" s="399"/>
      <c r="U307" s="399"/>
      <c r="V307" s="399"/>
      <c r="W307" s="399"/>
      <c r="X307" s="399"/>
      <c r="Y307" s="399"/>
      <c r="Z307" s="399"/>
      <c r="AA307" s="399"/>
      <c r="AB307" s="399"/>
      <c r="AC307" s="399"/>
      <c r="AD307" s="399"/>
      <c r="AE307" s="399"/>
      <c r="AF307" s="399"/>
      <c r="AG307" s="399"/>
      <c r="AH307" s="399"/>
      <c r="AI307" s="399"/>
      <c r="AJ307" s="399"/>
      <c r="AK307" s="399"/>
      <c r="AL307" s="399"/>
      <c r="AM307" s="399"/>
      <c r="AN307" s="399"/>
      <c r="AO307" s="399"/>
      <c r="AP307" s="399"/>
      <c r="AQ307" s="399"/>
      <c r="AR307" s="399"/>
      <c r="AS307" s="399"/>
      <c r="AT307" s="399"/>
      <c r="AU307" s="399"/>
      <c r="AV307" s="399"/>
      <c r="AW307" s="399"/>
      <c r="AX307" s="399"/>
      <c r="AY307" s="399"/>
      <c r="AZ307" s="399"/>
      <c r="BA307" s="399"/>
      <c r="BB307" s="399"/>
      <c r="BC307" s="399"/>
      <c r="BD307" s="399"/>
      <c r="BE307" s="399"/>
      <c r="BF307" s="399"/>
      <c r="BG307" s="399"/>
      <c r="BH307" s="399"/>
      <c r="BI307" s="399"/>
      <c r="BJ307" s="399"/>
      <c r="BK307" s="399"/>
      <c r="BL307" s="399"/>
      <c r="BM307" s="399"/>
      <c r="BN307" s="399"/>
      <c r="BO307" s="399"/>
      <c r="BP307" s="399"/>
      <c r="BQ307" s="399"/>
      <c r="BR307" s="399"/>
      <c r="BS307" s="399"/>
      <c r="BT307" s="399"/>
      <c r="BU307" s="399"/>
      <c r="BV307" s="399"/>
      <c r="BW307" s="399"/>
      <c r="BX307" s="399"/>
      <c r="BY307" s="399"/>
      <c r="BZ307" s="399"/>
      <c r="CA307" s="399"/>
      <c r="CB307" s="399"/>
      <c r="CC307" s="399"/>
      <c r="CD307" s="399"/>
      <c r="CE307" s="399"/>
      <c r="CF307" s="399"/>
      <c r="CG307" s="399"/>
      <c r="CH307" s="399"/>
      <c r="CI307" s="399"/>
      <c r="CJ307" s="399"/>
      <c r="CK307" s="399"/>
      <c r="CL307" s="399"/>
      <c r="CM307" s="399"/>
      <c r="CN307" s="399"/>
      <c r="CO307" s="399"/>
      <c r="CP307" s="399"/>
      <c r="CQ307" s="399"/>
      <c r="CR307" s="399"/>
      <c r="CS307" s="399"/>
      <c r="CT307" s="399"/>
      <c r="CU307" s="399"/>
      <c r="CV307" s="399"/>
      <c r="CW307" s="399"/>
      <c r="CX307" s="399"/>
      <c r="CY307" s="399"/>
      <c r="CZ307" s="399"/>
      <c r="DA307" s="399"/>
      <c r="DB307" s="399"/>
      <c r="DC307" s="399"/>
      <c r="DD307" s="399"/>
      <c r="DE307" s="399"/>
      <c r="DF307" s="399"/>
      <c r="DG307" s="399"/>
      <c r="DH307" s="399"/>
      <c r="DI307" s="399"/>
      <c r="DJ307" s="399"/>
    </row>
    <row r="308" spans="1:114" ht="15" customHeight="1" x14ac:dyDescent="0.25">
      <c r="A308" s="72"/>
      <c r="B308" s="72" t="s">
        <v>672</v>
      </c>
      <c r="C308" s="91"/>
      <c r="D308" s="74"/>
      <c r="E308" s="54"/>
      <c r="F308" s="54"/>
      <c r="G308" s="54"/>
      <c r="H308" s="54"/>
      <c r="I308" s="54"/>
      <c r="J308" s="54"/>
      <c r="K308" s="54"/>
      <c r="L308" s="234"/>
      <c r="M308" s="234"/>
      <c r="N308" s="314">
        <f t="shared" ref="N308:N322" si="149">SUM(O308:DK308)</f>
        <v>0</v>
      </c>
      <c r="O308" s="310"/>
      <c r="P308" s="315"/>
      <c r="Q308" s="315"/>
      <c r="R308" s="315"/>
      <c r="S308" s="315"/>
      <c r="T308" s="55"/>
      <c r="U308" s="55"/>
      <c r="V308" s="55"/>
      <c r="W308" s="55"/>
      <c r="X308" s="55"/>
      <c r="Y308" s="55"/>
      <c r="Z308" s="55"/>
      <c r="AA308" s="55"/>
      <c r="AB308" s="55"/>
      <c r="AC308" s="55"/>
      <c r="AD308" s="55"/>
      <c r="AE308" s="55"/>
      <c r="AF308" s="55"/>
      <c r="AG308" s="55"/>
      <c r="AH308" s="55"/>
      <c r="AI308" s="55"/>
      <c r="AJ308" s="55"/>
      <c r="AK308" s="55"/>
      <c r="AL308" s="55"/>
      <c r="AM308" s="55"/>
      <c r="AN308" s="55"/>
      <c r="AO308" s="55"/>
      <c r="AP308" s="55"/>
      <c r="AQ308" s="55"/>
      <c r="AR308" s="55"/>
      <c r="AS308" s="55"/>
      <c r="AT308" s="55"/>
      <c r="AU308" s="55"/>
      <c r="AV308" s="55"/>
      <c r="AW308" s="55"/>
      <c r="AX308" s="55"/>
      <c r="AY308" s="55"/>
      <c r="AZ308" s="55"/>
      <c r="BA308" s="55"/>
      <c r="BB308" s="55"/>
      <c r="BC308" s="55"/>
      <c r="BD308" s="55"/>
      <c r="BE308" s="55"/>
      <c r="BF308" s="55"/>
      <c r="BG308" s="55"/>
      <c r="BH308" s="55"/>
      <c r="BI308" s="55"/>
      <c r="BJ308" s="55"/>
      <c r="BK308" s="55"/>
      <c r="BL308" s="55"/>
      <c r="BM308" s="55"/>
      <c r="BN308" s="55"/>
      <c r="BO308" s="55"/>
      <c r="BP308" s="55"/>
      <c r="BQ308" s="55"/>
      <c r="BR308" s="55"/>
      <c r="BS308" s="55"/>
      <c r="BT308" s="55"/>
      <c r="BU308" s="55"/>
      <c r="BV308" s="55"/>
      <c r="BW308" s="55"/>
      <c r="BX308" s="55"/>
      <c r="BY308" s="55"/>
      <c r="BZ308" s="55"/>
      <c r="CA308" s="55"/>
      <c r="CB308" s="55"/>
      <c r="CC308" s="55"/>
      <c r="CD308" s="55"/>
      <c r="CE308" s="55"/>
      <c r="CF308" s="55"/>
      <c r="CG308" s="55"/>
      <c r="CH308" s="55"/>
      <c r="CI308" s="55"/>
      <c r="CJ308" s="55"/>
      <c r="CK308" s="55"/>
      <c r="CL308" s="55"/>
      <c r="CM308" s="55"/>
      <c r="CN308" s="55"/>
      <c r="CO308" s="55"/>
      <c r="CP308" s="55"/>
      <c r="CQ308" s="55"/>
      <c r="CR308" s="55"/>
      <c r="CS308" s="55"/>
      <c r="CT308" s="55"/>
      <c r="CU308" s="55"/>
      <c r="CV308" s="55"/>
      <c r="CW308" s="55"/>
      <c r="CX308" s="55"/>
      <c r="CY308" s="55"/>
      <c r="CZ308" s="55"/>
      <c r="DA308" s="55"/>
      <c r="DB308" s="55"/>
      <c r="DC308" s="55"/>
      <c r="DD308" s="55"/>
      <c r="DE308" s="55"/>
      <c r="DF308" s="55"/>
      <c r="DG308" s="55"/>
      <c r="DH308" s="55"/>
      <c r="DI308" s="55"/>
      <c r="DJ308" s="55"/>
    </row>
    <row r="309" spans="1:114" ht="15" customHeight="1" x14ac:dyDescent="0.25">
      <c r="A309" s="351"/>
      <c r="B309" s="351"/>
      <c r="C309" s="282"/>
      <c r="D309" s="352"/>
      <c r="E309" s="353"/>
      <c r="F309" s="353"/>
      <c r="G309" s="353"/>
      <c r="H309" s="353"/>
      <c r="I309" s="353"/>
      <c r="J309" s="353"/>
      <c r="K309" s="353"/>
      <c r="L309" s="234"/>
      <c r="M309" s="234"/>
      <c r="N309" s="348"/>
      <c r="O309" s="310" t="s">
        <v>943</v>
      </c>
      <c r="P309" s="349" t="s">
        <v>956</v>
      </c>
      <c r="Q309" s="349" t="s">
        <v>946</v>
      </c>
      <c r="R309" s="349" t="s">
        <v>941</v>
      </c>
      <c r="S309" s="349" t="s">
        <v>965</v>
      </c>
      <c r="T309" s="346" t="s">
        <v>932</v>
      </c>
      <c r="U309" s="346" t="s">
        <v>933</v>
      </c>
      <c r="V309" s="346" t="s">
        <v>952</v>
      </c>
      <c r="W309" s="346" t="s">
        <v>930</v>
      </c>
      <c r="X309" s="346" t="s">
        <v>959</v>
      </c>
      <c r="Y309" s="346" t="s">
        <v>934</v>
      </c>
      <c r="Z309" s="346" t="s">
        <v>944</v>
      </c>
      <c r="AA309" s="346"/>
      <c r="AB309" s="346"/>
      <c r="AC309" s="346"/>
      <c r="AD309" s="346"/>
      <c r="AE309" s="346"/>
      <c r="AF309" s="346"/>
      <c r="AG309" s="346"/>
      <c r="AH309" s="346"/>
      <c r="AI309" s="346"/>
      <c r="AJ309" s="346"/>
      <c r="AK309" s="346"/>
      <c r="AL309" s="346"/>
      <c r="AM309" s="346"/>
      <c r="AN309" s="346"/>
      <c r="AO309" s="346"/>
      <c r="AP309" s="346"/>
      <c r="AQ309" s="346"/>
      <c r="AR309" s="346"/>
      <c r="AS309" s="346"/>
      <c r="AT309" s="346"/>
      <c r="AU309" s="346"/>
      <c r="AV309" s="346"/>
      <c r="AW309" s="346"/>
      <c r="AX309" s="346"/>
      <c r="AY309" s="346"/>
      <c r="AZ309" s="346"/>
      <c r="BA309" s="346"/>
      <c r="BB309" s="346"/>
      <c r="BC309" s="346"/>
      <c r="BD309" s="346"/>
      <c r="BE309" s="346"/>
      <c r="BF309" s="346"/>
      <c r="BG309" s="346"/>
      <c r="BH309" s="346"/>
      <c r="BI309" s="346"/>
      <c r="BJ309" s="346"/>
      <c r="BK309" s="346"/>
      <c r="BL309" s="346"/>
      <c r="BM309" s="346"/>
      <c r="BN309" s="346"/>
      <c r="BO309" s="346"/>
      <c r="BP309" s="346"/>
      <c r="BQ309" s="346"/>
      <c r="BR309" s="346"/>
      <c r="BS309" s="346"/>
      <c r="BT309" s="346"/>
      <c r="BU309" s="346"/>
      <c r="BV309" s="346"/>
      <c r="BW309" s="346"/>
      <c r="BX309" s="346"/>
      <c r="BY309" s="346"/>
      <c r="BZ309" s="346"/>
      <c r="CA309" s="346"/>
      <c r="CB309" s="346"/>
      <c r="CC309" s="346"/>
      <c r="CD309" s="346"/>
      <c r="CE309" s="346"/>
      <c r="CF309" s="346"/>
      <c r="CG309" s="346"/>
      <c r="CH309" s="346"/>
      <c r="CI309" s="346"/>
      <c r="CJ309" s="346"/>
      <c r="CK309" s="346"/>
      <c r="CL309" s="346"/>
      <c r="CM309" s="346"/>
      <c r="CN309" s="346"/>
      <c r="CO309" s="346"/>
      <c r="CP309" s="346"/>
      <c r="CQ309" s="346"/>
      <c r="CR309" s="346"/>
      <c r="CS309" s="346"/>
      <c r="CT309" s="346"/>
      <c r="CU309" s="346"/>
      <c r="CV309" s="346"/>
      <c r="CW309" s="346"/>
      <c r="CX309" s="346"/>
      <c r="CY309" s="346"/>
      <c r="CZ309" s="346"/>
      <c r="DA309" s="346"/>
      <c r="DB309" s="346"/>
      <c r="DC309" s="346"/>
      <c r="DD309" s="346"/>
      <c r="DE309" s="346"/>
      <c r="DF309" s="346"/>
      <c r="DG309" s="346"/>
      <c r="DH309" s="346"/>
      <c r="DI309" s="346"/>
      <c r="DJ309" s="346"/>
    </row>
    <row r="310" spans="1:114" ht="15" customHeight="1" x14ac:dyDescent="0.25">
      <c r="A310" s="120">
        <v>1</v>
      </c>
      <c r="B310" s="79" t="s">
        <v>113</v>
      </c>
      <c r="C310" s="80">
        <v>1500</v>
      </c>
      <c r="D310" s="81">
        <v>131.47999999999999</v>
      </c>
      <c r="E310" s="59">
        <v>0</v>
      </c>
      <c r="F310" s="60"/>
      <c r="G310" s="56">
        <f t="shared" ref="G310:G343" si="150">+E310+F310</f>
        <v>0</v>
      </c>
      <c r="H310" s="55">
        <f>2760-2760</f>
        <v>0</v>
      </c>
      <c r="I310" s="56">
        <f t="shared" ref="I310:I343" si="151">+G310-H310</f>
        <v>0</v>
      </c>
      <c r="J310" s="56">
        <f t="shared" ref="J310:J343" si="152">I310*C310</f>
        <v>0</v>
      </c>
      <c r="K310" s="57">
        <f t="shared" ref="K310:K343" si="153">+D310*I310</f>
        <v>0</v>
      </c>
      <c r="L310" s="297"/>
      <c r="M310" s="297"/>
      <c r="N310" s="314">
        <f t="shared" si="149"/>
        <v>16128</v>
      </c>
      <c r="O310" s="310">
        <v>2000</v>
      </c>
      <c r="P310" s="315">
        <v>974</v>
      </c>
      <c r="Q310" s="315">
        <v>780</v>
      </c>
      <c r="R310" s="315">
        <v>1000</v>
      </c>
      <c r="S310" s="315">
        <v>680</v>
      </c>
      <c r="T310" s="55">
        <v>1000</v>
      </c>
      <c r="U310" s="55">
        <v>794</v>
      </c>
      <c r="V310" s="55">
        <v>1999</v>
      </c>
      <c r="W310" s="55">
        <v>760</v>
      </c>
      <c r="X310" s="55">
        <v>3381</v>
      </c>
      <c r="Y310" s="55">
        <v>1820</v>
      </c>
      <c r="Z310" s="55">
        <v>940</v>
      </c>
      <c r="AA310" s="55"/>
      <c r="AB310" s="55"/>
      <c r="AC310" s="55"/>
      <c r="AD310" s="55"/>
      <c r="AE310" s="55"/>
      <c r="AF310" s="55"/>
      <c r="AG310" s="55"/>
      <c r="AH310" s="55"/>
      <c r="AI310" s="55"/>
      <c r="AJ310" s="55"/>
      <c r="AK310" s="55"/>
      <c r="AL310" s="55"/>
      <c r="AM310" s="55"/>
      <c r="AN310" s="55"/>
      <c r="AO310" s="55"/>
      <c r="AP310" s="55"/>
      <c r="AQ310" s="55"/>
      <c r="AR310" s="55"/>
      <c r="AS310" s="55"/>
      <c r="AT310" s="55"/>
      <c r="AU310" s="55"/>
      <c r="AV310" s="55"/>
      <c r="AW310" s="55"/>
      <c r="AX310" s="55"/>
      <c r="AY310" s="55"/>
      <c r="AZ310" s="55"/>
      <c r="BA310" s="55"/>
      <c r="BB310" s="55"/>
      <c r="BC310" s="55"/>
      <c r="BD310" s="55"/>
      <c r="BE310" s="55"/>
      <c r="BF310" s="55"/>
      <c r="BG310" s="55"/>
      <c r="BH310" s="55"/>
      <c r="BI310" s="55"/>
      <c r="BJ310" s="55"/>
      <c r="BK310" s="55"/>
      <c r="BL310" s="55"/>
      <c r="BM310" s="55"/>
      <c r="BN310" s="55"/>
      <c r="BO310" s="55"/>
      <c r="BP310" s="55"/>
      <c r="BQ310" s="55"/>
      <c r="BR310" s="55"/>
      <c r="BS310" s="55"/>
      <c r="BT310" s="55"/>
      <c r="BU310" s="55"/>
      <c r="BV310" s="55"/>
      <c r="BW310" s="55"/>
      <c r="BX310" s="55"/>
      <c r="BY310" s="55"/>
      <c r="BZ310" s="55"/>
      <c r="CA310" s="55"/>
      <c r="CB310" s="55"/>
      <c r="CC310" s="55"/>
      <c r="CD310" s="55"/>
      <c r="CE310" s="55"/>
      <c r="CF310" s="55"/>
      <c r="CG310" s="55"/>
      <c r="CH310" s="55"/>
      <c r="CI310" s="55"/>
      <c r="CJ310" s="55"/>
      <c r="CK310" s="55"/>
      <c r="CL310" s="55"/>
      <c r="CM310" s="55"/>
      <c r="CN310" s="55"/>
      <c r="CO310" s="55"/>
      <c r="CP310" s="55"/>
      <c r="CQ310" s="55"/>
      <c r="CR310" s="55"/>
      <c r="CS310" s="55"/>
      <c r="CT310" s="55"/>
      <c r="CU310" s="55"/>
      <c r="CV310" s="55"/>
      <c r="CW310" s="55"/>
      <c r="CX310" s="55"/>
      <c r="CY310" s="55"/>
      <c r="CZ310" s="55"/>
      <c r="DA310" s="55"/>
      <c r="DB310" s="55"/>
      <c r="DC310" s="55"/>
      <c r="DD310" s="55"/>
      <c r="DE310" s="55"/>
      <c r="DF310" s="55"/>
      <c r="DG310" s="55"/>
      <c r="DH310" s="55"/>
      <c r="DI310" s="55"/>
      <c r="DJ310" s="55"/>
    </row>
    <row r="311" spans="1:114" ht="15" customHeight="1" x14ac:dyDescent="0.25">
      <c r="A311" s="339"/>
      <c r="B311" s="340"/>
      <c r="C311" s="341"/>
      <c r="D311" s="342"/>
      <c r="E311" s="343"/>
      <c r="F311" s="350"/>
      <c r="G311" s="345"/>
      <c r="H311" s="346"/>
      <c r="I311" s="345"/>
      <c r="J311" s="345"/>
      <c r="K311" s="347"/>
      <c r="L311" s="297"/>
      <c r="M311" s="297"/>
      <c r="N311" s="348"/>
      <c r="O311" s="310" t="s">
        <v>943</v>
      </c>
      <c r="P311" s="349" t="s">
        <v>942</v>
      </c>
      <c r="Q311" s="349" t="s">
        <v>934</v>
      </c>
      <c r="R311" s="349"/>
      <c r="S311" s="349"/>
      <c r="T311" s="346"/>
      <c r="U311" s="346"/>
      <c r="V311" s="346"/>
      <c r="W311" s="346"/>
      <c r="X311" s="346"/>
      <c r="Y311" s="346"/>
      <c r="Z311" s="346"/>
      <c r="AA311" s="346"/>
      <c r="AB311" s="346"/>
      <c r="AC311" s="346"/>
      <c r="AD311" s="346"/>
      <c r="AE311" s="346"/>
      <c r="AF311" s="346"/>
      <c r="AG311" s="346"/>
      <c r="AH311" s="346"/>
      <c r="AI311" s="346"/>
      <c r="AJ311" s="346"/>
      <c r="AK311" s="346"/>
      <c r="AL311" s="346"/>
      <c r="AM311" s="346"/>
      <c r="AN311" s="346"/>
      <c r="AO311" s="346"/>
      <c r="AP311" s="346"/>
      <c r="AQ311" s="346"/>
      <c r="AR311" s="346"/>
      <c r="AS311" s="346"/>
      <c r="AT311" s="346"/>
      <c r="AU311" s="346"/>
      <c r="AV311" s="346"/>
      <c r="AW311" s="346"/>
      <c r="AX311" s="346"/>
      <c r="AY311" s="346"/>
      <c r="AZ311" s="346"/>
      <c r="BA311" s="346"/>
      <c r="BB311" s="346"/>
      <c r="BC311" s="346"/>
      <c r="BD311" s="346"/>
      <c r="BE311" s="346"/>
      <c r="BF311" s="346"/>
      <c r="BG311" s="346"/>
      <c r="BH311" s="346"/>
      <c r="BI311" s="346"/>
      <c r="BJ311" s="346"/>
      <c r="BK311" s="346"/>
      <c r="BL311" s="346"/>
      <c r="BM311" s="346"/>
      <c r="BN311" s="346"/>
      <c r="BO311" s="346"/>
      <c r="BP311" s="346"/>
      <c r="BQ311" s="346"/>
      <c r="BR311" s="346"/>
      <c r="BS311" s="346"/>
      <c r="BT311" s="346"/>
      <c r="BU311" s="346"/>
      <c r="BV311" s="346"/>
      <c r="BW311" s="346"/>
      <c r="BX311" s="346"/>
      <c r="BY311" s="346"/>
      <c r="BZ311" s="346"/>
      <c r="CA311" s="346"/>
      <c r="CB311" s="346"/>
      <c r="CC311" s="346"/>
      <c r="CD311" s="346"/>
      <c r="CE311" s="346"/>
      <c r="CF311" s="346"/>
      <c r="CG311" s="346"/>
      <c r="CH311" s="346"/>
      <c r="CI311" s="346"/>
      <c r="CJ311" s="346"/>
      <c r="CK311" s="346"/>
      <c r="CL311" s="346"/>
      <c r="CM311" s="346"/>
      <c r="CN311" s="346"/>
      <c r="CO311" s="346"/>
      <c r="CP311" s="346"/>
      <c r="CQ311" s="346"/>
      <c r="CR311" s="346"/>
      <c r="CS311" s="346"/>
      <c r="CT311" s="346"/>
      <c r="CU311" s="346"/>
      <c r="CV311" s="346"/>
      <c r="CW311" s="346"/>
      <c r="CX311" s="346"/>
      <c r="CY311" s="346"/>
      <c r="CZ311" s="346"/>
      <c r="DA311" s="346"/>
      <c r="DB311" s="346"/>
      <c r="DC311" s="346"/>
      <c r="DD311" s="346"/>
      <c r="DE311" s="346"/>
      <c r="DF311" s="346"/>
      <c r="DG311" s="346"/>
      <c r="DH311" s="346"/>
      <c r="DI311" s="346"/>
      <c r="DJ311" s="346"/>
    </row>
    <row r="312" spans="1:114" ht="15" customHeight="1" x14ac:dyDescent="0.25">
      <c r="A312" s="120">
        <v>2</v>
      </c>
      <c r="B312" s="79" t="s">
        <v>113</v>
      </c>
      <c r="C312" s="80">
        <v>3000</v>
      </c>
      <c r="D312" s="81">
        <v>131.47999999999999</v>
      </c>
      <c r="E312" s="59">
        <v>0</v>
      </c>
      <c r="F312" s="60">
        <f>8000-8000</f>
        <v>0</v>
      </c>
      <c r="G312" s="56">
        <f t="shared" si="150"/>
        <v>0</v>
      </c>
      <c r="H312" s="55">
        <f t="shared" ref="H312:H314" si="154">2760-2760</f>
        <v>0</v>
      </c>
      <c r="I312" s="56">
        <f t="shared" si="151"/>
        <v>0</v>
      </c>
      <c r="J312" s="56">
        <f t="shared" si="152"/>
        <v>0</v>
      </c>
      <c r="K312" s="57">
        <f t="shared" si="153"/>
        <v>0</v>
      </c>
      <c r="L312" s="297"/>
      <c r="M312" s="297"/>
      <c r="N312" s="314">
        <f t="shared" si="149"/>
        <v>3880</v>
      </c>
      <c r="O312" s="310">
        <v>2000</v>
      </c>
      <c r="P312" s="315">
        <v>60</v>
      </c>
      <c r="Q312" s="315">
        <v>1820</v>
      </c>
      <c r="R312" s="315"/>
      <c r="S312" s="315"/>
      <c r="T312" s="55"/>
      <c r="U312" s="55"/>
      <c r="V312" s="55"/>
      <c r="W312" s="55"/>
      <c r="X312" s="55"/>
      <c r="Y312" s="55"/>
      <c r="Z312" s="55"/>
      <c r="AA312" s="55"/>
      <c r="AB312" s="55"/>
      <c r="AC312" s="55"/>
      <c r="AD312" s="55"/>
      <c r="AE312" s="55"/>
      <c r="AF312" s="55"/>
      <c r="AG312" s="55"/>
      <c r="AH312" s="55"/>
      <c r="AI312" s="55"/>
      <c r="AJ312" s="55"/>
      <c r="AK312" s="55"/>
      <c r="AL312" s="55"/>
      <c r="AM312" s="55"/>
      <c r="AN312" s="55"/>
      <c r="AO312" s="55"/>
      <c r="AP312" s="55"/>
      <c r="AQ312" s="55"/>
      <c r="AR312" s="55"/>
      <c r="AS312" s="55"/>
      <c r="AT312" s="55"/>
      <c r="AU312" s="55"/>
      <c r="AV312" s="55"/>
      <c r="AW312" s="55"/>
      <c r="AX312" s="55"/>
      <c r="AY312" s="55"/>
      <c r="AZ312" s="55"/>
      <c r="BA312" s="55"/>
      <c r="BB312" s="55"/>
      <c r="BC312" s="55"/>
      <c r="BD312" s="55"/>
      <c r="BE312" s="55"/>
      <c r="BF312" s="55"/>
      <c r="BG312" s="55"/>
      <c r="BH312" s="55"/>
      <c r="BI312" s="55"/>
      <c r="BJ312" s="55"/>
      <c r="BK312" s="55"/>
      <c r="BL312" s="55"/>
      <c r="BM312" s="55"/>
      <c r="BN312" s="55"/>
      <c r="BO312" s="55"/>
      <c r="BP312" s="55"/>
      <c r="BQ312" s="55"/>
      <c r="BR312" s="55"/>
      <c r="BS312" s="55"/>
      <c r="BT312" s="55"/>
      <c r="BU312" s="55"/>
      <c r="BV312" s="55"/>
      <c r="BW312" s="55"/>
      <c r="BX312" s="55"/>
      <c r="BY312" s="55"/>
      <c r="BZ312" s="55"/>
      <c r="CA312" s="55"/>
      <c r="CB312" s="55"/>
      <c r="CC312" s="55"/>
      <c r="CD312" s="55"/>
      <c r="CE312" s="55"/>
      <c r="CF312" s="55"/>
      <c r="CG312" s="55"/>
      <c r="CH312" s="55"/>
      <c r="CI312" s="55"/>
      <c r="CJ312" s="55"/>
      <c r="CK312" s="55"/>
      <c r="CL312" s="55"/>
      <c r="CM312" s="55"/>
      <c r="CN312" s="55"/>
      <c r="CO312" s="55"/>
      <c r="CP312" s="55"/>
      <c r="CQ312" s="55"/>
      <c r="CR312" s="55"/>
      <c r="CS312" s="55"/>
      <c r="CT312" s="55"/>
      <c r="CU312" s="55"/>
      <c r="CV312" s="55"/>
      <c r="CW312" s="55"/>
      <c r="CX312" s="55"/>
      <c r="CY312" s="55"/>
      <c r="CZ312" s="55"/>
      <c r="DA312" s="55"/>
      <c r="DB312" s="55"/>
      <c r="DC312" s="55"/>
      <c r="DD312" s="55"/>
      <c r="DE312" s="55"/>
      <c r="DF312" s="55"/>
      <c r="DG312" s="55"/>
      <c r="DH312" s="55"/>
      <c r="DI312" s="55"/>
      <c r="DJ312" s="55"/>
    </row>
    <row r="313" spans="1:114" ht="15" customHeight="1" x14ac:dyDescent="0.25">
      <c r="A313" s="339"/>
      <c r="B313" s="340"/>
      <c r="C313" s="341"/>
      <c r="D313" s="342"/>
      <c r="E313" s="343"/>
      <c r="F313" s="350"/>
      <c r="G313" s="345"/>
      <c r="H313" s="346"/>
      <c r="I313" s="345"/>
      <c r="J313" s="345"/>
      <c r="K313" s="347"/>
      <c r="L313" s="297"/>
      <c r="M313" s="297"/>
      <c r="N313" s="348"/>
      <c r="O313" s="310" t="s">
        <v>943</v>
      </c>
      <c r="P313" s="349" t="s">
        <v>934</v>
      </c>
      <c r="Q313" s="349" t="s">
        <v>931</v>
      </c>
      <c r="R313" s="349"/>
      <c r="S313" s="349"/>
      <c r="T313" s="346"/>
      <c r="U313" s="346"/>
      <c r="V313" s="346"/>
      <c r="W313" s="346"/>
      <c r="X313" s="346"/>
      <c r="Y313" s="346"/>
      <c r="Z313" s="346"/>
      <c r="AA313" s="346"/>
      <c r="AB313" s="346"/>
      <c r="AC313" s="346"/>
      <c r="AD313" s="346"/>
      <c r="AE313" s="346"/>
      <c r="AF313" s="346"/>
      <c r="AG313" s="346"/>
      <c r="AH313" s="346"/>
      <c r="AI313" s="346"/>
      <c r="AJ313" s="346"/>
      <c r="AK313" s="346"/>
      <c r="AL313" s="346"/>
      <c r="AM313" s="346"/>
      <c r="AN313" s="346"/>
      <c r="AO313" s="346"/>
      <c r="AP313" s="346"/>
      <c r="AQ313" s="346"/>
      <c r="AR313" s="346"/>
      <c r="AS313" s="346"/>
      <c r="AT313" s="346"/>
      <c r="AU313" s="346"/>
      <c r="AV313" s="346"/>
      <c r="AW313" s="346"/>
      <c r="AX313" s="346"/>
      <c r="AY313" s="346"/>
      <c r="AZ313" s="346"/>
      <c r="BA313" s="346"/>
      <c r="BB313" s="346"/>
      <c r="BC313" s="346"/>
      <c r="BD313" s="346"/>
      <c r="BE313" s="346"/>
      <c r="BF313" s="346"/>
      <c r="BG313" s="346"/>
      <c r="BH313" s="346"/>
      <c r="BI313" s="346"/>
      <c r="BJ313" s="346"/>
      <c r="BK313" s="346"/>
      <c r="BL313" s="346"/>
      <c r="BM313" s="346"/>
      <c r="BN313" s="346"/>
      <c r="BO313" s="346"/>
      <c r="BP313" s="346"/>
      <c r="BQ313" s="346"/>
      <c r="BR313" s="346"/>
      <c r="BS313" s="346"/>
      <c r="BT313" s="346"/>
      <c r="BU313" s="346"/>
      <c r="BV313" s="346"/>
      <c r="BW313" s="346"/>
      <c r="BX313" s="346"/>
      <c r="BY313" s="346"/>
      <c r="BZ313" s="346"/>
      <c r="CA313" s="346"/>
      <c r="CB313" s="346"/>
      <c r="CC313" s="346"/>
      <c r="CD313" s="346"/>
      <c r="CE313" s="346"/>
      <c r="CF313" s="346"/>
      <c r="CG313" s="346"/>
      <c r="CH313" s="346"/>
      <c r="CI313" s="346"/>
      <c r="CJ313" s="346"/>
      <c r="CK313" s="346"/>
      <c r="CL313" s="346"/>
      <c r="CM313" s="346"/>
      <c r="CN313" s="346"/>
      <c r="CO313" s="346"/>
      <c r="CP313" s="346"/>
      <c r="CQ313" s="346"/>
      <c r="CR313" s="346"/>
      <c r="CS313" s="346"/>
      <c r="CT313" s="346"/>
      <c r="CU313" s="346"/>
      <c r="CV313" s="346"/>
      <c r="CW313" s="346"/>
      <c r="CX313" s="346"/>
      <c r="CY313" s="346"/>
      <c r="CZ313" s="346"/>
      <c r="DA313" s="346"/>
      <c r="DB313" s="346"/>
      <c r="DC313" s="346"/>
      <c r="DD313" s="346"/>
      <c r="DE313" s="346"/>
      <c r="DF313" s="346"/>
      <c r="DG313" s="346"/>
      <c r="DH313" s="346"/>
      <c r="DI313" s="346"/>
      <c r="DJ313" s="346"/>
    </row>
    <row r="314" spans="1:114" ht="15" customHeight="1" x14ac:dyDescent="0.25">
      <c r="A314" s="120">
        <v>3</v>
      </c>
      <c r="B314" s="79" t="s">
        <v>113</v>
      </c>
      <c r="C314" s="80">
        <v>4000</v>
      </c>
      <c r="D314" s="81">
        <v>131.47999999999999</v>
      </c>
      <c r="E314" s="59">
        <v>0</v>
      </c>
      <c r="F314" s="60"/>
      <c r="G314" s="56">
        <f t="shared" si="150"/>
        <v>0</v>
      </c>
      <c r="H314" s="55">
        <f t="shared" si="154"/>
        <v>0</v>
      </c>
      <c r="I314" s="56">
        <f t="shared" si="151"/>
        <v>0</v>
      </c>
      <c r="J314" s="56">
        <f t="shared" si="152"/>
        <v>0</v>
      </c>
      <c r="K314" s="57">
        <f t="shared" si="153"/>
        <v>0</v>
      </c>
      <c r="L314" s="297"/>
      <c r="M314" s="297"/>
      <c r="N314" s="314">
        <f t="shared" si="149"/>
        <v>4820</v>
      </c>
      <c r="O314" s="310">
        <v>2000</v>
      </c>
      <c r="P314" s="315">
        <v>1820</v>
      </c>
      <c r="Q314" s="315">
        <v>1000</v>
      </c>
      <c r="R314" s="315"/>
      <c r="S314" s="315"/>
      <c r="T314" s="55"/>
      <c r="U314" s="55"/>
      <c r="V314" s="55"/>
      <c r="W314" s="55"/>
      <c r="X314" s="55"/>
      <c r="Y314" s="55"/>
      <c r="Z314" s="55"/>
      <c r="AA314" s="55"/>
      <c r="AB314" s="55"/>
      <c r="AC314" s="55"/>
      <c r="AD314" s="55"/>
      <c r="AE314" s="55"/>
      <c r="AF314" s="55"/>
      <c r="AG314" s="55"/>
      <c r="AH314" s="55"/>
      <c r="AI314" s="55"/>
      <c r="AJ314" s="55"/>
      <c r="AK314" s="55"/>
      <c r="AL314" s="55"/>
      <c r="AM314" s="55"/>
      <c r="AN314" s="55"/>
      <c r="AO314" s="55"/>
      <c r="AP314" s="55"/>
      <c r="AQ314" s="55"/>
      <c r="AR314" s="55"/>
      <c r="AS314" s="55"/>
      <c r="AT314" s="55"/>
      <c r="AU314" s="55"/>
      <c r="AV314" s="55"/>
      <c r="AW314" s="55"/>
      <c r="AX314" s="55"/>
      <c r="AY314" s="55"/>
      <c r="AZ314" s="55"/>
      <c r="BA314" s="55"/>
      <c r="BB314" s="55"/>
      <c r="BC314" s="55"/>
      <c r="BD314" s="55"/>
      <c r="BE314" s="55"/>
      <c r="BF314" s="55"/>
      <c r="BG314" s="55"/>
      <c r="BH314" s="55"/>
      <c r="BI314" s="55"/>
      <c r="BJ314" s="55"/>
      <c r="BK314" s="55"/>
      <c r="BL314" s="55"/>
      <c r="BM314" s="55"/>
      <c r="BN314" s="55"/>
      <c r="BO314" s="55"/>
      <c r="BP314" s="55"/>
      <c r="BQ314" s="55"/>
      <c r="BR314" s="55"/>
      <c r="BS314" s="55"/>
      <c r="BT314" s="55"/>
      <c r="BU314" s="55"/>
      <c r="BV314" s="55"/>
      <c r="BW314" s="55"/>
      <c r="BX314" s="55"/>
      <c r="BY314" s="55"/>
      <c r="BZ314" s="55"/>
      <c r="CA314" s="55"/>
      <c r="CB314" s="55"/>
      <c r="CC314" s="55"/>
      <c r="CD314" s="55"/>
      <c r="CE314" s="55"/>
      <c r="CF314" s="55"/>
      <c r="CG314" s="55"/>
      <c r="CH314" s="55"/>
      <c r="CI314" s="55"/>
      <c r="CJ314" s="55"/>
      <c r="CK314" s="55"/>
      <c r="CL314" s="55"/>
      <c r="CM314" s="55"/>
      <c r="CN314" s="55"/>
      <c r="CO314" s="55"/>
      <c r="CP314" s="55"/>
      <c r="CQ314" s="55"/>
      <c r="CR314" s="55"/>
      <c r="CS314" s="55"/>
      <c r="CT314" s="55"/>
      <c r="CU314" s="55"/>
      <c r="CV314" s="55"/>
      <c r="CW314" s="55"/>
      <c r="CX314" s="55"/>
      <c r="CY314" s="55"/>
      <c r="CZ314" s="55"/>
      <c r="DA314" s="55"/>
      <c r="DB314" s="55"/>
      <c r="DC314" s="55"/>
      <c r="DD314" s="55"/>
      <c r="DE314" s="55"/>
      <c r="DF314" s="55"/>
      <c r="DG314" s="55"/>
      <c r="DH314" s="55"/>
      <c r="DI314" s="55"/>
      <c r="DJ314" s="55"/>
    </row>
    <row r="315" spans="1:114" ht="15" customHeight="1" x14ac:dyDescent="0.25">
      <c r="A315" s="120"/>
      <c r="B315" s="79"/>
      <c r="C315" s="80"/>
      <c r="D315" s="81"/>
      <c r="E315" s="59"/>
      <c r="F315" s="60"/>
      <c r="G315" s="56"/>
      <c r="H315" s="55"/>
      <c r="I315" s="56"/>
      <c r="J315" s="56"/>
      <c r="K315" s="57"/>
      <c r="L315" s="297"/>
      <c r="M315" s="297"/>
      <c r="N315" s="314"/>
      <c r="O315" s="310" t="s">
        <v>934</v>
      </c>
      <c r="P315" s="315" t="s">
        <v>942</v>
      </c>
      <c r="Q315" s="315" t="s">
        <v>930</v>
      </c>
      <c r="R315" s="315" t="s">
        <v>944</v>
      </c>
      <c r="S315" s="315" t="s">
        <v>952</v>
      </c>
      <c r="T315" s="55" t="s">
        <v>941</v>
      </c>
      <c r="U315" s="55" t="s">
        <v>933</v>
      </c>
      <c r="V315" s="55" t="s">
        <v>932</v>
      </c>
      <c r="W315" s="55"/>
      <c r="X315" s="55"/>
      <c r="Y315" s="55"/>
      <c r="Z315" s="55"/>
      <c r="AA315" s="55"/>
      <c r="AB315" s="55"/>
      <c r="AC315" s="55"/>
      <c r="AD315" s="55"/>
      <c r="AE315" s="55"/>
      <c r="AF315" s="55"/>
      <c r="AG315" s="55"/>
      <c r="AH315" s="55"/>
      <c r="AI315" s="55"/>
      <c r="AJ315" s="55"/>
      <c r="AK315" s="55"/>
      <c r="AL315" s="55"/>
      <c r="AM315" s="55"/>
      <c r="AN315" s="55"/>
      <c r="AO315" s="55"/>
      <c r="AP315" s="55"/>
      <c r="AQ315" s="55"/>
      <c r="AR315" s="55"/>
      <c r="AS315" s="55"/>
      <c r="AT315" s="55"/>
      <c r="AU315" s="55"/>
      <c r="AV315" s="55"/>
      <c r="AW315" s="55"/>
      <c r="AX315" s="55"/>
      <c r="AY315" s="55"/>
      <c r="AZ315" s="55"/>
      <c r="BA315" s="55"/>
      <c r="BB315" s="55"/>
      <c r="BC315" s="55"/>
      <c r="BD315" s="55"/>
      <c r="BE315" s="55"/>
      <c r="BF315" s="55"/>
      <c r="BG315" s="55"/>
      <c r="BH315" s="55"/>
      <c r="BI315" s="55"/>
      <c r="BJ315" s="55"/>
      <c r="BK315" s="55"/>
      <c r="BL315" s="55"/>
      <c r="BM315" s="55"/>
      <c r="BN315" s="55"/>
      <c r="BO315" s="55"/>
      <c r="BP315" s="55"/>
      <c r="BQ315" s="55"/>
      <c r="BR315" s="55"/>
      <c r="BS315" s="55"/>
      <c r="BT315" s="55"/>
      <c r="BU315" s="55"/>
      <c r="BV315" s="55"/>
      <c r="BW315" s="55"/>
      <c r="BX315" s="55"/>
      <c r="BY315" s="55"/>
      <c r="BZ315" s="55"/>
      <c r="CA315" s="55"/>
      <c r="CB315" s="55"/>
      <c r="CC315" s="55"/>
      <c r="CD315" s="55"/>
      <c r="CE315" s="55"/>
      <c r="CF315" s="55"/>
      <c r="CG315" s="55"/>
      <c r="CH315" s="55"/>
      <c r="CI315" s="55"/>
      <c r="CJ315" s="55"/>
      <c r="CK315" s="55"/>
      <c r="CL315" s="55"/>
      <c r="CM315" s="55"/>
      <c r="CN315" s="55"/>
      <c r="CO315" s="55"/>
      <c r="CP315" s="55"/>
      <c r="CQ315" s="55"/>
      <c r="CR315" s="55"/>
      <c r="CS315" s="55"/>
      <c r="CT315" s="55"/>
      <c r="CU315" s="55"/>
      <c r="CV315" s="55"/>
      <c r="CW315" s="55"/>
      <c r="CX315" s="55"/>
      <c r="CY315" s="55"/>
      <c r="CZ315" s="55"/>
      <c r="DA315" s="55"/>
      <c r="DB315" s="55"/>
      <c r="DC315" s="55"/>
      <c r="DD315" s="55"/>
      <c r="DE315" s="55"/>
      <c r="DF315" s="55"/>
      <c r="DG315" s="55"/>
      <c r="DH315" s="55"/>
      <c r="DI315" s="55"/>
      <c r="DJ315" s="55"/>
    </row>
    <row r="316" spans="1:114" ht="15" customHeight="1" x14ac:dyDescent="0.25">
      <c r="A316" s="120">
        <v>4</v>
      </c>
      <c r="B316" s="79" t="s">
        <v>114</v>
      </c>
      <c r="C316" s="80">
        <v>1500</v>
      </c>
      <c r="D316" s="81">
        <v>83.71</v>
      </c>
      <c r="E316" s="59">
        <v>0</v>
      </c>
      <c r="F316" s="60"/>
      <c r="G316" s="56">
        <f t="shared" si="150"/>
        <v>0</v>
      </c>
      <c r="H316" s="55">
        <f>20880-20880</f>
        <v>0</v>
      </c>
      <c r="I316" s="56">
        <f t="shared" si="151"/>
        <v>0</v>
      </c>
      <c r="J316" s="56">
        <f t="shared" si="152"/>
        <v>0</v>
      </c>
      <c r="K316" s="57">
        <f t="shared" si="153"/>
        <v>0</v>
      </c>
      <c r="L316" s="297"/>
      <c r="M316" s="297"/>
      <c r="N316" s="314">
        <f t="shared" si="149"/>
        <v>31759</v>
      </c>
      <c r="O316" s="310">
        <v>8880</v>
      </c>
      <c r="P316" s="315">
        <v>35</v>
      </c>
      <c r="Q316" s="315">
        <v>2064</v>
      </c>
      <c r="R316" s="315">
        <v>4800</v>
      </c>
      <c r="S316" s="315">
        <v>8900</v>
      </c>
      <c r="T316" s="55">
        <v>2400</v>
      </c>
      <c r="U316" s="55">
        <v>2280</v>
      </c>
      <c r="V316" s="55">
        <v>2400</v>
      </c>
      <c r="W316" s="55"/>
      <c r="X316" s="55"/>
      <c r="Y316" s="55"/>
      <c r="Z316" s="55"/>
      <c r="AA316" s="55"/>
      <c r="AB316" s="55"/>
      <c r="AC316" s="55"/>
      <c r="AD316" s="55"/>
      <c r="AE316" s="55"/>
      <c r="AF316" s="55"/>
      <c r="AG316" s="55"/>
      <c r="AH316" s="55"/>
      <c r="AI316" s="55"/>
      <c r="AJ316" s="55"/>
      <c r="AK316" s="55"/>
      <c r="AL316" s="55"/>
      <c r="AM316" s="55"/>
      <c r="AN316" s="55"/>
      <c r="AO316" s="55"/>
      <c r="AP316" s="55"/>
      <c r="AQ316" s="55"/>
      <c r="AR316" s="55"/>
      <c r="AS316" s="55"/>
      <c r="AT316" s="55"/>
      <c r="AU316" s="55"/>
      <c r="AV316" s="55"/>
      <c r="AW316" s="55"/>
      <c r="AX316" s="55"/>
      <c r="AY316" s="55"/>
      <c r="AZ316" s="55"/>
      <c r="BA316" s="55"/>
      <c r="BB316" s="55"/>
      <c r="BC316" s="55"/>
      <c r="BD316" s="55"/>
      <c r="BE316" s="55"/>
      <c r="BF316" s="55"/>
      <c r="BG316" s="55"/>
      <c r="BH316" s="55"/>
      <c r="BI316" s="55"/>
      <c r="BJ316" s="55"/>
      <c r="BK316" s="55"/>
      <c r="BL316" s="55"/>
      <c r="BM316" s="55"/>
      <c r="BN316" s="55"/>
      <c r="BO316" s="55"/>
      <c r="BP316" s="55"/>
      <c r="BQ316" s="55"/>
      <c r="BR316" s="55"/>
      <c r="BS316" s="55"/>
      <c r="BT316" s="55"/>
      <c r="BU316" s="55"/>
      <c r="BV316" s="55"/>
      <c r="BW316" s="55"/>
      <c r="BX316" s="55"/>
      <c r="BY316" s="55"/>
      <c r="BZ316" s="55"/>
      <c r="CA316" s="55"/>
      <c r="CB316" s="55"/>
      <c r="CC316" s="55"/>
      <c r="CD316" s="55"/>
      <c r="CE316" s="55"/>
      <c r="CF316" s="55"/>
      <c r="CG316" s="55"/>
      <c r="CH316" s="55"/>
      <c r="CI316" s="55"/>
      <c r="CJ316" s="55"/>
      <c r="CK316" s="55"/>
      <c r="CL316" s="55"/>
      <c r="CM316" s="55"/>
      <c r="CN316" s="55"/>
      <c r="CO316" s="55"/>
      <c r="CP316" s="55"/>
      <c r="CQ316" s="55"/>
      <c r="CR316" s="55"/>
      <c r="CS316" s="55"/>
      <c r="CT316" s="55"/>
      <c r="CU316" s="55"/>
      <c r="CV316" s="55"/>
      <c r="CW316" s="55"/>
      <c r="CX316" s="55"/>
      <c r="CY316" s="55"/>
      <c r="CZ316" s="55"/>
      <c r="DA316" s="55"/>
      <c r="DB316" s="55"/>
      <c r="DC316" s="55"/>
      <c r="DD316" s="55"/>
      <c r="DE316" s="55"/>
      <c r="DF316" s="55"/>
      <c r="DG316" s="55"/>
      <c r="DH316" s="55"/>
      <c r="DI316" s="55"/>
      <c r="DJ316" s="55"/>
    </row>
    <row r="317" spans="1:114" ht="15" customHeight="1" x14ac:dyDescent="0.25">
      <c r="A317" s="339"/>
      <c r="B317" s="340"/>
      <c r="C317" s="341"/>
      <c r="D317" s="342"/>
      <c r="E317" s="343"/>
      <c r="F317" s="350"/>
      <c r="G317" s="345"/>
      <c r="H317" s="346"/>
      <c r="I317" s="345"/>
      <c r="J317" s="345"/>
      <c r="K317" s="347"/>
      <c r="L317" s="297"/>
      <c r="M317" s="297"/>
      <c r="N317" s="348"/>
      <c r="O317" s="310" t="s">
        <v>946</v>
      </c>
      <c r="P317" s="349" t="s">
        <v>941</v>
      </c>
      <c r="Q317" s="349" t="s">
        <v>932</v>
      </c>
      <c r="R317" s="349" t="s">
        <v>933</v>
      </c>
      <c r="S317" s="349" t="s">
        <v>952</v>
      </c>
      <c r="T317" s="346" t="s">
        <v>930</v>
      </c>
      <c r="U317" s="346" t="s">
        <v>942</v>
      </c>
      <c r="V317" s="346" t="s">
        <v>934</v>
      </c>
      <c r="W317" s="346" t="s">
        <v>944</v>
      </c>
      <c r="X317" s="346" t="s">
        <v>943</v>
      </c>
      <c r="Y317" s="346" t="s">
        <v>956</v>
      </c>
      <c r="Z317" s="346"/>
      <c r="AA317" s="346"/>
      <c r="AB317" s="346"/>
      <c r="AC317" s="346"/>
      <c r="AD317" s="346"/>
      <c r="AE317" s="346"/>
      <c r="AF317" s="346"/>
      <c r="AG317" s="346"/>
      <c r="AH317" s="346"/>
      <c r="AI317" s="346"/>
      <c r="AJ317" s="346"/>
      <c r="AK317" s="346"/>
      <c r="AL317" s="346"/>
      <c r="AM317" s="346"/>
      <c r="AN317" s="346"/>
      <c r="AO317" s="346"/>
      <c r="AP317" s="346"/>
      <c r="AQ317" s="346"/>
      <c r="AR317" s="346"/>
      <c r="AS317" s="346"/>
      <c r="AT317" s="346"/>
      <c r="AU317" s="346"/>
      <c r="AV317" s="346"/>
      <c r="AW317" s="346"/>
      <c r="AX317" s="346"/>
      <c r="AY317" s="346"/>
      <c r="AZ317" s="346"/>
      <c r="BA317" s="346"/>
      <c r="BB317" s="346"/>
      <c r="BC317" s="346"/>
      <c r="BD317" s="346"/>
      <c r="BE317" s="346"/>
      <c r="BF317" s="346"/>
      <c r="BG317" s="346"/>
      <c r="BH317" s="346"/>
      <c r="BI317" s="346"/>
      <c r="BJ317" s="346"/>
      <c r="BK317" s="346"/>
      <c r="BL317" s="346"/>
      <c r="BM317" s="346"/>
      <c r="BN317" s="346"/>
      <c r="BO317" s="346"/>
      <c r="BP317" s="346"/>
      <c r="BQ317" s="346"/>
      <c r="BR317" s="346"/>
      <c r="BS317" s="346"/>
      <c r="BT317" s="346"/>
      <c r="BU317" s="346"/>
      <c r="BV317" s="346"/>
      <c r="BW317" s="346"/>
      <c r="BX317" s="346"/>
      <c r="BY317" s="346"/>
      <c r="BZ317" s="346"/>
      <c r="CA317" s="346"/>
      <c r="CB317" s="346"/>
      <c r="CC317" s="346"/>
      <c r="CD317" s="346"/>
      <c r="CE317" s="346"/>
      <c r="CF317" s="346"/>
      <c r="CG317" s="346"/>
      <c r="CH317" s="346"/>
      <c r="CI317" s="346"/>
      <c r="CJ317" s="346"/>
      <c r="CK317" s="346"/>
      <c r="CL317" s="346"/>
      <c r="CM317" s="346"/>
      <c r="CN317" s="346"/>
      <c r="CO317" s="346"/>
      <c r="CP317" s="346"/>
      <c r="CQ317" s="346"/>
      <c r="CR317" s="346"/>
      <c r="CS317" s="346"/>
      <c r="CT317" s="346"/>
      <c r="CU317" s="346"/>
      <c r="CV317" s="346"/>
      <c r="CW317" s="346"/>
      <c r="CX317" s="346"/>
      <c r="CY317" s="346"/>
      <c r="CZ317" s="346"/>
      <c r="DA317" s="346"/>
      <c r="DB317" s="346"/>
      <c r="DC317" s="346"/>
      <c r="DD317" s="346"/>
      <c r="DE317" s="346"/>
      <c r="DF317" s="346"/>
      <c r="DG317" s="346"/>
      <c r="DH317" s="346"/>
      <c r="DI317" s="346"/>
      <c r="DJ317" s="346"/>
    </row>
    <row r="318" spans="1:114" ht="15" customHeight="1" x14ac:dyDescent="0.25">
      <c r="A318" s="120">
        <v>5</v>
      </c>
      <c r="B318" s="79" t="s">
        <v>115</v>
      </c>
      <c r="C318" s="80">
        <v>1500</v>
      </c>
      <c r="D318" s="81">
        <v>173.2</v>
      </c>
      <c r="E318" s="59">
        <v>0</v>
      </c>
      <c r="F318" s="43"/>
      <c r="G318" s="56">
        <f t="shared" si="150"/>
        <v>0</v>
      </c>
      <c r="H318" s="55">
        <f>3200-3200</f>
        <v>0</v>
      </c>
      <c r="I318" s="56">
        <f t="shared" si="151"/>
        <v>0</v>
      </c>
      <c r="J318" s="56">
        <f t="shared" si="152"/>
        <v>0</v>
      </c>
      <c r="K318" s="57">
        <f t="shared" si="153"/>
        <v>0</v>
      </c>
      <c r="L318" s="297"/>
      <c r="M318" s="297"/>
      <c r="N318" s="314">
        <f t="shared" si="149"/>
        <v>11497</v>
      </c>
      <c r="O318" s="310">
        <v>1152</v>
      </c>
      <c r="P318" s="315">
        <v>1200</v>
      </c>
      <c r="Q318" s="315">
        <v>1150</v>
      </c>
      <c r="R318" s="315">
        <v>1172</v>
      </c>
      <c r="S318" s="315">
        <v>1199</v>
      </c>
      <c r="T318" s="55">
        <v>1104</v>
      </c>
      <c r="U318" s="55">
        <v>36</v>
      </c>
      <c r="V318" s="55">
        <v>1008</v>
      </c>
      <c r="W318" s="55">
        <v>1200</v>
      </c>
      <c r="X318" s="55">
        <v>1080</v>
      </c>
      <c r="Y318" s="55">
        <v>1196</v>
      </c>
      <c r="Z318" s="55"/>
      <c r="AA318" s="55"/>
      <c r="AB318" s="55"/>
      <c r="AC318" s="55"/>
      <c r="AD318" s="55"/>
      <c r="AE318" s="55"/>
      <c r="AF318" s="55"/>
      <c r="AG318" s="55"/>
      <c r="AH318" s="55"/>
      <c r="AI318" s="55"/>
      <c r="AJ318" s="55"/>
      <c r="AK318" s="55"/>
      <c r="AL318" s="55"/>
      <c r="AM318" s="55"/>
      <c r="AN318" s="55"/>
      <c r="AO318" s="55"/>
      <c r="AP318" s="55"/>
      <c r="AQ318" s="55"/>
      <c r="AR318" s="55"/>
      <c r="AS318" s="55"/>
      <c r="AT318" s="55"/>
      <c r="AU318" s="55"/>
      <c r="AV318" s="55"/>
      <c r="AW318" s="55"/>
      <c r="AX318" s="55"/>
      <c r="AY318" s="55"/>
      <c r="AZ318" s="55"/>
      <c r="BA318" s="55"/>
      <c r="BB318" s="55"/>
      <c r="BC318" s="55"/>
      <c r="BD318" s="55"/>
      <c r="BE318" s="55"/>
      <c r="BF318" s="55"/>
      <c r="BG318" s="55"/>
      <c r="BH318" s="55"/>
      <c r="BI318" s="55"/>
      <c r="BJ318" s="55"/>
      <c r="BK318" s="55"/>
      <c r="BL318" s="55"/>
      <c r="BM318" s="55"/>
      <c r="BN318" s="55"/>
      <c r="BO318" s="55"/>
      <c r="BP318" s="55"/>
      <c r="BQ318" s="55"/>
      <c r="BR318" s="55"/>
      <c r="BS318" s="55"/>
      <c r="BT318" s="55"/>
      <c r="BU318" s="55"/>
      <c r="BV318" s="55"/>
      <c r="BW318" s="55"/>
      <c r="BX318" s="55"/>
      <c r="BY318" s="55"/>
      <c r="BZ318" s="55"/>
      <c r="CA318" s="55"/>
      <c r="CB318" s="55"/>
      <c r="CC318" s="55"/>
      <c r="CD318" s="55"/>
      <c r="CE318" s="55"/>
      <c r="CF318" s="55"/>
      <c r="CG318" s="55"/>
      <c r="CH318" s="55"/>
      <c r="CI318" s="55"/>
      <c r="CJ318" s="55"/>
      <c r="CK318" s="55"/>
      <c r="CL318" s="55"/>
      <c r="CM318" s="55"/>
      <c r="CN318" s="55"/>
      <c r="CO318" s="55"/>
      <c r="CP318" s="55"/>
      <c r="CQ318" s="55"/>
      <c r="CR318" s="55"/>
      <c r="CS318" s="55"/>
      <c r="CT318" s="55"/>
      <c r="CU318" s="55"/>
      <c r="CV318" s="55"/>
      <c r="CW318" s="55"/>
      <c r="CX318" s="55"/>
      <c r="CY318" s="55"/>
      <c r="CZ318" s="55"/>
      <c r="DA318" s="55"/>
      <c r="DB318" s="55"/>
      <c r="DC318" s="55"/>
      <c r="DD318" s="55"/>
      <c r="DE318" s="55"/>
      <c r="DF318" s="55"/>
      <c r="DG318" s="55"/>
      <c r="DH318" s="55"/>
      <c r="DI318" s="55"/>
      <c r="DJ318" s="55"/>
    </row>
    <row r="319" spans="1:114" ht="15" customHeight="1" x14ac:dyDescent="0.25">
      <c r="A319" s="339"/>
      <c r="B319" s="340"/>
      <c r="C319" s="341"/>
      <c r="D319" s="342"/>
      <c r="E319" s="343"/>
      <c r="F319" s="344"/>
      <c r="G319" s="345"/>
      <c r="H319" s="346"/>
      <c r="I319" s="345"/>
      <c r="J319" s="345"/>
      <c r="K319" s="347"/>
      <c r="L319" s="297"/>
      <c r="M319" s="297"/>
      <c r="N319" s="348"/>
      <c r="O319" s="310" t="s">
        <v>943</v>
      </c>
      <c r="P319" s="349" t="s">
        <v>946</v>
      </c>
      <c r="Q319" s="349" t="s">
        <v>941</v>
      </c>
      <c r="R319" s="349" t="s">
        <v>932</v>
      </c>
      <c r="S319" s="349" t="s">
        <v>933</v>
      </c>
      <c r="T319" s="346" t="s">
        <v>952</v>
      </c>
      <c r="U319" s="346" t="s">
        <v>930</v>
      </c>
      <c r="V319" s="346" t="s">
        <v>934</v>
      </c>
      <c r="W319" s="346" t="s">
        <v>944</v>
      </c>
      <c r="X319" s="346" t="s">
        <v>940</v>
      </c>
      <c r="Y319" s="346"/>
      <c r="Z319" s="346"/>
      <c r="AA319" s="346"/>
      <c r="AB319" s="346"/>
      <c r="AC319" s="346"/>
      <c r="AD319" s="346"/>
      <c r="AE319" s="346"/>
      <c r="AF319" s="346"/>
      <c r="AG319" s="346"/>
      <c r="AH319" s="346"/>
      <c r="AI319" s="346"/>
      <c r="AJ319" s="346"/>
      <c r="AK319" s="346"/>
      <c r="AL319" s="346"/>
      <c r="AM319" s="346"/>
      <c r="AN319" s="346"/>
      <c r="AO319" s="346"/>
      <c r="AP319" s="346"/>
      <c r="AQ319" s="346"/>
      <c r="AR319" s="346"/>
      <c r="AS319" s="346"/>
      <c r="AT319" s="346"/>
      <c r="AU319" s="346"/>
      <c r="AV319" s="346"/>
      <c r="AW319" s="346"/>
      <c r="AX319" s="346"/>
      <c r="AY319" s="346"/>
      <c r="AZ319" s="346"/>
      <c r="BA319" s="346"/>
      <c r="BB319" s="346"/>
      <c r="BC319" s="346"/>
      <c r="BD319" s="346"/>
      <c r="BE319" s="346"/>
      <c r="BF319" s="346"/>
      <c r="BG319" s="346"/>
      <c r="BH319" s="346"/>
      <c r="BI319" s="346"/>
      <c r="BJ319" s="346"/>
      <c r="BK319" s="346"/>
      <c r="BL319" s="346"/>
      <c r="BM319" s="346"/>
      <c r="BN319" s="346"/>
      <c r="BO319" s="346"/>
      <c r="BP319" s="346"/>
      <c r="BQ319" s="346"/>
      <c r="BR319" s="346"/>
      <c r="BS319" s="346"/>
      <c r="BT319" s="346"/>
      <c r="BU319" s="346"/>
      <c r="BV319" s="346"/>
      <c r="BW319" s="346"/>
      <c r="BX319" s="346"/>
      <c r="BY319" s="346"/>
      <c r="BZ319" s="346"/>
      <c r="CA319" s="346"/>
      <c r="CB319" s="346"/>
      <c r="CC319" s="346"/>
      <c r="CD319" s="346"/>
      <c r="CE319" s="346"/>
      <c r="CF319" s="346"/>
      <c r="CG319" s="346"/>
      <c r="CH319" s="346"/>
      <c r="CI319" s="346"/>
      <c r="CJ319" s="346"/>
      <c r="CK319" s="346"/>
      <c r="CL319" s="346"/>
      <c r="CM319" s="346"/>
      <c r="CN319" s="346"/>
      <c r="CO319" s="346"/>
      <c r="CP319" s="346"/>
      <c r="CQ319" s="346"/>
      <c r="CR319" s="346"/>
      <c r="CS319" s="346"/>
      <c r="CT319" s="346"/>
      <c r="CU319" s="346"/>
      <c r="CV319" s="346"/>
      <c r="CW319" s="346"/>
      <c r="CX319" s="346"/>
      <c r="CY319" s="346"/>
      <c r="CZ319" s="346"/>
      <c r="DA319" s="346"/>
      <c r="DB319" s="346"/>
      <c r="DC319" s="346"/>
      <c r="DD319" s="346"/>
      <c r="DE319" s="346"/>
      <c r="DF319" s="346"/>
      <c r="DG319" s="346"/>
      <c r="DH319" s="346"/>
      <c r="DI319" s="346"/>
      <c r="DJ319" s="346"/>
    </row>
    <row r="320" spans="1:114" ht="15" customHeight="1" x14ac:dyDescent="0.25">
      <c r="A320" s="120">
        <v>6</v>
      </c>
      <c r="B320" s="79" t="s">
        <v>115</v>
      </c>
      <c r="C320" s="80">
        <v>2500</v>
      </c>
      <c r="D320" s="81">
        <v>173.2</v>
      </c>
      <c r="E320" s="59">
        <v>0</v>
      </c>
      <c r="F320" s="60"/>
      <c r="G320" s="56">
        <f t="shared" si="150"/>
        <v>0</v>
      </c>
      <c r="H320" s="55">
        <f>3200-3200</f>
        <v>0</v>
      </c>
      <c r="I320" s="56">
        <f t="shared" si="151"/>
        <v>0</v>
      </c>
      <c r="J320" s="56">
        <f t="shared" si="152"/>
        <v>0</v>
      </c>
      <c r="K320" s="57">
        <f t="shared" si="153"/>
        <v>0</v>
      </c>
      <c r="L320" s="297"/>
      <c r="M320" s="297">
        <v>5440</v>
      </c>
      <c r="N320" s="314">
        <f t="shared" si="149"/>
        <v>11409</v>
      </c>
      <c r="O320" s="310">
        <v>1080</v>
      </c>
      <c r="P320" s="315">
        <v>1152</v>
      </c>
      <c r="Q320" s="315">
        <v>1200</v>
      </c>
      <c r="R320" s="315">
        <v>1150</v>
      </c>
      <c r="S320" s="315">
        <v>1120</v>
      </c>
      <c r="T320" s="55">
        <v>1199</v>
      </c>
      <c r="U320" s="55">
        <v>1104</v>
      </c>
      <c r="V320" s="55">
        <v>1008</v>
      </c>
      <c r="W320" s="55">
        <v>1200</v>
      </c>
      <c r="X320" s="55">
        <v>1196</v>
      </c>
      <c r="Y320" s="55"/>
      <c r="Z320" s="55"/>
      <c r="AA320" s="55"/>
      <c r="AB320" s="55"/>
      <c r="AC320" s="55"/>
      <c r="AD320" s="55"/>
      <c r="AE320" s="55"/>
      <c r="AF320" s="55"/>
      <c r="AG320" s="55"/>
      <c r="AH320" s="55"/>
      <c r="AI320" s="55"/>
      <c r="AJ320" s="55"/>
      <c r="AK320" s="55"/>
      <c r="AL320" s="55"/>
      <c r="AM320" s="55"/>
      <c r="AN320" s="55"/>
      <c r="AO320" s="55"/>
      <c r="AP320" s="55"/>
      <c r="AQ320" s="55"/>
      <c r="AR320" s="55"/>
      <c r="AS320" s="55"/>
      <c r="AT320" s="55"/>
      <c r="AU320" s="55"/>
      <c r="AV320" s="55"/>
      <c r="AW320" s="55"/>
      <c r="AX320" s="55"/>
      <c r="AY320" s="55"/>
      <c r="AZ320" s="55"/>
      <c r="BA320" s="55"/>
      <c r="BB320" s="55"/>
      <c r="BC320" s="55"/>
      <c r="BD320" s="55"/>
      <c r="BE320" s="55"/>
      <c r="BF320" s="55"/>
      <c r="BG320" s="55"/>
      <c r="BH320" s="55"/>
      <c r="BI320" s="55"/>
      <c r="BJ320" s="55"/>
      <c r="BK320" s="55"/>
      <c r="BL320" s="55"/>
      <c r="BM320" s="55"/>
      <c r="BN320" s="55"/>
      <c r="BO320" s="55"/>
      <c r="BP320" s="55"/>
      <c r="BQ320" s="55"/>
      <c r="BR320" s="55"/>
      <c r="BS320" s="55"/>
      <c r="BT320" s="55"/>
      <c r="BU320" s="55"/>
      <c r="BV320" s="55"/>
      <c r="BW320" s="55"/>
      <c r="BX320" s="55"/>
      <c r="BY320" s="55"/>
      <c r="BZ320" s="55"/>
      <c r="CA320" s="55"/>
      <c r="CB320" s="55"/>
      <c r="CC320" s="55"/>
      <c r="CD320" s="55"/>
      <c r="CE320" s="55"/>
      <c r="CF320" s="55"/>
      <c r="CG320" s="55"/>
      <c r="CH320" s="55"/>
      <c r="CI320" s="55"/>
      <c r="CJ320" s="55"/>
      <c r="CK320" s="55"/>
      <c r="CL320" s="55"/>
      <c r="CM320" s="55"/>
      <c r="CN320" s="55"/>
      <c r="CO320" s="55"/>
      <c r="CP320" s="55"/>
      <c r="CQ320" s="55"/>
      <c r="CR320" s="55"/>
      <c r="CS320" s="55"/>
      <c r="CT320" s="55"/>
      <c r="CU320" s="55"/>
      <c r="CV320" s="55"/>
      <c r="CW320" s="55"/>
      <c r="CX320" s="55"/>
      <c r="CY320" s="55"/>
      <c r="CZ320" s="55"/>
      <c r="DA320" s="55"/>
      <c r="DB320" s="55"/>
      <c r="DC320" s="55"/>
      <c r="DD320" s="55"/>
      <c r="DE320" s="55"/>
      <c r="DF320" s="55"/>
      <c r="DG320" s="55"/>
      <c r="DH320" s="55"/>
      <c r="DI320" s="55"/>
      <c r="DJ320" s="55"/>
    </row>
    <row r="321" spans="1:114" ht="15" customHeight="1" x14ac:dyDescent="0.25">
      <c r="A321" s="120"/>
      <c r="B321" s="79"/>
      <c r="C321" s="80"/>
      <c r="D321" s="81"/>
      <c r="E321" s="59"/>
      <c r="F321" s="60"/>
      <c r="G321" s="56"/>
      <c r="H321" s="55"/>
      <c r="I321" s="56"/>
      <c r="J321" s="56"/>
      <c r="K321" s="57"/>
      <c r="L321" s="297"/>
      <c r="M321" s="297"/>
      <c r="N321" s="314"/>
      <c r="O321" s="310" t="s">
        <v>927</v>
      </c>
      <c r="P321" s="315" t="s">
        <v>933</v>
      </c>
      <c r="Q321" s="315" t="s">
        <v>952</v>
      </c>
      <c r="R321" s="315" t="s">
        <v>930</v>
      </c>
      <c r="S321" s="315" t="s">
        <v>934</v>
      </c>
      <c r="T321" s="55" t="s">
        <v>944</v>
      </c>
      <c r="U321" s="55"/>
      <c r="V321" s="55"/>
      <c r="W321" s="55"/>
      <c r="X321" s="55"/>
      <c r="Y321" s="55"/>
      <c r="Z321" s="55"/>
      <c r="AA321" s="55"/>
      <c r="AB321" s="55"/>
      <c r="AC321" s="55"/>
      <c r="AD321" s="55"/>
      <c r="AE321" s="55"/>
      <c r="AF321" s="55"/>
      <c r="AG321" s="55"/>
      <c r="AH321" s="55"/>
      <c r="AI321" s="55"/>
      <c r="AJ321" s="55"/>
      <c r="AK321" s="55"/>
      <c r="AL321" s="55"/>
      <c r="AM321" s="55"/>
      <c r="AN321" s="55"/>
      <c r="AO321" s="55"/>
      <c r="AP321" s="55"/>
      <c r="AQ321" s="55"/>
      <c r="AR321" s="55"/>
      <c r="AS321" s="55"/>
      <c r="AT321" s="55"/>
      <c r="AU321" s="55"/>
      <c r="AV321" s="55"/>
      <c r="AW321" s="55"/>
      <c r="AX321" s="55"/>
      <c r="AY321" s="55"/>
      <c r="AZ321" s="55"/>
      <c r="BA321" s="55"/>
      <c r="BB321" s="55"/>
      <c r="BC321" s="55"/>
      <c r="BD321" s="55"/>
      <c r="BE321" s="55"/>
      <c r="BF321" s="55"/>
      <c r="BG321" s="55"/>
      <c r="BH321" s="55"/>
      <c r="BI321" s="55"/>
      <c r="BJ321" s="55"/>
      <c r="BK321" s="55"/>
      <c r="BL321" s="55"/>
      <c r="BM321" s="55"/>
      <c r="BN321" s="55"/>
      <c r="BO321" s="55"/>
      <c r="BP321" s="55"/>
      <c r="BQ321" s="55"/>
      <c r="BR321" s="55"/>
      <c r="BS321" s="55"/>
      <c r="BT321" s="55"/>
      <c r="BU321" s="55"/>
      <c r="BV321" s="55"/>
      <c r="BW321" s="55"/>
      <c r="BX321" s="55"/>
      <c r="BY321" s="55"/>
      <c r="BZ321" s="55"/>
      <c r="CA321" s="55"/>
      <c r="CB321" s="55"/>
      <c r="CC321" s="55"/>
      <c r="CD321" s="55"/>
      <c r="CE321" s="55"/>
      <c r="CF321" s="55"/>
      <c r="CG321" s="55"/>
      <c r="CH321" s="55"/>
      <c r="CI321" s="55"/>
      <c r="CJ321" s="55"/>
      <c r="CK321" s="55"/>
      <c r="CL321" s="55"/>
      <c r="CM321" s="55"/>
      <c r="CN321" s="55"/>
      <c r="CO321" s="55"/>
      <c r="CP321" s="55"/>
      <c r="CQ321" s="55"/>
      <c r="CR321" s="55"/>
      <c r="CS321" s="55"/>
      <c r="CT321" s="55"/>
      <c r="CU321" s="55"/>
      <c r="CV321" s="55"/>
      <c r="CW321" s="55"/>
      <c r="CX321" s="55"/>
      <c r="CY321" s="55"/>
      <c r="CZ321" s="55"/>
      <c r="DA321" s="55"/>
      <c r="DB321" s="55"/>
      <c r="DC321" s="55"/>
      <c r="DD321" s="55"/>
      <c r="DE321" s="55"/>
      <c r="DF321" s="55"/>
      <c r="DG321" s="55"/>
      <c r="DH321" s="55"/>
      <c r="DI321" s="55"/>
      <c r="DJ321" s="55"/>
    </row>
    <row r="322" spans="1:114" ht="15" customHeight="1" x14ac:dyDescent="0.25">
      <c r="A322" s="120">
        <v>7</v>
      </c>
      <c r="B322" s="79" t="s">
        <v>116</v>
      </c>
      <c r="C322" s="80">
        <v>2500</v>
      </c>
      <c r="D322" s="81">
        <v>121.39</v>
      </c>
      <c r="E322" s="59">
        <v>0</v>
      </c>
      <c r="F322" s="60"/>
      <c r="G322" s="56">
        <f t="shared" si="150"/>
        <v>0</v>
      </c>
      <c r="H322" s="55">
        <f>8600-8600</f>
        <v>0</v>
      </c>
      <c r="I322" s="56">
        <f t="shared" si="151"/>
        <v>0</v>
      </c>
      <c r="J322" s="56">
        <f t="shared" si="152"/>
        <v>0</v>
      </c>
      <c r="K322" s="57">
        <f t="shared" si="153"/>
        <v>0</v>
      </c>
      <c r="L322" s="297"/>
      <c r="M322" s="297">
        <v>6116</v>
      </c>
      <c r="N322" s="314">
        <f t="shared" si="149"/>
        <v>10580</v>
      </c>
      <c r="O322" s="310">
        <v>2000</v>
      </c>
      <c r="P322" s="315">
        <v>1920</v>
      </c>
      <c r="Q322" s="315">
        <v>1120</v>
      </c>
      <c r="R322" s="315">
        <v>1880</v>
      </c>
      <c r="S322" s="315">
        <v>1660</v>
      </c>
      <c r="T322" s="55">
        <v>2000</v>
      </c>
      <c r="U322" s="55"/>
      <c r="V322" s="55"/>
      <c r="W322" s="55"/>
      <c r="X322" s="55"/>
      <c r="Y322" s="55"/>
      <c r="Z322" s="55"/>
      <c r="AA322" s="55"/>
      <c r="AB322" s="55"/>
      <c r="AC322" s="55"/>
      <c r="AD322" s="55"/>
      <c r="AE322" s="55"/>
      <c r="AF322" s="55"/>
      <c r="AG322" s="55"/>
      <c r="AH322" s="55"/>
      <c r="AI322" s="55"/>
      <c r="AJ322" s="55"/>
      <c r="AK322" s="55"/>
      <c r="AL322" s="55"/>
      <c r="AM322" s="55"/>
      <c r="AN322" s="55"/>
      <c r="AO322" s="55"/>
      <c r="AP322" s="55"/>
      <c r="AQ322" s="55"/>
      <c r="AR322" s="55"/>
      <c r="AS322" s="55"/>
      <c r="AT322" s="55"/>
      <c r="AU322" s="55"/>
      <c r="AV322" s="55"/>
      <c r="AW322" s="55"/>
      <c r="AX322" s="55"/>
      <c r="AY322" s="55"/>
      <c r="AZ322" s="55"/>
      <c r="BA322" s="55"/>
      <c r="BB322" s="55"/>
      <c r="BC322" s="55"/>
      <c r="BD322" s="55"/>
      <c r="BE322" s="55"/>
      <c r="BF322" s="55"/>
      <c r="BG322" s="55"/>
      <c r="BH322" s="55"/>
      <c r="BI322" s="55"/>
      <c r="BJ322" s="55"/>
      <c r="BK322" s="55"/>
      <c r="BL322" s="55"/>
      <c r="BM322" s="55"/>
      <c r="BN322" s="55"/>
      <c r="BO322" s="55"/>
      <c r="BP322" s="55"/>
      <c r="BQ322" s="55"/>
      <c r="BR322" s="55"/>
      <c r="BS322" s="55"/>
      <c r="BT322" s="55"/>
      <c r="BU322" s="55"/>
      <c r="BV322" s="55"/>
      <c r="BW322" s="55"/>
      <c r="BX322" s="55"/>
      <c r="BY322" s="55"/>
      <c r="BZ322" s="55"/>
      <c r="CA322" s="55"/>
      <c r="CB322" s="55"/>
      <c r="CC322" s="55"/>
      <c r="CD322" s="55"/>
      <c r="CE322" s="55"/>
      <c r="CF322" s="55"/>
      <c r="CG322" s="55"/>
      <c r="CH322" s="55"/>
      <c r="CI322" s="55"/>
      <c r="CJ322" s="55"/>
      <c r="CK322" s="55"/>
      <c r="CL322" s="55"/>
      <c r="CM322" s="55"/>
      <c r="CN322" s="55"/>
      <c r="CO322" s="55"/>
      <c r="CP322" s="55"/>
      <c r="CQ322" s="55"/>
      <c r="CR322" s="55"/>
      <c r="CS322" s="55"/>
      <c r="CT322" s="55"/>
      <c r="CU322" s="55"/>
      <c r="CV322" s="55"/>
      <c r="CW322" s="55"/>
      <c r="CX322" s="55"/>
      <c r="CY322" s="55"/>
      <c r="CZ322" s="55"/>
      <c r="DA322" s="55"/>
      <c r="DB322" s="55"/>
      <c r="DC322" s="55"/>
      <c r="DD322" s="55"/>
      <c r="DE322" s="55"/>
      <c r="DF322" s="55"/>
      <c r="DG322" s="55"/>
      <c r="DH322" s="55"/>
      <c r="DI322" s="55"/>
      <c r="DJ322" s="55"/>
    </row>
    <row r="323" spans="1:114" ht="15" customHeight="1" x14ac:dyDescent="0.25">
      <c r="A323" s="120"/>
      <c r="B323" s="79"/>
      <c r="C323" s="80"/>
      <c r="D323" s="81"/>
      <c r="E323" s="59"/>
      <c r="F323" s="60"/>
      <c r="G323" s="56"/>
      <c r="H323" s="55"/>
      <c r="I323" s="56"/>
      <c r="J323" s="56"/>
      <c r="K323" s="57"/>
      <c r="L323" s="297"/>
      <c r="M323" s="297"/>
      <c r="N323" s="314"/>
      <c r="O323" s="310" t="s">
        <v>951</v>
      </c>
      <c r="P323" s="315" t="s">
        <v>933</v>
      </c>
      <c r="Q323" s="315" t="s">
        <v>952</v>
      </c>
      <c r="R323" s="315" t="s">
        <v>930</v>
      </c>
      <c r="S323" s="315" t="s">
        <v>934</v>
      </c>
      <c r="T323" s="55" t="s">
        <v>931</v>
      </c>
      <c r="U323" s="55" t="s">
        <v>949</v>
      </c>
      <c r="V323" s="55" t="s">
        <v>940</v>
      </c>
      <c r="W323" s="55"/>
      <c r="X323" s="55"/>
      <c r="Y323" s="55"/>
      <c r="Z323" s="55"/>
      <c r="AA323" s="55"/>
      <c r="AB323" s="55"/>
      <c r="AC323" s="55"/>
      <c r="AD323" s="55"/>
      <c r="AE323" s="55"/>
      <c r="AF323" s="55"/>
      <c r="AG323" s="55"/>
      <c r="AH323" s="55"/>
      <c r="AI323" s="55"/>
      <c r="AJ323" s="55"/>
      <c r="AK323" s="55"/>
      <c r="AL323" s="55"/>
      <c r="AM323" s="55"/>
      <c r="AN323" s="55"/>
      <c r="AO323" s="55"/>
      <c r="AP323" s="55"/>
      <c r="AQ323" s="55"/>
      <c r="AR323" s="55"/>
      <c r="AS323" s="55"/>
      <c r="AT323" s="55"/>
      <c r="AU323" s="55"/>
      <c r="AV323" s="55"/>
      <c r="AW323" s="55"/>
      <c r="AX323" s="55"/>
      <c r="AY323" s="55"/>
      <c r="AZ323" s="55"/>
      <c r="BA323" s="55"/>
      <c r="BB323" s="55"/>
      <c r="BC323" s="55"/>
      <c r="BD323" s="55"/>
      <c r="BE323" s="55"/>
      <c r="BF323" s="55"/>
      <c r="BG323" s="55"/>
      <c r="BH323" s="55"/>
      <c r="BI323" s="55"/>
      <c r="BJ323" s="55"/>
      <c r="BK323" s="55"/>
      <c r="BL323" s="55"/>
      <c r="BM323" s="55"/>
      <c r="BN323" s="55"/>
      <c r="BO323" s="55"/>
      <c r="BP323" s="55"/>
      <c r="BQ323" s="55"/>
      <c r="BR323" s="55"/>
      <c r="BS323" s="55"/>
      <c r="BT323" s="55"/>
      <c r="BU323" s="55"/>
      <c r="BV323" s="55"/>
      <c r="BW323" s="55"/>
      <c r="BX323" s="55"/>
      <c r="BY323" s="55"/>
      <c r="BZ323" s="55"/>
      <c r="CA323" s="55"/>
      <c r="CB323" s="55"/>
      <c r="CC323" s="55"/>
      <c r="CD323" s="55"/>
      <c r="CE323" s="55"/>
      <c r="CF323" s="55"/>
      <c r="CG323" s="55"/>
      <c r="CH323" s="55"/>
      <c r="CI323" s="55"/>
      <c r="CJ323" s="55"/>
      <c r="CK323" s="55"/>
      <c r="CL323" s="55"/>
      <c r="CM323" s="55"/>
      <c r="CN323" s="55"/>
      <c r="CO323" s="55"/>
      <c r="CP323" s="55"/>
      <c r="CQ323" s="55"/>
      <c r="CR323" s="55"/>
      <c r="CS323" s="55"/>
      <c r="CT323" s="55"/>
      <c r="CU323" s="55"/>
      <c r="CV323" s="55"/>
      <c r="CW323" s="55"/>
      <c r="CX323" s="55"/>
      <c r="CY323" s="55"/>
      <c r="CZ323" s="55"/>
      <c r="DA323" s="55"/>
      <c r="DB323" s="55"/>
      <c r="DC323" s="55"/>
      <c r="DD323" s="55"/>
      <c r="DE323" s="55"/>
      <c r="DF323" s="55"/>
      <c r="DG323" s="55"/>
      <c r="DH323" s="55"/>
      <c r="DI323" s="55"/>
      <c r="DJ323" s="55"/>
    </row>
    <row r="324" spans="1:114" ht="15" customHeight="1" x14ac:dyDescent="0.25">
      <c r="A324" s="120">
        <v>8</v>
      </c>
      <c r="B324" s="79" t="s">
        <v>117</v>
      </c>
      <c r="C324" s="80">
        <v>2500</v>
      </c>
      <c r="D324" s="81">
        <v>121.03</v>
      </c>
      <c r="E324" s="59">
        <v>0</v>
      </c>
      <c r="F324" s="60"/>
      <c r="G324" s="56">
        <f t="shared" si="150"/>
        <v>0</v>
      </c>
      <c r="H324" s="55">
        <f>1000-1000</f>
        <v>0</v>
      </c>
      <c r="I324" s="56">
        <f t="shared" si="151"/>
        <v>0</v>
      </c>
      <c r="J324" s="56">
        <f t="shared" si="152"/>
        <v>0</v>
      </c>
      <c r="K324" s="57">
        <f t="shared" si="153"/>
        <v>0</v>
      </c>
      <c r="L324" s="297"/>
      <c r="M324" s="297">
        <v>8124</v>
      </c>
      <c r="N324" s="314">
        <f t="shared" ref="N324:N346" si="155">SUM(O324:DK324)</f>
        <v>20844</v>
      </c>
      <c r="O324" s="310">
        <v>4720</v>
      </c>
      <c r="P324" s="315">
        <v>1548</v>
      </c>
      <c r="Q324" s="315">
        <v>4798</v>
      </c>
      <c r="R324" s="315">
        <v>1056</v>
      </c>
      <c r="S324" s="315">
        <v>6256</v>
      </c>
      <c r="T324" s="55">
        <v>854</v>
      </c>
      <c r="U324" s="55">
        <v>16</v>
      </c>
      <c r="V324" s="55">
        <v>1596</v>
      </c>
      <c r="W324" s="55"/>
      <c r="X324" s="55"/>
      <c r="Y324" s="55"/>
      <c r="Z324" s="55"/>
      <c r="AA324" s="55"/>
      <c r="AB324" s="55"/>
      <c r="AC324" s="55"/>
      <c r="AD324" s="55"/>
      <c r="AE324" s="55"/>
      <c r="AF324" s="55"/>
      <c r="AG324" s="55"/>
      <c r="AH324" s="55"/>
      <c r="AI324" s="55"/>
      <c r="AJ324" s="55"/>
      <c r="AK324" s="55"/>
      <c r="AL324" s="55"/>
      <c r="AM324" s="55"/>
      <c r="AN324" s="55"/>
      <c r="AO324" s="55"/>
      <c r="AP324" s="55"/>
      <c r="AQ324" s="55"/>
      <c r="AR324" s="55"/>
      <c r="AS324" s="55"/>
      <c r="AT324" s="55"/>
      <c r="AU324" s="55"/>
      <c r="AV324" s="55"/>
      <c r="AW324" s="55"/>
      <c r="AX324" s="55"/>
      <c r="AY324" s="55"/>
      <c r="AZ324" s="55"/>
      <c r="BA324" s="55"/>
      <c r="BB324" s="55"/>
      <c r="BC324" s="55"/>
      <c r="BD324" s="55"/>
      <c r="BE324" s="55"/>
      <c r="BF324" s="55"/>
      <c r="BG324" s="55"/>
      <c r="BH324" s="55"/>
      <c r="BI324" s="55"/>
      <c r="BJ324" s="55"/>
      <c r="BK324" s="55"/>
      <c r="BL324" s="55"/>
      <c r="BM324" s="55"/>
      <c r="BN324" s="55"/>
      <c r="BO324" s="55"/>
      <c r="BP324" s="55"/>
      <c r="BQ324" s="55"/>
      <c r="BR324" s="55"/>
      <c r="BS324" s="55"/>
      <c r="BT324" s="55"/>
      <c r="BU324" s="55"/>
      <c r="BV324" s="55"/>
      <c r="BW324" s="55"/>
      <c r="BX324" s="55"/>
      <c r="BY324" s="55"/>
      <c r="BZ324" s="55"/>
      <c r="CA324" s="55"/>
      <c r="CB324" s="55"/>
      <c r="CC324" s="55"/>
      <c r="CD324" s="55"/>
      <c r="CE324" s="55"/>
      <c r="CF324" s="55"/>
      <c r="CG324" s="55"/>
      <c r="CH324" s="55"/>
      <c r="CI324" s="55"/>
      <c r="CJ324" s="55"/>
      <c r="CK324" s="55"/>
      <c r="CL324" s="55"/>
      <c r="CM324" s="55"/>
      <c r="CN324" s="55"/>
      <c r="CO324" s="55"/>
      <c r="CP324" s="55"/>
      <c r="CQ324" s="55"/>
      <c r="CR324" s="55"/>
      <c r="CS324" s="55"/>
      <c r="CT324" s="55"/>
      <c r="CU324" s="55"/>
      <c r="CV324" s="55"/>
      <c r="CW324" s="55"/>
      <c r="CX324" s="55"/>
      <c r="CY324" s="55"/>
      <c r="CZ324" s="55"/>
      <c r="DA324" s="55"/>
      <c r="DB324" s="55"/>
      <c r="DC324" s="55"/>
      <c r="DD324" s="55"/>
      <c r="DE324" s="55"/>
      <c r="DF324" s="55"/>
      <c r="DG324" s="55"/>
      <c r="DH324" s="55"/>
      <c r="DI324" s="55"/>
      <c r="DJ324" s="55"/>
    </row>
    <row r="325" spans="1:114" ht="15" customHeight="1" x14ac:dyDescent="0.25">
      <c r="A325" s="120"/>
      <c r="B325" s="79"/>
      <c r="C325" s="80"/>
      <c r="D325" s="81"/>
      <c r="E325" s="59"/>
      <c r="F325" s="60"/>
      <c r="G325" s="56"/>
      <c r="H325" s="55"/>
      <c r="I325" s="56"/>
      <c r="J325" s="56"/>
      <c r="K325" s="57"/>
      <c r="L325" s="297"/>
      <c r="M325" s="297"/>
      <c r="N325" s="314"/>
      <c r="O325" s="310" t="s">
        <v>944</v>
      </c>
      <c r="P325" s="315" t="s">
        <v>930</v>
      </c>
      <c r="Q325" s="315" t="s">
        <v>942</v>
      </c>
      <c r="R325" s="315" t="s">
        <v>952</v>
      </c>
      <c r="S325" s="315" t="s">
        <v>933</v>
      </c>
      <c r="T325" s="55" t="s">
        <v>940</v>
      </c>
      <c r="U325" s="55" t="s">
        <v>941</v>
      </c>
      <c r="W325" s="55"/>
      <c r="AD325" s="55"/>
      <c r="AE325" s="55"/>
      <c r="AF325" s="55"/>
      <c r="AG325" s="55"/>
      <c r="AH325" s="55"/>
      <c r="AI325" s="55"/>
      <c r="AJ325" s="55"/>
      <c r="AK325" s="55"/>
      <c r="AL325" s="55"/>
      <c r="AM325" s="55"/>
      <c r="AN325" s="55"/>
      <c r="AO325" s="55"/>
      <c r="AP325" s="55"/>
      <c r="AQ325" s="55"/>
      <c r="AR325" s="55"/>
      <c r="AS325" s="55"/>
      <c r="AT325" s="55"/>
      <c r="AU325" s="55"/>
      <c r="AV325" s="55"/>
      <c r="AW325" s="55"/>
      <c r="AX325" s="55"/>
      <c r="AY325" s="55"/>
      <c r="AZ325" s="55"/>
      <c r="BA325" s="55"/>
      <c r="BB325" s="55"/>
      <c r="BC325" s="55"/>
      <c r="BD325" s="55"/>
      <c r="BE325" s="55"/>
      <c r="BF325" s="55"/>
      <c r="BG325" s="55"/>
      <c r="BH325" s="55"/>
      <c r="BI325" s="55"/>
      <c r="BJ325" s="55"/>
      <c r="BK325" s="55"/>
      <c r="BL325" s="55"/>
      <c r="BM325" s="55"/>
      <c r="BN325" s="55"/>
      <c r="BO325" s="55"/>
      <c r="BP325" s="55"/>
      <c r="BQ325" s="55"/>
      <c r="BR325" s="55"/>
      <c r="BS325" s="55"/>
      <c r="BT325" s="55"/>
      <c r="BU325" s="55"/>
      <c r="BV325" s="55"/>
      <c r="BW325" s="55"/>
      <c r="BX325" s="55"/>
      <c r="BY325" s="55"/>
      <c r="BZ325" s="55"/>
      <c r="CA325" s="55"/>
      <c r="CB325" s="55"/>
      <c r="CC325" s="55"/>
      <c r="CD325" s="55"/>
      <c r="CE325" s="55"/>
      <c r="CF325" s="55"/>
      <c r="CG325" s="55"/>
      <c r="CH325" s="55"/>
      <c r="CI325" s="55"/>
      <c r="CJ325" s="55"/>
      <c r="CK325" s="55"/>
      <c r="CL325" s="55"/>
      <c r="CM325" s="55"/>
      <c r="CN325" s="55"/>
      <c r="CO325" s="55"/>
      <c r="CP325" s="55"/>
      <c r="CQ325" s="55"/>
      <c r="CR325" s="55"/>
      <c r="CS325" s="55"/>
      <c r="CT325" s="55"/>
      <c r="CU325" s="55"/>
      <c r="CV325" s="55"/>
      <c r="CW325" s="55"/>
      <c r="CX325" s="55"/>
      <c r="CY325" s="55"/>
      <c r="CZ325" s="55"/>
      <c r="DA325" s="55"/>
      <c r="DB325" s="55"/>
      <c r="DC325" s="55"/>
      <c r="DD325" s="55"/>
      <c r="DE325" s="55"/>
      <c r="DF325" s="55"/>
      <c r="DG325" s="55"/>
      <c r="DH325" s="55"/>
      <c r="DI325" s="55"/>
      <c r="DJ325" s="55"/>
    </row>
    <row r="326" spans="1:114" ht="15" customHeight="1" x14ac:dyDescent="0.25">
      <c r="A326" s="120">
        <v>9</v>
      </c>
      <c r="B326" s="79" t="s">
        <v>50</v>
      </c>
      <c r="C326" s="80">
        <v>2500</v>
      </c>
      <c r="D326" s="81">
        <v>97.69</v>
      </c>
      <c r="E326" s="59">
        <v>0</v>
      </c>
      <c r="F326" s="60">
        <f>2400-2400</f>
        <v>0</v>
      </c>
      <c r="G326" s="56">
        <f t="shared" si="150"/>
        <v>0</v>
      </c>
      <c r="H326" s="60">
        <f>3400-3400</f>
        <v>0</v>
      </c>
      <c r="I326" s="56">
        <f t="shared" si="151"/>
        <v>0</v>
      </c>
      <c r="J326" s="56">
        <f t="shared" si="152"/>
        <v>0</v>
      </c>
      <c r="K326" s="57">
        <f t="shared" si="153"/>
        <v>0</v>
      </c>
      <c r="L326" s="297"/>
      <c r="M326" s="297">
        <f>9940-9940</f>
        <v>0</v>
      </c>
      <c r="N326" s="314">
        <f>SUM(O326:U326)</f>
        <v>9940</v>
      </c>
      <c r="O326" s="310">
        <v>550</v>
      </c>
      <c r="P326" s="315">
        <v>1008</v>
      </c>
      <c r="Q326" s="315">
        <v>106</v>
      </c>
      <c r="R326" s="315">
        <v>2398</v>
      </c>
      <c r="S326" s="315">
        <v>2320</v>
      </c>
      <c r="T326" s="55">
        <v>1160</v>
      </c>
      <c r="U326" s="55">
        <v>2398</v>
      </c>
      <c r="W326" s="55"/>
      <c r="AD326" s="55"/>
      <c r="AE326" s="55"/>
      <c r="AF326" s="55"/>
      <c r="AG326" s="55"/>
      <c r="AH326" s="55"/>
      <c r="AI326" s="55"/>
      <c r="AJ326" s="55"/>
      <c r="AK326" s="55"/>
      <c r="AL326" s="55"/>
      <c r="AM326" s="55"/>
      <c r="AN326" s="55"/>
      <c r="AO326" s="55"/>
      <c r="AP326" s="55"/>
      <c r="AQ326" s="55"/>
      <c r="AR326" s="55"/>
      <c r="AS326" s="55"/>
      <c r="AT326" s="55"/>
      <c r="AU326" s="55"/>
      <c r="AV326" s="55"/>
      <c r="AW326" s="55"/>
      <c r="AX326" s="55"/>
      <c r="AY326" s="55"/>
      <c r="AZ326" s="55"/>
      <c r="BA326" s="55"/>
      <c r="BB326" s="55"/>
      <c r="BC326" s="55"/>
      <c r="BD326" s="55"/>
      <c r="BE326" s="55"/>
      <c r="BF326" s="55"/>
      <c r="BG326" s="55"/>
      <c r="BH326" s="55"/>
      <c r="BI326" s="55"/>
      <c r="BJ326" s="55"/>
      <c r="BK326" s="55"/>
      <c r="BL326" s="55"/>
      <c r="BM326" s="55"/>
      <c r="BN326" s="55"/>
      <c r="BO326" s="55"/>
      <c r="BP326" s="55"/>
      <c r="BQ326" s="55"/>
      <c r="BR326" s="55"/>
      <c r="BS326" s="55"/>
      <c r="BT326" s="55"/>
      <c r="BU326" s="55"/>
      <c r="BV326" s="55"/>
      <c r="BW326" s="55"/>
      <c r="BX326" s="55"/>
      <c r="BY326" s="55"/>
      <c r="BZ326" s="55"/>
      <c r="CA326" s="55"/>
      <c r="CB326" s="55"/>
      <c r="CC326" s="55"/>
      <c r="CD326" s="55"/>
      <c r="CE326" s="55"/>
      <c r="CF326" s="55"/>
      <c r="CG326" s="55"/>
      <c r="CH326" s="55"/>
      <c r="CI326" s="55"/>
      <c r="CJ326" s="55"/>
      <c r="CK326" s="55"/>
      <c r="CL326" s="55"/>
      <c r="CM326" s="55"/>
      <c r="CN326" s="55"/>
      <c r="CO326" s="55"/>
      <c r="CP326" s="55"/>
      <c r="CQ326" s="55"/>
      <c r="CR326" s="55"/>
      <c r="CS326" s="55"/>
      <c r="CT326" s="55"/>
      <c r="CU326" s="55"/>
      <c r="CV326" s="55"/>
      <c r="CW326" s="55"/>
      <c r="CX326" s="55"/>
      <c r="CY326" s="55"/>
      <c r="CZ326" s="55"/>
      <c r="DA326" s="55"/>
      <c r="DB326" s="55"/>
      <c r="DC326" s="55"/>
      <c r="DD326" s="55"/>
      <c r="DE326" s="55"/>
      <c r="DF326" s="55"/>
      <c r="DG326" s="55"/>
      <c r="DH326" s="55"/>
      <c r="DI326" s="55"/>
      <c r="DJ326" s="55"/>
    </row>
    <row r="327" spans="1:114" ht="15" customHeight="1" x14ac:dyDescent="0.25">
      <c r="A327" s="120"/>
      <c r="B327" s="79"/>
      <c r="C327" s="80"/>
      <c r="D327" s="81"/>
      <c r="E327" s="59"/>
      <c r="F327" s="60"/>
      <c r="G327" s="56"/>
      <c r="H327" s="60"/>
      <c r="I327" s="56"/>
      <c r="J327" s="56"/>
      <c r="K327" s="57"/>
      <c r="L327" s="297"/>
      <c r="M327" s="297"/>
      <c r="N327" s="314"/>
      <c r="O327" s="310" t="s">
        <v>931</v>
      </c>
      <c r="P327" s="315" t="s">
        <v>933</v>
      </c>
      <c r="Q327" s="315" t="s">
        <v>929</v>
      </c>
      <c r="R327" s="315" t="s">
        <v>941</v>
      </c>
      <c r="S327" s="315" t="s">
        <v>951</v>
      </c>
      <c r="T327" s="55" t="s">
        <v>946</v>
      </c>
      <c r="U327" s="55" t="s">
        <v>932</v>
      </c>
      <c r="V327" s="55" t="s">
        <v>934</v>
      </c>
      <c r="W327" s="55" t="s">
        <v>930</v>
      </c>
      <c r="X327" s="55" t="s">
        <v>935</v>
      </c>
      <c r="Y327" s="55" t="s">
        <v>944</v>
      </c>
      <c r="Z327" s="55" t="s">
        <v>943</v>
      </c>
      <c r="AA327" s="55" t="s">
        <v>940</v>
      </c>
      <c r="AB327" s="55"/>
      <c r="AC327" s="55"/>
      <c r="AD327" s="55"/>
      <c r="AE327" s="55"/>
      <c r="AF327" s="55"/>
      <c r="AG327" s="55"/>
      <c r="AH327" s="55"/>
      <c r="AI327" s="55"/>
      <c r="AJ327" s="55"/>
      <c r="AK327" s="55"/>
      <c r="AL327" s="55"/>
      <c r="AM327" s="55"/>
      <c r="AN327" s="55"/>
      <c r="AO327" s="55"/>
      <c r="AP327" s="55"/>
      <c r="AQ327" s="55"/>
      <c r="AR327" s="55"/>
      <c r="AS327" s="55"/>
      <c r="AT327" s="55"/>
      <c r="AU327" s="55"/>
      <c r="AV327" s="55"/>
      <c r="AW327" s="55"/>
      <c r="AX327" s="55"/>
      <c r="AY327" s="55"/>
      <c r="AZ327" s="55"/>
      <c r="BA327" s="55"/>
      <c r="BB327" s="55"/>
      <c r="BC327" s="55"/>
      <c r="BD327" s="55"/>
      <c r="BE327" s="55"/>
      <c r="BF327" s="55"/>
      <c r="BG327" s="55"/>
      <c r="BH327" s="55"/>
      <c r="BI327" s="55"/>
      <c r="BJ327" s="55"/>
      <c r="BK327" s="55"/>
      <c r="BL327" s="55"/>
      <c r="BM327" s="55"/>
      <c r="BN327" s="55"/>
      <c r="BO327" s="55"/>
      <c r="BP327" s="55"/>
      <c r="BQ327" s="55"/>
      <c r="BR327" s="55"/>
      <c r="BS327" s="55"/>
      <c r="BT327" s="55"/>
      <c r="BU327" s="55"/>
      <c r="BV327" s="55"/>
      <c r="BW327" s="55"/>
      <c r="BX327" s="55"/>
      <c r="BY327" s="55"/>
      <c r="BZ327" s="55"/>
      <c r="CA327" s="55"/>
      <c r="CB327" s="55"/>
      <c r="CC327" s="55"/>
      <c r="CD327" s="55"/>
      <c r="CE327" s="55"/>
      <c r="CF327" s="55"/>
      <c r="CG327" s="55"/>
      <c r="CH327" s="55"/>
      <c r="CI327" s="55"/>
      <c r="CJ327" s="55"/>
      <c r="CK327" s="55"/>
      <c r="CL327" s="55"/>
      <c r="CM327" s="55"/>
      <c r="CN327" s="55"/>
      <c r="CO327" s="55"/>
      <c r="CP327" s="55"/>
      <c r="CQ327" s="55"/>
      <c r="CR327" s="55"/>
      <c r="CS327" s="55"/>
      <c r="CT327" s="55"/>
      <c r="CU327" s="55"/>
      <c r="CV327" s="55"/>
      <c r="CW327" s="55"/>
      <c r="CX327" s="55"/>
      <c r="CY327" s="55"/>
      <c r="CZ327" s="55"/>
      <c r="DA327" s="55"/>
      <c r="DB327" s="55"/>
      <c r="DC327" s="55"/>
      <c r="DD327" s="55"/>
      <c r="DE327" s="55"/>
      <c r="DF327" s="55"/>
      <c r="DG327" s="55"/>
      <c r="DH327" s="55"/>
      <c r="DI327" s="55"/>
      <c r="DJ327" s="55"/>
    </row>
    <row r="328" spans="1:114" ht="15" customHeight="1" x14ac:dyDescent="0.25">
      <c r="A328" s="120">
        <v>10</v>
      </c>
      <c r="B328" s="79" t="s">
        <v>118</v>
      </c>
      <c r="C328" s="80">
        <v>2500</v>
      </c>
      <c r="D328" s="81">
        <v>97.32</v>
      </c>
      <c r="E328" s="59">
        <v>0</v>
      </c>
      <c r="F328" s="60">
        <f>4800-4800</f>
        <v>0</v>
      </c>
      <c r="G328" s="56">
        <f t="shared" si="150"/>
        <v>0</v>
      </c>
      <c r="H328" s="60">
        <f>4800-4800</f>
        <v>0</v>
      </c>
      <c r="I328" s="56">
        <f t="shared" si="151"/>
        <v>0</v>
      </c>
      <c r="J328" s="56">
        <f t="shared" si="152"/>
        <v>0</v>
      </c>
      <c r="K328" s="57">
        <f t="shared" si="153"/>
        <v>0</v>
      </c>
      <c r="L328" s="297"/>
      <c r="M328" s="297">
        <v>41742</v>
      </c>
      <c r="N328" s="314">
        <f t="shared" si="155"/>
        <v>61984</v>
      </c>
      <c r="O328" s="310">
        <v>4800</v>
      </c>
      <c r="P328" s="315">
        <v>4719</v>
      </c>
      <c r="Q328" s="315">
        <v>3608</v>
      </c>
      <c r="R328" s="315">
        <v>4797</v>
      </c>
      <c r="S328" s="315">
        <v>3840</v>
      </c>
      <c r="T328" s="55">
        <v>4392</v>
      </c>
      <c r="U328" s="55">
        <v>4800</v>
      </c>
      <c r="V328" s="55">
        <v>7200</v>
      </c>
      <c r="W328" s="55">
        <v>4704</v>
      </c>
      <c r="X328" s="55">
        <v>4752</v>
      </c>
      <c r="Y328" s="55">
        <v>4800</v>
      </c>
      <c r="Z328" s="55">
        <v>4776</v>
      </c>
      <c r="AA328" s="55">
        <v>4796</v>
      </c>
      <c r="AB328" s="55"/>
      <c r="AC328" s="55"/>
      <c r="AD328" s="55"/>
      <c r="AE328" s="55"/>
      <c r="AF328" s="55"/>
      <c r="AG328" s="55"/>
      <c r="AH328" s="55"/>
      <c r="AI328" s="55"/>
      <c r="AJ328" s="55"/>
      <c r="AK328" s="55"/>
      <c r="AL328" s="55"/>
      <c r="AM328" s="55"/>
      <c r="AN328" s="55"/>
      <c r="AO328" s="55"/>
      <c r="AP328" s="55"/>
      <c r="AQ328" s="55"/>
      <c r="AR328" s="55"/>
      <c r="AS328" s="55"/>
      <c r="AT328" s="55"/>
      <c r="AU328" s="55"/>
      <c r="AV328" s="55"/>
      <c r="AW328" s="55"/>
      <c r="AX328" s="55"/>
      <c r="AY328" s="55"/>
      <c r="AZ328" s="55"/>
      <c r="BA328" s="55"/>
      <c r="BB328" s="55"/>
      <c r="BC328" s="55"/>
      <c r="BD328" s="55"/>
      <c r="BE328" s="55"/>
      <c r="BF328" s="55"/>
      <c r="BG328" s="55"/>
      <c r="BH328" s="55"/>
      <c r="BI328" s="55"/>
      <c r="BJ328" s="55"/>
      <c r="BK328" s="55"/>
      <c r="BL328" s="55"/>
      <c r="BM328" s="55"/>
      <c r="BN328" s="55"/>
      <c r="BO328" s="55"/>
      <c r="BP328" s="55"/>
      <c r="BQ328" s="55"/>
      <c r="BR328" s="55"/>
      <c r="BS328" s="55"/>
      <c r="BT328" s="55"/>
      <c r="BU328" s="55"/>
      <c r="BV328" s="55"/>
      <c r="BW328" s="55"/>
      <c r="BX328" s="55"/>
      <c r="BY328" s="55"/>
      <c r="BZ328" s="55"/>
      <c r="CA328" s="55"/>
      <c r="CB328" s="55"/>
      <c r="CC328" s="55"/>
      <c r="CD328" s="55"/>
      <c r="CE328" s="55"/>
      <c r="CF328" s="55"/>
      <c r="CG328" s="55"/>
      <c r="CH328" s="55"/>
      <c r="CI328" s="55"/>
      <c r="CJ328" s="55"/>
      <c r="CK328" s="55"/>
      <c r="CL328" s="55"/>
      <c r="CM328" s="55"/>
      <c r="CN328" s="55"/>
      <c r="CO328" s="55"/>
      <c r="CP328" s="55"/>
      <c r="CQ328" s="55"/>
      <c r="CR328" s="55"/>
      <c r="CS328" s="55"/>
      <c r="CT328" s="55"/>
      <c r="CU328" s="55"/>
      <c r="CV328" s="55"/>
      <c r="CW328" s="55"/>
      <c r="CX328" s="55"/>
      <c r="CY328" s="55"/>
      <c r="CZ328" s="55"/>
      <c r="DA328" s="55"/>
      <c r="DB328" s="55"/>
      <c r="DC328" s="55"/>
      <c r="DD328" s="55"/>
      <c r="DE328" s="55"/>
      <c r="DF328" s="55"/>
      <c r="DG328" s="55"/>
      <c r="DH328" s="55"/>
      <c r="DI328" s="55"/>
      <c r="DJ328" s="55"/>
    </row>
    <row r="329" spans="1:114" x14ac:dyDescent="0.25">
      <c r="A329" s="120">
        <v>11</v>
      </c>
      <c r="B329" s="79" t="s">
        <v>119</v>
      </c>
      <c r="C329" s="80">
        <v>2500</v>
      </c>
      <c r="D329" s="81">
        <v>140.65</v>
      </c>
      <c r="E329" s="59">
        <v>0</v>
      </c>
      <c r="F329" s="60">
        <f>6400-6400</f>
        <v>0</v>
      </c>
      <c r="G329" s="56">
        <f t="shared" si="150"/>
        <v>0</v>
      </c>
      <c r="H329" s="60">
        <f>6400-6400+6400-6400</f>
        <v>0</v>
      </c>
      <c r="I329" s="56">
        <f t="shared" si="151"/>
        <v>0</v>
      </c>
      <c r="J329" s="56">
        <f t="shared" si="152"/>
        <v>0</v>
      </c>
      <c r="K329" s="57">
        <f t="shared" si="153"/>
        <v>0</v>
      </c>
      <c r="L329" s="297"/>
      <c r="M329" s="297">
        <v>78808</v>
      </c>
      <c r="N329" s="314">
        <f t="shared" si="155"/>
        <v>168200</v>
      </c>
      <c r="O329" s="310">
        <v>6400</v>
      </c>
      <c r="P329" s="315">
        <v>64</v>
      </c>
      <c r="Q329" s="315">
        <v>6400</v>
      </c>
      <c r="R329" s="315">
        <v>6240</v>
      </c>
      <c r="S329" s="315">
        <v>6400</v>
      </c>
      <c r="T329" s="55">
        <v>6400</v>
      </c>
      <c r="U329" s="55">
        <v>6328</v>
      </c>
      <c r="V329" s="55">
        <v>19200</v>
      </c>
      <c r="W329" s="55">
        <v>6400</v>
      </c>
      <c r="X329" s="55">
        <v>6400</v>
      </c>
      <c r="Y329" s="55">
        <v>5856</v>
      </c>
      <c r="Z329" s="55">
        <v>16000</v>
      </c>
      <c r="AA329" s="55">
        <v>16000</v>
      </c>
      <c r="AB329" s="55">
        <v>16000</v>
      </c>
      <c r="AC329" s="55">
        <v>16000</v>
      </c>
      <c r="AD329" s="55">
        <v>16000</v>
      </c>
      <c r="AE329" s="55">
        <v>6368</v>
      </c>
      <c r="AF329" s="55">
        <v>5744</v>
      </c>
      <c r="AG329" s="55"/>
      <c r="AH329" s="55"/>
      <c r="AI329" s="55"/>
      <c r="AJ329" s="55"/>
      <c r="AK329" s="55"/>
      <c r="AL329" s="55"/>
      <c r="AM329" s="55"/>
      <c r="AN329" s="55"/>
      <c r="AO329" s="55"/>
      <c r="AP329" s="55"/>
      <c r="AQ329" s="55"/>
      <c r="AR329" s="55"/>
      <c r="AS329" s="55"/>
      <c r="AT329" s="55"/>
      <c r="AU329" s="55"/>
      <c r="AV329" s="55"/>
      <c r="AW329" s="55"/>
      <c r="AX329" s="55"/>
      <c r="AY329" s="55"/>
      <c r="AZ329" s="55"/>
      <c r="BA329" s="55"/>
      <c r="BB329" s="55"/>
      <c r="BC329" s="55"/>
      <c r="BD329" s="55"/>
      <c r="BE329" s="55"/>
      <c r="BF329" s="55"/>
      <c r="BG329" s="55"/>
      <c r="BH329" s="55"/>
      <c r="BI329" s="55"/>
      <c r="BJ329" s="55"/>
      <c r="BK329" s="55"/>
      <c r="BL329" s="55"/>
      <c r="BM329" s="55"/>
      <c r="BN329" s="55"/>
      <c r="BO329" s="55"/>
      <c r="BP329" s="55"/>
      <c r="BQ329" s="55"/>
      <c r="BR329" s="55"/>
      <c r="BS329" s="55"/>
      <c r="BT329" s="55"/>
      <c r="BU329" s="55"/>
      <c r="BV329" s="55"/>
      <c r="BW329" s="55"/>
      <c r="BX329" s="55"/>
      <c r="BY329" s="55"/>
      <c r="BZ329" s="55"/>
      <c r="CA329" s="55"/>
      <c r="CB329" s="55"/>
      <c r="CC329" s="55"/>
      <c r="CD329" s="55"/>
      <c r="CE329" s="55"/>
      <c r="CF329" s="55"/>
      <c r="CG329" s="55"/>
      <c r="CH329" s="55"/>
      <c r="CI329" s="55"/>
      <c r="CJ329" s="55"/>
      <c r="CK329" s="55"/>
      <c r="CL329" s="55"/>
      <c r="CM329" s="55"/>
      <c r="CN329" s="55"/>
      <c r="CO329" s="55"/>
      <c r="CP329" s="55"/>
      <c r="CQ329" s="55"/>
      <c r="CR329" s="55"/>
      <c r="CS329" s="55"/>
      <c r="CT329" s="55"/>
      <c r="CU329" s="55"/>
      <c r="CV329" s="55"/>
      <c r="CW329" s="55"/>
      <c r="CX329" s="55"/>
      <c r="CY329" s="55"/>
      <c r="CZ329" s="55"/>
      <c r="DA329" s="55"/>
      <c r="DB329" s="55"/>
      <c r="DC329" s="55"/>
      <c r="DD329" s="55"/>
      <c r="DE329" s="55"/>
      <c r="DF329" s="55"/>
      <c r="DG329" s="55"/>
      <c r="DH329" s="55"/>
      <c r="DI329" s="55"/>
      <c r="DJ329" s="55"/>
    </row>
    <row r="330" spans="1:114" x14ac:dyDescent="0.25">
      <c r="A330" s="120"/>
      <c r="B330" s="79"/>
      <c r="C330" s="80"/>
      <c r="D330" s="81"/>
      <c r="E330" s="59"/>
      <c r="F330" s="60"/>
      <c r="G330" s="56"/>
      <c r="H330" s="60"/>
      <c r="I330" s="56"/>
      <c r="J330" s="56"/>
      <c r="K330" s="57"/>
      <c r="L330" s="297"/>
      <c r="M330" s="297"/>
      <c r="N330" s="314"/>
      <c r="O330" s="310" t="s">
        <v>930</v>
      </c>
      <c r="P330" s="315" t="s">
        <v>934</v>
      </c>
      <c r="Q330" s="315" t="s">
        <v>951</v>
      </c>
      <c r="R330" s="315" t="s">
        <v>946</v>
      </c>
      <c r="S330" s="315" t="s">
        <v>941</v>
      </c>
      <c r="T330" s="55" t="s">
        <v>933</v>
      </c>
      <c r="U330" s="55" t="s">
        <v>931</v>
      </c>
      <c r="V330" s="55" t="s">
        <v>944</v>
      </c>
      <c r="W330" s="55" t="s">
        <v>935</v>
      </c>
      <c r="X330" s="55" t="s">
        <v>940</v>
      </c>
      <c r="Y330" s="55"/>
      <c r="Z330" s="55"/>
      <c r="AA330" s="55"/>
      <c r="AB330" s="55"/>
      <c r="AC330" s="55"/>
      <c r="AD330" s="55"/>
      <c r="AE330" s="55"/>
      <c r="AF330" s="55"/>
      <c r="AG330" s="55"/>
      <c r="AH330" s="55"/>
      <c r="AI330" s="55"/>
      <c r="AJ330" s="55"/>
      <c r="AK330" s="55"/>
      <c r="AL330" s="55"/>
      <c r="AM330" s="55"/>
      <c r="AN330" s="55"/>
      <c r="AO330" s="55"/>
      <c r="AP330" s="55"/>
      <c r="AQ330" s="55"/>
      <c r="AR330" s="55"/>
      <c r="AS330" s="55"/>
      <c r="AT330" s="55"/>
      <c r="AU330" s="55"/>
      <c r="AV330" s="55"/>
      <c r="AW330" s="55"/>
      <c r="AX330" s="55"/>
      <c r="AY330" s="55"/>
      <c r="AZ330" s="55"/>
      <c r="BA330" s="55"/>
      <c r="BB330" s="55"/>
      <c r="BC330" s="55"/>
      <c r="BD330" s="55"/>
      <c r="BE330" s="55"/>
      <c r="BF330" s="55"/>
      <c r="BG330" s="55"/>
      <c r="BH330" s="55"/>
      <c r="BI330" s="55"/>
      <c r="BJ330" s="55"/>
      <c r="BK330" s="55"/>
      <c r="BL330" s="55"/>
      <c r="BM330" s="55"/>
      <c r="BN330" s="55"/>
      <c r="BO330" s="55"/>
      <c r="BP330" s="55"/>
      <c r="BQ330" s="55"/>
      <c r="BR330" s="55"/>
      <c r="BS330" s="55"/>
      <c r="BT330" s="55"/>
      <c r="BU330" s="55"/>
      <c r="BV330" s="55"/>
      <c r="BW330" s="55"/>
      <c r="BX330" s="55"/>
      <c r="BY330" s="55"/>
      <c r="BZ330" s="55"/>
      <c r="CA330" s="55"/>
      <c r="CB330" s="55"/>
      <c r="CC330" s="55"/>
      <c r="CD330" s="55"/>
      <c r="CE330" s="55"/>
      <c r="CF330" s="55"/>
      <c r="CG330" s="55"/>
      <c r="CH330" s="55"/>
      <c r="CI330" s="55"/>
      <c r="CJ330" s="55"/>
      <c r="CK330" s="55"/>
      <c r="CL330" s="55"/>
      <c r="CM330" s="55"/>
      <c r="CN330" s="55"/>
      <c r="CO330" s="55"/>
      <c r="CP330" s="55"/>
      <c r="CQ330" s="55"/>
      <c r="CR330" s="55"/>
      <c r="CS330" s="55"/>
      <c r="CT330" s="55"/>
      <c r="CU330" s="55"/>
      <c r="CV330" s="55"/>
      <c r="CW330" s="55"/>
      <c r="CX330" s="55"/>
      <c r="CY330" s="55"/>
      <c r="CZ330" s="55"/>
      <c r="DA330" s="55"/>
      <c r="DB330" s="55"/>
      <c r="DC330" s="55"/>
      <c r="DD330" s="55"/>
      <c r="DE330" s="55"/>
      <c r="DF330" s="55"/>
      <c r="DG330" s="55"/>
      <c r="DH330" s="55"/>
      <c r="DI330" s="55"/>
      <c r="DJ330" s="55"/>
    </row>
    <row r="331" spans="1:114" x14ac:dyDescent="0.25">
      <c r="A331" s="120">
        <v>12</v>
      </c>
      <c r="B331" s="79" t="s">
        <v>53</v>
      </c>
      <c r="C331" s="80">
        <v>2500</v>
      </c>
      <c r="D331" s="81">
        <v>110.39</v>
      </c>
      <c r="E331" s="59">
        <v>0</v>
      </c>
      <c r="F331" s="60"/>
      <c r="G331" s="56">
        <f t="shared" si="150"/>
        <v>0</v>
      </c>
      <c r="H331" s="55">
        <f>11600-11600</f>
        <v>0</v>
      </c>
      <c r="I331" s="56">
        <f t="shared" si="151"/>
        <v>0</v>
      </c>
      <c r="J331" s="56">
        <f t="shared" si="152"/>
        <v>0</v>
      </c>
      <c r="K331" s="57">
        <f t="shared" si="153"/>
        <v>0</v>
      </c>
      <c r="L331" s="297"/>
      <c r="M331" s="297">
        <v>14234</v>
      </c>
      <c r="N331" s="314">
        <f t="shared" si="155"/>
        <v>21366</v>
      </c>
      <c r="O331" s="310">
        <v>1880</v>
      </c>
      <c r="P331" s="315">
        <v>4000</v>
      </c>
      <c r="Q331" s="315">
        <v>2960</v>
      </c>
      <c r="R331" s="315">
        <v>626</v>
      </c>
      <c r="S331" s="315">
        <v>2000</v>
      </c>
      <c r="T331" s="55">
        <v>1950</v>
      </c>
      <c r="U331" s="55">
        <v>2000</v>
      </c>
      <c r="V331" s="55">
        <v>2000</v>
      </c>
      <c r="W331" s="55">
        <v>1960</v>
      </c>
      <c r="X331" s="55">
        <v>1990</v>
      </c>
      <c r="Y331" s="55"/>
      <c r="Z331" s="55"/>
      <c r="AA331" s="55"/>
      <c r="AB331" s="55"/>
      <c r="AC331" s="55"/>
      <c r="AD331" s="55"/>
      <c r="AE331" s="55"/>
      <c r="AF331" s="55"/>
      <c r="AG331" s="55"/>
      <c r="AH331" s="55"/>
      <c r="AI331" s="55"/>
      <c r="AJ331" s="55"/>
      <c r="AK331" s="55"/>
      <c r="AL331" s="55"/>
      <c r="AM331" s="55"/>
      <c r="AN331" s="55"/>
      <c r="AO331" s="55"/>
      <c r="AP331" s="55"/>
      <c r="AQ331" s="55"/>
      <c r="AR331" s="55"/>
      <c r="AS331" s="55"/>
      <c r="AT331" s="55"/>
      <c r="AU331" s="55"/>
      <c r="AV331" s="55"/>
      <c r="AW331" s="55"/>
      <c r="AX331" s="55"/>
      <c r="AY331" s="55"/>
      <c r="AZ331" s="55"/>
      <c r="BA331" s="55"/>
      <c r="BB331" s="55"/>
      <c r="BC331" s="55"/>
      <c r="BD331" s="55"/>
      <c r="BE331" s="55"/>
      <c r="BF331" s="55"/>
      <c r="BG331" s="55"/>
      <c r="BH331" s="55"/>
      <c r="BI331" s="55"/>
      <c r="BJ331" s="55"/>
      <c r="BK331" s="55"/>
      <c r="BL331" s="55"/>
      <c r="BM331" s="55"/>
      <c r="BN331" s="55"/>
      <c r="BO331" s="55"/>
      <c r="BP331" s="55"/>
      <c r="BQ331" s="55"/>
      <c r="BR331" s="55"/>
      <c r="BS331" s="55"/>
      <c r="BT331" s="55"/>
      <c r="BU331" s="55"/>
      <c r="BV331" s="55"/>
      <c r="BW331" s="55"/>
      <c r="BX331" s="55"/>
      <c r="BY331" s="55"/>
      <c r="BZ331" s="55"/>
      <c r="CA331" s="55"/>
      <c r="CB331" s="55"/>
      <c r="CC331" s="55"/>
      <c r="CD331" s="55"/>
      <c r="CE331" s="55"/>
      <c r="CF331" s="55"/>
      <c r="CG331" s="55"/>
      <c r="CH331" s="55"/>
      <c r="CI331" s="55"/>
      <c r="CJ331" s="55"/>
      <c r="CK331" s="55"/>
      <c r="CL331" s="55"/>
      <c r="CM331" s="55"/>
      <c r="CN331" s="55"/>
      <c r="CO331" s="55"/>
      <c r="CP331" s="55"/>
      <c r="CQ331" s="55"/>
      <c r="CR331" s="55"/>
      <c r="CS331" s="55"/>
      <c r="CT331" s="55"/>
      <c r="CU331" s="55"/>
      <c r="CV331" s="55"/>
      <c r="CW331" s="55"/>
      <c r="CX331" s="55"/>
      <c r="CY331" s="55"/>
      <c r="CZ331" s="55"/>
      <c r="DA331" s="55"/>
      <c r="DB331" s="55"/>
      <c r="DC331" s="55"/>
      <c r="DD331" s="55"/>
      <c r="DE331" s="55"/>
      <c r="DF331" s="55"/>
      <c r="DG331" s="55"/>
      <c r="DH331" s="55"/>
      <c r="DI331" s="55"/>
      <c r="DJ331" s="55"/>
    </row>
    <row r="332" spans="1:114" x14ac:dyDescent="0.25">
      <c r="A332" s="120"/>
      <c r="B332" s="79"/>
      <c r="C332" s="80"/>
      <c r="D332" s="81"/>
      <c r="E332" s="59"/>
      <c r="F332" s="60"/>
      <c r="G332" s="56"/>
      <c r="H332" s="55"/>
      <c r="I332" s="56"/>
      <c r="J332" s="56"/>
      <c r="K332" s="57"/>
      <c r="L332" s="297"/>
      <c r="M332" s="297"/>
      <c r="N332" s="314"/>
      <c r="O332" s="310" t="s">
        <v>930</v>
      </c>
      <c r="P332" s="315" t="s">
        <v>931</v>
      </c>
      <c r="Q332" s="315" t="s">
        <v>932</v>
      </c>
      <c r="R332" s="315" t="s">
        <v>936</v>
      </c>
      <c r="S332" s="315" t="s">
        <v>929</v>
      </c>
      <c r="T332" s="55" t="s">
        <v>941</v>
      </c>
      <c r="U332" s="55" t="s">
        <v>933</v>
      </c>
      <c r="V332" s="55" t="s">
        <v>935</v>
      </c>
      <c r="W332" s="55" t="s">
        <v>934</v>
      </c>
      <c r="X332" s="55" t="s">
        <v>940</v>
      </c>
      <c r="Y332" s="55"/>
      <c r="Z332" s="55"/>
      <c r="AA332" s="55"/>
      <c r="AB332" s="55"/>
      <c r="AC332" s="55"/>
      <c r="AD332" s="55"/>
      <c r="AE332" s="55"/>
      <c r="AF332" s="55"/>
      <c r="AG332" s="55"/>
      <c r="AH332" s="55"/>
      <c r="AI332" s="55"/>
      <c r="AJ332" s="55"/>
      <c r="AK332" s="55"/>
      <c r="AL332" s="55"/>
      <c r="AM332" s="55"/>
      <c r="AN332" s="55"/>
      <c r="AO332" s="55"/>
      <c r="AP332" s="55"/>
      <c r="AQ332" s="55"/>
      <c r="AR332" s="55"/>
      <c r="AS332" s="55"/>
      <c r="AT332" s="55"/>
      <c r="AU332" s="55"/>
      <c r="AV332" s="55"/>
      <c r="AW332" s="55"/>
      <c r="AX332" s="55"/>
      <c r="AY332" s="55"/>
      <c r="AZ332" s="55"/>
      <c r="BA332" s="55"/>
      <c r="BB332" s="55"/>
      <c r="BC332" s="55"/>
      <c r="BD332" s="55"/>
      <c r="BE332" s="55"/>
      <c r="BF332" s="55"/>
      <c r="BG332" s="55"/>
      <c r="BH332" s="55"/>
      <c r="BI332" s="55"/>
      <c r="BJ332" s="55"/>
      <c r="BK332" s="55"/>
      <c r="BL332" s="55"/>
      <c r="BM332" s="55"/>
      <c r="BN332" s="55"/>
      <c r="BO332" s="55"/>
      <c r="BP332" s="55"/>
      <c r="BQ332" s="55"/>
      <c r="BR332" s="55"/>
      <c r="BS332" s="55"/>
      <c r="BT332" s="55"/>
      <c r="BU332" s="55"/>
      <c r="BV332" s="55"/>
      <c r="BW332" s="55"/>
      <c r="BX332" s="55"/>
      <c r="BY332" s="55"/>
      <c r="BZ332" s="55"/>
      <c r="CA332" s="55"/>
      <c r="CB332" s="55"/>
      <c r="CC332" s="55"/>
      <c r="CD332" s="55"/>
      <c r="CE332" s="55"/>
      <c r="CF332" s="55"/>
      <c r="CG332" s="55"/>
      <c r="CH332" s="55"/>
      <c r="CI332" s="55"/>
      <c r="CJ332" s="55"/>
      <c r="CK332" s="55"/>
      <c r="CL332" s="55"/>
      <c r="CM332" s="55"/>
      <c r="CN332" s="55"/>
      <c r="CO332" s="55"/>
      <c r="CP332" s="55"/>
      <c r="CQ332" s="55"/>
      <c r="CR332" s="55"/>
      <c r="CS332" s="55"/>
      <c r="CT332" s="55"/>
      <c r="CU332" s="55"/>
      <c r="CV332" s="55"/>
      <c r="CW332" s="55"/>
      <c r="CX332" s="55"/>
      <c r="CY332" s="55"/>
      <c r="CZ332" s="55"/>
      <c r="DA332" s="55"/>
      <c r="DB332" s="55"/>
      <c r="DC332" s="55"/>
      <c r="DD332" s="55"/>
      <c r="DE332" s="55"/>
      <c r="DF332" s="55"/>
      <c r="DG332" s="55"/>
      <c r="DH332" s="55"/>
      <c r="DI332" s="55"/>
      <c r="DJ332" s="55"/>
    </row>
    <row r="333" spans="1:114" x14ac:dyDescent="0.25">
      <c r="A333" s="120">
        <v>13</v>
      </c>
      <c r="B333" s="79" t="s">
        <v>120</v>
      </c>
      <c r="C333" s="80">
        <v>2500</v>
      </c>
      <c r="D333" s="81">
        <v>94.29</v>
      </c>
      <c r="E333" s="59">
        <v>0</v>
      </c>
      <c r="F333" s="60"/>
      <c r="G333" s="56">
        <f t="shared" si="150"/>
        <v>0</v>
      </c>
      <c r="H333" s="55"/>
      <c r="I333" s="56">
        <f t="shared" si="151"/>
        <v>0</v>
      </c>
      <c r="J333" s="56">
        <f t="shared" si="152"/>
        <v>0</v>
      </c>
      <c r="K333" s="57">
        <f t="shared" si="153"/>
        <v>0</v>
      </c>
      <c r="L333" s="297"/>
      <c r="M333" s="297">
        <v>64890</v>
      </c>
      <c r="N333" s="314">
        <f t="shared" si="155"/>
        <v>54426</v>
      </c>
      <c r="O333" s="310">
        <v>4725</v>
      </c>
      <c r="P333" s="315">
        <v>4900</v>
      </c>
      <c r="Q333" s="315">
        <v>5000</v>
      </c>
      <c r="R333" s="315">
        <v>5000</v>
      </c>
      <c r="S333" s="315">
        <v>5000</v>
      </c>
      <c r="T333" s="55">
        <v>5000</v>
      </c>
      <c r="U333" s="55">
        <v>4895</v>
      </c>
      <c r="V333" s="55">
        <v>5000</v>
      </c>
      <c r="W333" s="55">
        <v>9950</v>
      </c>
      <c r="X333" s="55">
        <v>4956</v>
      </c>
      <c r="Y333" s="55"/>
      <c r="Z333" s="55"/>
      <c r="AA333" s="55"/>
      <c r="AB333" s="55"/>
      <c r="AC333" s="55"/>
      <c r="AD333" s="55"/>
      <c r="AE333" s="55"/>
      <c r="AF333" s="55"/>
      <c r="AG333" s="55"/>
      <c r="AH333" s="55"/>
      <c r="AI333" s="55"/>
      <c r="AJ333" s="55"/>
      <c r="AK333" s="55"/>
      <c r="AL333" s="55"/>
      <c r="AM333" s="55"/>
      <c r="AN333" s="55"/>
      <c r="AO333" s="55"/>
      <c r="AP333" s="55"/>
      <c r="AQ333" s="55"/>
      <c r="AR333" s="55"/>
      <c r="AS333" s="55"/>
      <c r="AT333" s="55"/>
      <c r="AU333" s="55"/>
      <c r="AV333" s="55"/>
      <c r="AW333" s="55"/>
      <c r="AX333" s="55"/>
      <c r="AY333" s="55"/>
      <c r="AZ333" s="55"/>
      <c r="BA333" s="55"/>
      <c r="BB333" s="55"/>
      <c r="BC333" s="55"/>
      <c r="BD333" s="55"/>
      <c r="BE333" s="55"/>
      <c r="BF333" s="55"/>
      <c r="BG333" s="55"/>
      <c r="BH333" s="55"/>
      <c r="BI333" s="55"/>
      <c r="BJ333" s="55"/>
      <c r="BK333" s="55"/>
      <c r="BL333" s="55"/>
      <c r="BM333" s="55"/>
      <c r="BN333" s="55"/>
      <c r="BO333" s="55"/>
      <c r="BP333" s="55"/>
      <c r="BQ333" s="55"/>
      <c r="BR333" s="55"/>
      <c r="BS333" s="55"/>
      <c r="BT333" s="55"/>
      <c r="BU333" s="55"/>
      <c r="BV333" s="55"/>
      <c r="BW333" s="55"/>
      <c r="BX333" s="55"/>
      <c r="BY333" s="55"/>
      <c r="BZ333" s="55"/>
      <c r="CA333" s="55"/>
      <c r="CB333" s="55"/>
      <c r="CC333" s="55"/>
      <c r="CD333" s="55"/>
      <c r="CE333" s="55"/>
      <c r="CF333" s="55"/>
      <c r="CG333" s="55"/>
      <c r="CH333" s="55"/>
      <c r="CI333" s="55"/>
      <c r="CJ333" s="55"/>
      <c r="CK333" s="55"/>
      <c r="CL333" s="55"/>
      <c r="CM333" s="55"/>
      <c r="CN333" s="55"/>
      <c r="CO333" s="55"/>
      <c r="CP333" s="55"/>
      <c r="CQ333" s="55"/>
      <c r="CR333" s="55"/>
      <c r="CS333" s="55"/>
      <c r="CT333" s="55"/>
      <c r="CU333" s="55"/>
      <c r="CV333" s="55"/>
      <c r="CW333" s="55"/>
      <c r="CX333" s="55"/>
      <c r="CY333" s="55"/>
      <c r="CZ333" s="55"/>
      <c r="DA333" s="55"/>
      <c r="DB333" s="55"/>
      <c r="DC333" s="55"/>
      <c r="DD333" s="55"/>
      <c r="DE333" s="55"/>
      <c r="DF333" s="55"/>
      <c r="DG333" s="55"/>
      <c r="DH333" s="55"/>
      <c r="DI333" s="55"/>
      <c r="DJ333" s="55"/>
    </row>
    <row r="334" spans="1:114" ht="15.75" customHeight="1" x14ac:dyDescent="0.25">
      <c r="A334" s="339"/>
      <c r="B334" s="340"/>
      <c r="C334" s="341"/>
      <c r="D334" s="342"/>
      <c r="E334" s="343"/>
      <c r="F334" s="350"/>
      <c r="G334" s="345"/>
      <c r="H334" s="346"/>
      <c r="I334" s="345"/>
      <c r="J334" s="345"/>
      <c r="K334" s="347"/>
      <c r="L334" s="297"/>
      <c r="M334" s="297"/>
      <c r="N334" s="348"/>
      <c r="O334" s="310" t="s">
        <v>943</v>
      </c>
      <c r="P334" s="349" t="s">
        <v>940</v>
      </c>
      <c r="Q334" s="349" t="s">
        <v>964</v>
      </c>
      <c r="R334" s="349" t="s">
        <v>931</v>
      </c>
      <c r="S334" s="349" t="s">
        <v>933</v>
      </c>
      <c r="T334" s="346" t="s">
        <v>930</v>
      </c>
      <c r="U334" s="346" t="s">
        <v>930</v>
      </c>
      <c r="V334" s="346" t="s">
        <v>941</v>
      </c>
      <c r="W334" s="346"/>
      <c r="X334" s="346"/>
      <c r="Y334" s="346"/>
      <c r="Z334" s="346"/>
      <c r="AA334" s="346"/>
      <c r="AB334" s="346"/>
      <c r="AC334" s="346"/>
      <c r="AD334" s="346"/>
      <c r="AE334" s="346"/>
      <c r="AF334" s="346"/>
      <c r="AG334" s="346"/>
      <c r="AH334" s="346"/>
      <c r="AI334" s="346"/>
      <c r="AJ334" s="346"/>
      <c r="AK334" s="346"/>
      <c r="AL334" s="346"/>
      <c r="AM334" s="346"/>
      <c r="AN334" s="346"/>
      <c r="AO334" s="346"/>
      <c r="AP334" s="346"/>
      <c r="AQ334" s="346"/>
      <c r="AR334" s="346"/>
      <c r="AS334" s="346"/>
      <c r="AT334" s="346"/>
      <c r="AU334" s="346"/>
      <c r="AV334" s="346"/>
      <c r="AW334" s="346"/>
      <c r="AX334" s="346"/>
      <c r="AY334" s="346"/>
      <c r="AZ334" s="346"/>
      <c r="BA334" s="346"/>
      <c r="BB334" s="346"/>
      <c r="BC334" s="346"/>
      <c r="BD334" s="346"/>
      <c r="BE334" s="346"/>
      <c r="BF334" s="346"/>
      <c r="BG334" s="346"/>
      <c r="BH334" s="346"/>
      <c r="BI334" s="346"/>
      <c r="BJ334" s="346"/>
      <c r="BK334" s="346"/>
      <c r="BL334" s="346"/>
      <c r="BM334" s="346"/>
      <c r="BN334" s="346"/>
      <c r="BO334" s="346"/>
      <c r="BP334" s="346"/>
      <c r="BQ334" s="346"/>
      <c r="BR334" s="346"/>
      <c r="BS334" s="346"/>
      <c r="BT334" s="346"/>
      <c r="BU334" s="346"/>
      <c r="BV334" s="346"/>
      <c r="BW334" s="346"/>
      <c r="BX334" s="346"/>
      <c r="BY334" s="346"/>
      <c r="BZ334" s="346"/>
      <c r="CA334" s="346"/>
      <c r="CB334" s="346"/>
      <c r="CC334" s="346"/>
      <c r="CD334" s="346"/>
      <c r="CE334" s="346"/>
      <c r="CF334" s="346"/>
      <c r="CG334" s="346"/>
      <c r="CH334" s="346"/>
      <c r="CI334" s="346"/>
      <c r="CJ334" s="346"/>
      <c r="CK334" s="346"/>
      <c r="CL334" s="346"/>
      <c r="CM334" s="346"/>
      <c r="CN334" s="346"/>
      <c r="CO334" s="346"/>
      <c r="CP334" s="346"/>
      <c r="CQ334" s="346"/>
      <c r="CR334" s="346"/>
      <c r="CS334" s="346"/>
      <c r="CT334" s="346"/>
      <c r="CU334" s="346"/>
      <c r="CV334" s="346"/>
      <c r="CW334" s="346"/>
      <c r="CX334" s="346"/>
      <c r="CY334" s="346"/>
      <c r="CZ334" s="346"/>
      <c r="DA334" s="346"/>
      <c r="DB334" s="346"/>
      <c r="DC334" s="346"/>
      <c r="DD334" s="346"/>
      <c r="DE334" s="346"/>
      <c r="DF334" s="346"/>
      <c r="DG334" s="346"/>
      <c r="DH334" s="346"/>
      <c r="DI334" s="346"/>
      <c r="DJ334" s="346"/>
    </row>
    <row r="335" spans="1:114" x14ac:dyDescent="0.25">
      <c r="A335" s="120">
        <v>14</v>
      </c>
      <c r="B335" s="79" t="s">
        <v>121</v>
      </c>
      <c r="C335" s="80">
        <v>2500</v>
      </c>
      <c r="D335" s="81">
        <v>111.05</v>
      </c>
      <c r="E335" s="59">
        <v>0</v>
      </c>
      <c r="F335" s="60"/>
      <c r="G335" s="56">
        <f t="shared" si="150"/>
        <v>0</v>
      </c>
      <c r="H335" s="55">
        <f>6300-6300</f>
        <v>0</v>
      </c>
      <c r="I335" s="56">
        <f t="shared" si="151"/>
        <v>0</v>
      </c>
      <c r="J335" s="56">
        <f t="shared" si="152"/>
        <v>0</v>
      </c>
      <c r="K335" s="57">
        <f t="shared" si="153"/>
        <v>0</v>
      </c>
      <c r="L335" s="297"/>
      <c r="M335" s="297">
        <f>6214-6214</f>
        <v>0</v>
      </c>
      <c r="N335" s="314">
        <f t="shared" si="155"/>
        <v>11648</v>
      </c>
      <c r="O335" s="310">
        <v>43</v>
      </c>
      <c r="P335" s="315">
        <v>960</v>
      </c>
      <c r="Q335" s="315">
        <v>672</v>
      </c>
      <c r="R335" s="315">
        <v>1000</v>
      </c>
      <c r="S335" s="315">
        <v>4033</v>
      </c>
      <c r="T335" s="55">
        <v>1000</v>
      </c>
      <c r="U335" s="55">
        <v>2940</v>
      </c>
      <c r="V335" s="55">
        <v>1000</v>
      </c>
      <c r="W335" s="55"/>
      <c r="X335" s="55"/>
      <c r="Y335" s="55"/>
      <c r="Z335" s="55"/>
      <c r="AA335" s="55"/>
      <c r="AB335" s="55"/>
      <c r="AC335" s="55"/>
      <c r="AD335" s="55"/>
      <c r="AE335" s="55"/>
      <c r="AF335" s="55"/>
      <c r="AG335" s="55"/>
      <c r="AH335" s="55"/>
      <c r="AI335" s="55"/>
      <c r="AJ335" s="55"/>
      <c r="AK335" s="55"/>
      <c r="AL335" s="55"/>
      <c r="AM335" s="55"/>
      <c r="AN335" s="55"/>
      <c r="AO335" s="55"/>
      <c r="AP335" s="55"/>
      <c r="AQ335" s="55"/>
      <c r="AR335" s="55"/>
      <c r="AS335" s="55"/>
      <c r="AT335" s="55"/>
      <c r="AU335" s="55"/>
      <c r="AV335" s="55"/>
      <c r="AW335" s="55"/>
      <c r="AX335" s="55"/>
      <c r="AY335" s="55"/>
      <c r="AZ335" s="55"/>
      <c r="BA335" s="55"/>
      <c r="BB335" s="55"/>
      <c r="BC335" s="55"/>
      <c r="BD335" s="55"/>
      <c r="BE335" s="55"/>
      <c r="BF335" s="55"/>
      <c r="BG335" s="55"/>
      <c r="BH335" s="55"/>
      <c r="BI335" s="55"/>
      <c r="BJ335" s="55"/>
      <c r="BK335" s="55"/>
      <c r="BL335" s="55"/>
      <c r="BM335" s="55"/>
      <c r="BN335" s="55"/>
      <c r="BO335" s="55"/>
      <c r="BP335" s="55"/>
      <c r="BQ335" s="55"/>
      <c r="BR335" s="55"/>
      <c r="BS335" s="55"/>
      <c r="BT335" s="55"/>
      <c r="BU335" s="55"/>
      <c r="BV335" s="55"/>
      <c r="BW335" s="55"/>
      <c r="BX335" s="55"/>
      <c r="BY335" s="55"/>
      <c r="BZ335" s="55"/>
      <c r="CA335" s="55"/>
      <c r="CB335" s="55"/>
      <c r="CC335" s="55"/>
      <c r="CD335" s="55"/>
      <c r="CE335" s="55"/>
      <c r="CF335" s="55"/>
      <c r="CG335" s="55"/>
      <c r="CH335" s="55"/>
      <c r="CI335" s="55"/>
      <c r="CJ335" s="55"/>
      <c r="CK335" s="55"/>
      <c r="CL335" s="55"/>
      <c r="CM335" s="55"/>
      <c r="CN335" s="55"/>
      <c r="CO335" s="55"/>
      <c r="CP335" s="55"/>
      <c r="CQ335" s="55"/>
      <c r="CR335" s="55"/>
      <c r="CS335" s="55"/>
      <c r="CT335" s="55"/>
      <c r="CU335" s="55"/>
      <c r="CV335" s="55"/>
      <c r="CW335" s="55"/>
      <c r="CX335" s="55"/>
      <c r="CY335" s="55"/>
      <c r="CZ335" s="55"/>
      <c r="DA335" s="55"/>
      <c r="DB335" s="55"/>
      <c r="DC335" s="55"/>
      <c r="DD335" s="55"/>
      <c r="DE335" s="55"/>
      <c r="DF335" s="55"/>
      <c r="DG335" s="55"/>
      <c r="DH335" s="55"/>
      <c r="DI335" s="55"/>
      <c r="DJ335" s="55"/>
    </row>
    <row r="336" spans="1:114" x14ac:dyDescent="0.25">
      <c r="A336" s="120"/>
      <c r="B336" s="79"/>
      <c r="C336" s="80"/>
      <c r="D336" s="81"/>
      <c r="E336" s="59"/>
      <c r="F336" s="60"/>
      <c r="G336" s="56"/>
      <c r="H336" s="55"/>
      <c r="I336" s="56"/>
      <c r="J336" s="56"/>
      <c r="K336" s="57"/>
      <c r="L336" s="297"/>
      <c r="M336" s="297"/>
      <c r="N336" s="314"/>
      <c r="O336" s="310" t="s">
        <v>944</v>
      </c>
      <c r="P336" s="315" t="s">
        <v>931</v>
      </c>
      <c r="Q336" s="315" t="s">
        <v>947</v>
      </c>
      <c r="R336" s="315" t="s">
        <v>930</v>
      </c>
      <c r="S336" s="315" t="s">
        <v>962</v>
      </c>
      <c r="T336" s="55" t="s">
        <v>953</v>
      </c>
      <c r="U336" s="55" t="s">
        <v>941</v>
      </c>
      <c r="V336" s="55" t="s">
        <v>928</v>
      </c>
      <c r="W336" s="55" t="s">
        <v>946</v>
      </c>
      <c r="X336" s="55" t="s">
        <v>951</v>
      </c>
      <c r="Y336" s="55" t="s">
        <v>940</v>
      </c>
      <c r="Z336" s="55" t="s">
        <v>963</v>
      </c>
      <c r="AA336" s="55" t="s">
        <v>943</v>
      </c>
      <c r="AB336" s="55"/>
      <c r="AC336" s="55"/>
      <c r="AD336" s="55"/>
      <c r="AE336" s="55"/>
      <c r="AF336" s="55"/>
      <c r="AG336" s="55"/>
      <c r="AH336" s="55"/>
      <c r="AI336" s="55"/>
      <c r="AJ336" s="55"/>
      <c r="AK336" s="55"/>
      <c r="AL336" s="55"/>
      <c r="AM336" s="55"/>
      <c r="AN336" s="55"/>
      <c r="AO336" s="55"/>
      <c r="AP336" s="55"/>
      <c r="AQ336" s="55"/>
      <c r="AR336" s="55"/>
      <c r="AS336" s="55"/>
      <c r="AT336" s="55"/>
      <c r="AU336" s="55"/>
      <c r="AV336" s="55"/>
      <c r="AW336" s="55"/>
      <c r="AX336" s="55"/>
      <c r="AY336" s="55"/>
      <c r="AZ336" s="55"/>
      <c r="BA336" s="55"/>
      <c r="BB336" s="55"/>
      <c r="BC336" s="55"/>
      <c r="BD336" s="55"/>
      <c r="BE336" s="55"/>
      <c r="BF336" s="55"/>
      <c r="BG336" s="55"/>
      <c r="BH336" s="55"/>
      <c r="BI336" s="55"/>
      <c r="BJ336" s="55"/>
      <c r="BK336" s="55"/>
      <c r="BL336" s="55"/>
      <c r="BM336" s="55"/>
      <c r="BN336" s="55"/>
      <c r="BO336" s="55"/>
      <c r="BP336" s="55"/>
      <c r="BQ336" s="55"/>
      <c r="BR336" s="55"/>
      <c r="BS336" s="55"/>
      <c r="BT336" s="55"/>
      <c r="BU336" s="55"/>
      <c r="BV336" s="55"/>
      <c r="BW336" s="55"/>
      <c r="BX336" s="55"/>
      <c r="BY336" s="55"/>
      <c r="BZ336" s="55"/>
      <c r="CA336" s="55"/>
      <c r="CB336" s="55"/>
      <c r="CC336" s="55"/>
      <c r="CD336" s="55"/>
      <c r="CE336" s="55"/>
      <c r="CF336" s="55"/>
      <c r="CG336" s="55"/>
      <c r="CH336" s="55"/>
      <c r="CI336" s="55"/>
      <c r="CJ336" s="55"/>
      <c r="CK336" s="55"/>
      <c r="CL336" s="55"/>
      <c r="CM336" s="55"/>
      <c r="CN336" s="55"/>
      <c r="CO336" s="55"/>
      <c r="CP336" s="55"/>
      <c r="CQ336" s="55"/>
      <c r="CR336" s="55"/>
      <c r="CS336" s="55"/>
      <c r="CT336" s="55"/>
      <c r="CU336" s="55"/>
      <c r="CV336" s="55"/>
      <c r="CW336" s="55"/>
      <c r="CX336" s="55"/>
      <c r="CY336" s="55"/>
      <c r="CZ336" s="55"/>
      <c r="DA336" s="55"/>
      <c r="DB336" s="55"/>
      <c r="DC336" s="55"/>
      <c r="DD336" s="55"/>
      <c r="DE336" s="55"/>
      <c r="DF336" s="55"/>
      <c r="DG336" s="55"/>
      <c r="DH336" s="55"/>
      <c r="DI336" s="55"/>
      <c r="DJ336" s="55"/>
    </row>
    <row r="337" spans="1:114" x14ac:dyDescent="0.25">
      <c r="A337" s="120">
        <v>15</v>
      </c>
      <c r="B337" s="79" t="s">
        <v>122</v>
      </c>
      <c r="C337" s="80">
        <v>2500</v>
      </c>
      <c r="D337" s="81">
        <v>111.05</v>
      </c>
      <c r="E337" s="59">
        <v>0</v>
      </c>
      <c r="F337" s="60"/>
      <c r="G337" s="56">
        <f t="shared" si="150"/>
        <v>0</v>
      </c>
      <c r="H337" s="55">
        <f>7665-7665</f>
        <v>0</v>
      </c>
      <c r="I337" s="56">
        <f t="shared" si="151"/>
        <v>0</v>
      </c>
      <c r="J337" s="56">
        <f t="shared" si="152"/>
        <v>0</v>
      </c>
      <c r="K337" s="57">
        <f t="shared" si="153"/>
        <v>0</v>
      </c>
      <c r="L337" s="297"/>
      <c r="M337" s="297">
        <v>50139</v>
      </c>
      <c r="N337" s="314">
        <f t="shared" si="155"/>
        <v>42341</v>
      </c>
      <c r="O337" s="310">
        <v>3150</v>
      </c>
      <c r="P337" s="315">
        <v>3150</v>
      </c>
      <c r="Q337" s="315">
        <v>7308</v>
      </c>
      <c r="R337" s="315">
        <v>3150</v>
      </c>
      <c r="S337" s="315">
        <v>2650</v>
      </c>
      <c r="T337" s="55">
        <v>1071</v>
      </c>
      <c r="U337" s="55">
        <v>3150</v>
      </c>
      <c r="V337" s="55">
        <v>3150</v>
      </c>
      <c r="W337" s="55">
        <v>3003</v>
      </c>
      <c r="X337" s="55">
        <v>6300</v>
      </c>
      <c r="Y337" s="55">
        <v>3102</v>
      </c>
      <c r="Z337" s="55">
        <v>49</v>
      </c>
      <c r="AA337" s="55">
        <v>3108</v>
      </c>
      <c r="AB337" s="55"/>
      <c r="AC337" s="55"/>
      <c r="AD337" s="55"/>
      <c r="AE337" s="55"/>
      <c r="AF337" s="55"/>
      <c r="AG337" s="55"/>
      <c r="AH337" s="55"/>
      <c r="AI337" s="55"/>
      <c r="AJ337" s="55"/>
      <c r="AK337" s="55"/>
      <c r="AL337" s="55"/>
      <c r="AM337" s="55"/>
      <c r="AN337" s="55"/>
      <c r="AO337" s="55"/>
      <c r="AP337" s="55"/>
      <c r="AQ337" s="55"/>
      <c r="AR337" s="55"/>
      <c r="AS337" s="55"/>
      <c r="AT337" s="55"/>
      <c r="AU337" s="55"/>
      <c r="AV337" s="55"/>
      <c r="AW337" s="55"/>
      <c r="AX337" s="55"/>
      <c r="AY337" s="55"/>
      <c r="AZ337" s="55"/>
      <c r="BA337" s="55"/>
      <c r="BB337" s="55"/>
      <c r="BC337" s="55"/>
      <c r="BD337" s="55"/>
      <c r="BE337" s="55"/>
      <c r="BF337" s="55"/>
      <c r="BG337" s="55"/>
      <c r="BH337" s="55"/>
      <c r="BI337" s="55"/>
      <c r="BJ337" s="55"/>
      <c r="BK337" s="55"/>
      <c r="BL337" s="55"/>
      <c r="BM337" s="55"/>
      <c r="BN337" s="55"/>
      <c r="BO337" s="55"/>
      <c r="BP337" s="55"/>
      <c r="BQ337" s="55"/>
      <c r="BR337" s="55"/>
      <c r="BS337" s="55"/>
      <c r="BT337" s="55"/>
      <c r="BU337" s="55"/>
      <c r="BV337" s="55"/>
      <c r="BW337" s="55"/>
      <c r="BX337" s="55"/>
      <c r="BY337" s="55"/>
      <c r="BZ337" s="55"/>
      <c r="CA337" s="55"/>
      <c r="CB337" s="55"/>
      <c r="CC337" s="55"/>
      <c r="CD337" s="55"/>
      <c r="CE337" s="55"/>
      <c r="CF337" s="55"/>
      <c r="CG337" s="55"/>
      <c r="CH337" s="55"/>
      <c r="CI337" s="55"/>
      <c r="CJ337" s="55"/>
      <c r="CK337" s="55"/>
      <c r="CL337" s="55"/>
      <c r="CM337" s="55"/>
      <c r="CN337" s="55"/>
      <c r="CO337" s="55"/>
      <c r="CP337" s="55"/>
      <c r="CQ337" s="55"/>
      <c r="CR337" s="55"/>
      <c r="CS337" s="55"/>
      <c r="CT337" s="55"/>
      <c r="CU337" s="55"/>
      <c r="CV337" s="55"/>
      <c r="CW337" s="55"/>
      <c r="CX337" s="55"/>
      <c r="CY337" s="55"/>
      <c r="CZ337" s="55"/>
      <c r="DA337" s="55"/>
      <c r="DB337" s="55"/>
      <c r="DC337" s="55"/>
      <c r="DD337" s="55"/>
      <c r="DE337" s="55"/>
      <c r="DF337" s="55"/>
      <c r="DG337" s="55"/>
      <c r="DH337" s="55"/>
      <c r="DI337" s="55"/>
      <c r="DJ337" s="55"/>
    </row>
    <row r="338" spans="1:114" x14ac:dyDescent="0.25">
      <c r="A338" s="120"/>
      <c r="B338" s="79"/>
      <c r="C338" s="80"/>
      <c r="D338" s="81"/>
      <c r="E338" s="59"/>
      <c r="F338" s="60"/>
      <c r="G338" s="56"/>
      <c r="H338" s="55"/>
      <c r="I338" s="56"/>
      <c r="J338" s="56"/>
      <c r="K338" s="57"/>
      <c r="L338" s="297"/>
      <c r="M338" s="297"/>
      <c r="N338" s="314"/>
      <c r="O338" s="310" t="s">
        <v>928</v>
      </c>
      <c r="P338" s="315" t="s">
        <v>941</v>
      </c>
      <c r="Q338" s="315" t="s">
        <v>931</v>
      </c>
      <c r="R338" s="315" t="s">
        <v>942</v>
      </c>
      <c r="S338" s="315" t="s">
        <v>935</v>
      </c>
      <c r="T338" s="55" t="s">
        <v>944</v>
      </c>
      <c r="U338" s="55" t="s">
        <v>930</v>
      </c>
      <c r="V338" s="55" t="s">
        <v>945</v>
      </c>
      <c r="W338" s="55" t="s">
        <v>929</v>
      </c>
      <c r="X338" s="55" t="s">
        <v>946</v>
      </c>
      <c r="Y338" s="55" t="s">
        <v>933</v>
      </c>
      <c r="Z338" s="55" t="s">
        <v>932</v>
      </c>
      <c r="AA338" s="55" t="s">
        <v>947</v>
      </c>
      <c r="AB338" s="55" t="s">
        <v>948</v>
      </c>
      <c r="AC338" s="55" t="s">
        <v>940</v>
      </c>
      <c r="AD338" s="55" t="s">
        <v>949</v>
      </c>
      <c r="AE338" s="55" t="s">
        <v>950</v>
      </c>
      <c r="AF338" s="55" t="s">
        <v>949</v>
      </c>
      <c r="AG338" s="55"/>
      <c r="AH338" s="55"/>
      <c r="AI338" s="55"/>
      <c r="AJ338" s="55"/>
      <c r="AK338" s="55"/>
      <c r="AL338" s="55"/>
      <c r="AM338" s="55"/>
      <c r="AN338" s="55"/>
      <c r="AO338" s="55"/>
      <c r="AP338" s="55"/>
      <c r="AQ338" s="55"/>
      <c r="AR338" s="55"/>
      <c r="AS338" s="55"/>
      <c r="AT338" s="55"/>
      <c r="AU338" s="55"/>
      <c r="AV338" s="55"/>
      <c r="AW338" s="55"/>
      <c r="AX338" s="55"/>
      <c r="AY338" s="55"/>
      <c r="AZ338" s="55"/>
      <c r="BA338" s="55"/>
      <c r="BB338" s="55"/>
      <c r="BC338" s="55"/>
      <c r="BD338" s="55"/>
      <c r="BE338" s="55"/>
      <c r="BF338" s="55"/>
      <c r="BG338" s="55"/>
      <c r="BH338" s="55"/>
      <c r="BI338" s="55"/>
      <c r="BJ338" s="55"/>
      <c r="BK338" s="55"/>
      <c r="BL338" s="55"/>
      <c r="BM338" s="55"/>
      <c r="BN338" s="55"/>
      <c r="BO338" s="55"/>
      <c r="BP338" s="55"/>
      <c r="BQ338" s="55"/>
      <c r="BR338" s="55"/>
      <c r="BS338" s="55"/>
      <c r="BT338" s="55"/>
      <c r="BU338" s="55"/>
      <c r="BV338" s="55"/>
      <c r="BW338" s="55"/>
      <c r="BX338" s="55"/>
      <c r="BY338" s="55"/>
      <c r="BZ338" s="55"/>
      <c r="CA338" s="55"/>
      <c r="CB338" s="55"/>
      <c r="CC338" s="55"/>
      <c r="CD338" s="55"/>
      <c r="CE338" s="55"/>
      <c r="CF338" s="55"/>
      <c r="CG338" s="55"/>
      <c r="CH338" s="55"/>
      <c r="CI338" s="55"/>
      <c r="CJ338" s="55"/>
      <c r="CK338" s="55"/>
      <c r="CL338" s="55"/>
      <c r="CM338" s="55"/>
      <c r="CN338" s="55"/>
      <c r="CO338" s="55"/>
      <c r="CP338" s="55"/>
      <c r="CQ338" s="55"/>
      <c r="CR338" s="55"/>
      <c r="CS338" s="55"/>
      <c r="CT338" s="55"/>
      <c r="CU338" s="55"/>
      <c r="CV338" s="55"/>
      <c r="CW338" s="55"/>
      <c r="CX338" s="55"/>
      <c r="CY338" s="55"/>
      <c r="CZ338" s="55"/>
      <c r="DA338" s="55"/>
      <c r="DB338" s="55"/>
      <c r="DC338" s="55"/>
      <c r="DD338" s="55"/>
      <c r="DE338" s="55"/>
      <c r="DF338" s="55"/>
      <c r="DG338" s="55"/>
      <c r="DH338" s="55"/>
      <c r="DI338" s="55"/>
      <c r="DJ338" s="55"/>
    </row>
    <row r="339" spans="1:114" x14ac:dyDescent="0.25">
      <c r="A339" s="120">
        <v>16</v>
      </c>
      <c r="B339" s="79" t="s">
        <v>123</v>
      </c>
      <c r="C339" s="80">
        <v>2500</v>
      </c>
      <c r="D339" s="81">
        <v>178.49</v>
      </c>
      <c r="E339" s="59">
        <v>0</v>
      </c>
      <c r="F339" s="60"/>
      <c r="G339" s="56">
        <f t="shared" si="150"/>
        <v>0</v>
      </c>
      <c r="H339" s="55">
        <f>18200-18200</f>
        <v>0</v>
      </c>
      <c r="I339" s="56">
        <f t="shared" si="151"/>
        <v>0</v>
      </c>
      <c r="J339" s="56">
        <f t="shared" si="152"/>
        <v>0</v>
      </c>
      <c r="K339" s="57">
        <f t="shared" si="153"/>
        <v>0</v>
      </c>
      <c r="L339" s="297"/>
      <c r="M339" s="297">
        <v>67365</v>
      </c>
      <c r="N339" s="314">
        <f t="shared" si="155"/>
        <v>89025</v>
      </c>
      <c r="O339" s="310">
        <v>5000</v>
      </c>
      <c r="P339" s="315">
        <v>5000</v>
      </c>
      <c r="Q339" s="315">
        <v>4900</v>
      </c>
      <c r="R339" s="315">
        <v>63</v>
      </c>
      <c r="S339" s="315">
        <v>4950</v>
      </c>
      <c r="T339" s="55">
        <v>5000</v>
      </c>
      <c r="U339" s="55">
        <v>4925</v>
      </c>
      <c r="V339" s="55">
        <v>750</v>
      </c>
      <c r="W339" s="55">
        <v>5000</v>
      </c>
      <c r="X339" s="55">
        <v>4500</v>
      </c>
      <c r="Y339" s="55">
        <v>4965</v>
      </c>
      <c r="Z339" s="55">
        <v>2500</v>
      </c>
      <c r="AA339" s="55">
        <v>19900</v>
      </c>
      <c r="AB339" s="55">
        <v>9975</v>
      </c>
      <c r="AC339" s="55">
        <v>4975</v>
      </c>
      <c r="AD339" s="55">
        <v>1355</v>
      </c>
      <c r="AE339" s="55">
        <v>5000</v>
      </c>
      <c r="AF339" s="55">
        <v>267</v>
      </c>
      <c r="AG339" s="55"/>
      <c r="AH339" s="55"/>
      <c r="AI339" s="55"/>
      <c r="AJ339" s="55"/>
      <c r="AK339" s="55"/>
      <c r="AL339" s="55"/>
      <c r="AM339" s="55"/>
      <c r="AN339" s="55"/>
      <c r="AO339" s="55"/>
      <c r="AP339" s="55"/>
      <c r="AQ339" s="55"/>
      <c r="AR339" s="55"/>
      <c r="AS339" s="55"/>
      <c r="AT339" s="55"/>
      <c r="AU339" s="55"/>
      <c r="AV339" s="55"/>
      <c r="AW339" s="55"/>
      <c r="AX339" s="55"/>
      <c r="AY339" s="55"/>
      <c r="AZ339" s="55"/>
      <c r="BA339" s="55"/>
      <c r="BB339" s="55"/>
      <c r="BC339" s="55"/>
      <c r="BD339" s="55"/>
      <c r="BE339" s="55"/>
      <c r="BF339" s="55"/>
      <c r="BG339" s="55"/>
      <c r="BH339" s="55"/>
      <c r="BI339" s="55"/>
      <c r="BJ339" s="55"/>
      <c r="BK339" s="55"/>
      <c r="BL339" s="55"/>
      <c r="BM339" s="55"/>
      <c r="BN339" s="55"/>
      <c r="BO339" s="55"/>
      <c r="BP339" s="55"/>
      <c r="BQ339" s="55"/>
      <c r="BR339" s="55"/>
      <c r="BS339" s="55"/>
      <c r="BT339" s="55"/>
      <c r="BU339" s="55"/>
      <c r="BV339" s="55"/>
      <c r="BW339" s="55"/>
      <c r="BX339" s="55"/>
      <c r="BY339" s="55"/>
      <c r="BZ339" s="55"/>
      <c r="CA339" s="55"/>
      <c r="CB339" s="55"/>
      <c r="CC339" s="55"/>
      <c r="CD339" s="55"/>
      <c r="CE339" s="55"/>
      <c r="CF339" s="55"/>
      <c r="CG339" s="55"/>
      <c r="CH339" s="55"/>
      <c r="CI339" s="55"/>
      <c r="CJ339" s="55"/>
      <c r="CK339" s="55"/>
      <c r="CL339" s="55"/>
      <c r="CM339" s="55"/>
      <c r="CN339" s="55"/>
      <c r="CO339" s="55"/>
      <c r="CP339" s="55"/>
      <c r="CQ339" s="55"/>
      <c r="CR339" s="55"/>
      <c r="CS339" s="55"/>
      <c r="CT339" s="55"/>
      <c r="CU339" s="55"/>
      <c r="CV339" s="55"/>
      <c r="CW339" s="55"/>
      <c r="CX339" s="55"/>
      <c r="CY339" s="55"/>
      <c r="CZ339" s="55"/>
      <c r="DA339" s="55"/>
      <c r="DB339" s="55"/>
      <c r="DC339" s="55"/>
      <c r="DD339" s="55"/>
      <c r="DE339" s="55"/>
      <c r="DF339" s="55"/>
      <c r="DG339" s="55"/>
      <c r="DH339" s="55"/>
      <c r="DI339" s="55"/>
      <c r="DJ339" s="55"/>
    </row>
    <row r="340" spans="1:114" x14ac:dyDescent="0.25">
      <c r="A340" s="120"/>
      <c r="B340" s="79"/>
      <c r="C340" s="80"/>
      <c r="D340" s="81"/>
      <c r="E340" s="59"/>
      <c r="F340" s="60"/>
      <c r="G340" s="56"/>
      <c r="H340" s="55"/>
      <c r="I340" s="56"/>
      <c r="J340" s="56"/>
      <c r="K340" s="57"/>
      <c r="L340" s="297"/>
      <c r="M340" s="297"/>
      <c r="N340" s="314"/>
      <c r="O340" s="310" t="s">
        <v>951</v>
      </c>
      <c r="P340" s="315" t="s">
        <v>933</v>
      </c>
      <c r="Q340" s="315" t="s">
        <v>953</v>
      </c>
      <c r="R340" s="315" t="s">
        <v>932</v>
      </c>
      <c r="S340" s="315" t="s">
        <v>954</v>
      </c>
      <c r="T340" s="55" t="s">
        <v>948</v>
      </c>
      <c r="U340" s="55" t="s">
        <v>945</v>
      </c>
      <c r="V340" s="55" t="s">
        <v>942</v>
      </c>
      <c r="W340" s="55" t="s">
        <v>955</v>
      </c>
      <c r="X340" s="55" t="s">
        <v>931</v>
      </c>
      <c r="Y340" s="55" t="s">
        <v>930</v>
      </c>
      <c r="Z340" s="55" t="s">
        <v>944</v>
      </c>
      <c r="AA340" s="55" t="s">
        <v>935</v>
      </c>
      <c r="AB340" s="55" t="s">
        <v>947</v>
      </c>
      <c r="AC340" s="55" t="s">
        <v>946</v>
      </c>
      <c r="AD340" s="55" t="s">
        <v>928</v>
      </c>
      <c r="AE340" s="55" t="s">
        <v>941</v>
      </c>
      <c r="AF340" s="55" t="s">
        <v>952</v>
      </c>
      <c r="AG340" s="55" t="s">
        <v>956</v>
      </c>
      <c r="AH340" s="55" t="s">
        <v>949</v>
      </c>
      <c r="AI340" s="55" t="s">
        <v>940</v>
      </c>
      <c r="AJ340" s="55"/>
      <c r="AK340" s="55"/>
      <c r="AL340" s="55"/>
      <c r="AM340" s="55"/>
      <c r="AN340" s="55"/>
      <c r="AO340" s="55"/>
      <c r="AP340" s="55"/>
      <c r="AQ340" s="55"/>
      <c r="AR340" s="55"/>
      <c r="AS340" s="55"/>
      <c r="AT340" s="55"/>
      <c r="AU340" s="55"/>
      <c r="AV340" s="55"/>
      <c r="AW340" s="55"/>
      <c r="AX340" s="55"/>
      <c r="AY340" s="55"/>
      <c r="AZ340" s="55"/>
      <c r="BA340" s="55"/>
      <c r="BB340" s="55"/>
      <c r="BC340" s="55"/>
      <c r="BD340" s="55"/>
      <c r="BE340" s="55"/>
      <c r="BF340" s="55"/>
      <c r="BG340" s="55"/>
      <c r="BH340" s="55"/>
      <c r="BI340" s="55"/>
      <c r="BJ340" s="55"/>
      <c r="BK340" s="55"/>
      <c r="BL340" s="55"/>
      <c r="BM340" s="55"/>
      <c r="BN340" s="55"/>
      <c r="BO340" s="55"/>
      <c r="BP340" s="55"/>
      <c r="BQ340" s="55"/>
      <c r="BR340" s="55"/>
      <c r="BS340" s="55"/>
      <c r="BT340" s="55"/>
      <c r="BU340" s="55"/>
      <c r="BV340" s="55"/>
      <c r="BW340" s="55"/>
      <c r="BX340" s="55"/>
      <c r="BY340" s="55"/>
      <c r="BZ340" s="55"/>
      <c r="CA340" s="55"/>
      <c r="CB340" s="55"/>
      <c r="CC340" s="55"/>
      <c r="CD340" s="55"/>
      <c r="CE340" s="55"/>
      <c r="CF340" s="55"/>
      <c r="CG340" s="55"/>
      <c r="CH340" s="55"/>
      <c r="CI340" s="55"/>
      <c r="CJ340" s="55"/>
      <c r="CK340" s="55"/>
      <c r="CL340" s="55"/>
      <c r="CM340" s="55"/>
      <c r="CN340" s="55"/>
      <c r="CO340" s="55"/>
      <c r="CP340" s="55"/>
      <c r="CQ340" s="55"/>
      <c r="CR340" s="55"/>
      <c r="CS340" s="55"/>
      <c r="CT340" s="55"/>
      <c r="CU340" s="55"/>
      <c r="CV340" s="55"/>
      <c r="CW340" s="55"/>
      <c r="CX340" s="55"/>
      <c r="CY340" s="55"/>
      <c r="CZ340" s="55"/>
      <c r="DA340" s="55"/>
      <c r="DB340" s="55"/>
      <c r="DC340" s="55"/>
      <c r="DD340" s="55"/>
      <c r="DE340" s="55"/>
      <c r="DF340" s="55"/>
      <c r="DG340" s="55"/>
      <c r="DH340" s="55"/>
      <c r="DI340" s="55"/>
      <c r="DJ340" s="55"/>
    </row>
    <row r="341" spans="1:114" x14ac:dyDescent="0.25">
      <c r="A341" s="120">
        <v>17</v>
      </c>
      <c r="B341" s="79" t="s">
        <v>124</v>
      </c>
      <c r="C341" s="80">
        <v>2500</v>
      </c>
      <c r="D341" s="81">
        <v>98.95</v>
      </c>
      <c r="E341" s="59">
        <v>0</v>
      </c>
      <c r="F341" s="60">
        <f>5280-5280</f>
        <v>0</v>
      </c>
      <c r="G341" s="56">
        <f t="shared" si="150"/>
        <v>0</v>
      </c>
      <c r="H341" s="60">
        <f>5280-5280</f>
        <v>0</v>
      </c>
      <c r="I341" s="56">
        <f t="shared" si="151"/>
        <v>0</v>
      </c>
      <c r="J341" s="56">
        <f t="shared" si="152"/>
        <v>0</v>
      </c>
      <c r="K341" s="57">
        <f t="shared" si="153"/>
        <v>0</v>
      </c>
      <c r="L341" s="297"/>
      <c r="M341" s="297">
        <f>42000-42000</f>
        <v>0</v>
      </c>
      <c r="N341" s="314">
        <f t="shared" si="155"/>
        <v>131188</v>
      </c>
      <c r="O341" s="310">
        <v>1200</v>
      </c>
      <c r="P341" s="315">
        <v>5963</v>
      </c>
      <c r="Q341" s="315">
        <v>4590</v>
      </c>
      <c r="R341" s="315">
        <v>6000</v>
      </c>
      <c r="S341" s="315">
        <v>3120</v>
      </c>
      <c r="T341" s="55">
        <v>12000</v>
      </c>
      <c r="U341" s="55">
        <v>5856</v>
      </c>
      <c r="V341" s="55">
        <v>777</v>
      </c>
      <c r="W341" s="55">
        <v>11982</v>
      </c>
      <c r="X341" s="55">
        <v>6000</v>
      </c>
      <c r="Y341" s="55">
        <v>5928</v>
      </c>
      <c r="Z341" s="55">
        <v>6000</v>
      </c>
      <c r="AA341" s="55">
        <v>6000</v>
      </c>
      <c r="AB341" s="55">
        <v>17880</v>
      </c>
      <c r="AC341" s="55">
        <v>5736</v>
      </c>
      <c r="AD341" s="55">
        <v>2130</v>
      </c>
      <c r="AE341" s="55">
        <v>5976</v>
      </c>
      <c r="AF341" s="55">
        <v>12000</v>
      </c>
      <c r="AG341" s="55">
        <v>60</v>
      </c>
      <c r="AH341" s="55">
        <v>5998</v>
      </c>
      <c r="AI341" s="55">
        <v>5992</v>
      </c>
      <c r="AJ341" s="55"/>
      <c r="AK341" s="55"/>
      <c r="AL341" s="55"/>
      <c r="AM341" s="55"/>
      <c r="AN341" s="55"/>
      <c r="AO341" s="55"/>
      <c r="AP341" s="55"/>
      <c r="AQ341" s="55"/>
      <c r="AR341" s="55"/>
      <c r="AS341" s="55"/>
      <c r="AT341" s="55"/>
      <c r="AU341" s="55"/>
      <c r="AV341" s="55"/>
      <c r="AW341" s="55"/>
      <c r="AX341" s="55"/>
      <c r="AY341" s="55"/>
      <c r="AZ341" s="55"/>
      <c r="BA341" s="55"/>
      <c r="BB341" s="55"/>
      <c r="BC341" s="55"/>
      <c r="BD341" s="55"/>
      <c r="BE341" s="55"/>
      <c r="BF341" s="55"/>
      <c r="BG341" s="55"/>
      <c r="BH341" s="55"/>
      <c r="BI341" s="55"/>
      <c r="BJ341" s="55"/>
      <c r="BK341" s="55"/>
      <c r="BL341" s="55"/>
      <c r="BM341" s="55"/>
      <c r="BN341" s="55"/>
      <c r="BO341" s="55"/>
      <c r="BP341" s="55"/>
      <c r="BQ341" s="55"/>
      <c r="BR341" s="55"/>
      <c r="BS341" s="55"/>
      <c r="BT341" s="55"/>
      <c r="BU341" s="55"/>
      <c r="BV341" s="55"/>
      <c r="BW341" s="55"/>
      <c r="BX341" s="55"/>
      <c r="BY341" s="55"/>
      <c r="BZ341" s="55"/>
      <c r="CA341" s="55"/>
      <c r="CB341" s="55"/>
      <c r="CC341" s="55"/>
      <c r="CD341" s="55"/>
      <c r="CE341" s="55"/>
      <c r="CF341" s="55"/>
      <c r="CG341" s="55"/>
      <c r="CH341" s="55"/>
      <c r="CI341" s="55"/>
      <c r="CJ341" s="55"/>
      <c r="CK341" s="55"/>
      <c r="CL341" s="55"/>
      <c r="CM341" s="55"/>
      <c r="CN341" s="55"/>
      <c r="CO341" s="55"/>
      <c r="CP341" s="55"/>
      <c r="CQ341" s="55"/>
      <c r="CR341" s="55"/>
      <c r="CS341" s="55"/>
      <c r="CT341" s="55"/>
      <c r="CU341" s="55"/>
      <c r="CV341" s="55"/>
      <c r="CW341" s="55"/>
      <c r="CX341" s="55"/>
      <c r="CY341" s="55"/>
      <c r="CZ341" s="55"/>
      <c r="DA341" s="55"/>
      <c r="DB341" s="55"/>
      <c r="DC341" s="55"/>
      <c r="DD341" s="55"/>
      <c r="DE341" s="55"/>
      <c r="DF341" s="55"/>
      <c r="DG341" s="55"/>
      <c r="DH341" s="55"/>
      <c r="DI341" s="55"/>
      <c r="DJ341" s="55"/>
    </row>
    <row r="342" spans="1:114" x14ac:dyDescent="0.25">
      <c r="A342" s="123"/>
      <c r="B342" s="115"/>
      <c r="C342" s="116"/>
      <c r="D342" s="117"/>
      <c r="E342" s="118"/>
      <c r="F342" s="121"/>
      <c r="G342" s="109"/>
      <c r="H342" s="121"/>
      <c r="I342" s="109"/>
      <c r="J342" s="109"/>
      <c r="K342" s="110"/>
      <c r="L342" s="297"/>
      <c r="M342" s="297"/>
      <c r="N342" s="321"/>
      <c r="O342" s="354" t="s">
        <v>952</v>
      </c>
      <c r="P342" s="318" t="s">
        <v>941</v>
      </c>
      <c r="Q342" s="318" t="s">
        <v>933</v>
      </c>
      <c r="R342" s="318" t="s">
        <v>951</v>
      </c>
      <c r="S342" s="318" t="s">
        <v>930</v>
      </c>
      <c r="T342" s="108" t="s">
        <v>947</v>
      </c>
      <c r="U342" s="108" t="s">
        <v>943</v>
      </c>
      <c r="V342" s="108" t="s">
        <v>949</v>
      </c>
      <c r="W342" s="108" t="s">
        <v>940</v>
      </c>
      <c r="X342" s="108"/>
      <c r="Y342" s="108"/>
      <c r="Z342" s="108"/>
      <c r="AA342" s="108"/>
      <c r="AB342" s="108"/>
      <c r="AC342" s="108"/>
      <c r="AD342" s="108"/>
      <c r="AE342" s="108"/>
      <c r="AF342" s="108"/>
      <c r="AG342" s="108"/>
      <c r="AH342" s="108"/>
      <c r="AI342" s="108"/>
      <c r="AJ342" s="108"/>
      <c r="AK342" s="108"/>
      <c r="AL342" s="108"/>
      <c r="AM342" s="108"/>
      <c r="AN342" s="108"/>
      <c r="AO342" s="108"/>
      <c r="AP342" s="108"/>
      <c r="AQ342" s="108"/>
      <c r="AR342" s="108"/>
      <c r="AS342" s="108"/>
      <c r="AT342" s="108"/>
      <c r="AU342" s="108"/>
      <c r="AV342" s="108"/>
      <c r="AW342" s="108"/>
      <c r="AX342" s="108"/>
      <c r="AY342" s="108"/>
      <c r="AZ342" s="108"/>
      <c r="BA342" s="108"/>
      <c r="BB342" s="108"/>
      <c r="BC342" s="108"/>
      <c r="BD342" s="108"/>
      <c r="BE342" s="108"/>
      <c r="BF342" s="108"/>
      <c r="BG342" s="108"/>
      <c r="BH342" s="108"/>
      <c r="BI342" s="108"/>
      <c r="BJ342" s="108"/>
      <c r="BK342" s="108"/>
      <c r="BL342" s="108"/>
      <c r="BM342" s="108"/>
      <c r="BN342" s="108"/>
      <c r="BO342" s="108"/>
      <c r="BP342" s="108"/>
      <c r="BQ342" s="108"/>
      <c r="BR342" s="108"/>
      <c r="BS342" s="108"/>
      <c r="BT342" s="108"/>
      <c r="BU342" s="108"/>
      <c r="BV342" s="108"/>
      <c r="BW342" s="108"/>
      <c r="BX342" s="108"/>
      <c r="BY342" s="108"/>
      <c r="BZ342" s="108"/>
      <c r="CA342" s="108"/>
      <c r="CB342" s="108"/>
      <c r="CC342" s="108"/>
      <c r="CD342" s="108"/>
      <c r="CE342" s="108"/>
      <c r="CF342" s="108"/>
      <c r="CG342" s="108"/>
      <c r="CH342" s="108"/>
      <c r="CI342" s="108"/>
      <c r="CJ342" s="108"/>
      <c r="CK342" s="108"/>
      <c r="CL342" s="108"/>
      <c r="CM342" s="108"/>
      <c r="CN342" s="108"/>
      <c r="CO342" s="108"/>
      <c r="CP342" s="108"/>
      <c r="CQ342" s="108"/>
      <c r="CR342" s="108"/>
      <c r="CS342" s="108"/>
      <c r="CT342" s="108"/>
      <c r="CU342" s="108"/>
      <c r="CV342" s="108"/>
      <c r="CW342" s="108"/>
      <c r="CX342" s="108"/>
      <c r="CY342" s="108"/>
      <c r="CZ342" s="108"/>
      <c r="DA342" s="108"/>
      <c r="DB342" s="108"/>
      <c r="DC342" s="108"/>
      <c r="DD342" s="108"/>
      <c r="DE342" s="108"/>
      <c r="DF342" s="108"/>
      <c r="DG342" s="108"/>
      <c r="DH342" s="108"/>
      <c r="DI342" s="108"/>
      <c r="DJ342" s="108"/>
    </row>
    <row r="343" spans="1:114" x14ac:dyDescent="0.25">
      <c r="A343" s="123">
        <v>18</v>
      </c>
      <c r="B343" s="115" t="s">
        <v>125</v>
      </c>
      <c r="C343" s="116">
        <v>2500</v>
      </c>
      <c r="D343" s="117">
        <v>97.69</v>
      </c>
      <c r="E343" s="118">
        <v>0</v>
      </c>
      <c r="F343" s="121"/>
      <c r="G343" s="109">
        <f t="shared" si="150"/>
        <v>0</v>
      </c>
      <c r="H343" s="108">
        <f>2400-2400+9984-9984</f>
        <v>0</v>
      </c>
      <c r="I343" s="109">
        <f t="shared" si="151"/>
        <v>0</v>
      </c>
      <c r="J343" s="109">
        <f t="shared" si="152"/>
        <v>0</v>
      </c>
      <c r="K343" s="110">
        <f t="shared" si="153"/>
        <v>0</v>
      </c>
      <c r="L343" s="297"/>
      <c r="M343" s="297">
        <v>21202</v>
      </c>
      <c r="N343" s="321">
        <f t="shared" si="155"/>
        <v>22300</v>
      </c>
      <c r="O343" s="312">
        <v>4800</v>
      </c>
      <c r="P343" s="318">
        <v>1200</v>
      </c>
      <c r="Q343" s="318">
        <v>1128</v>
      </c>
      <c r="R343" s="318">
        <v>4800</v>
      </c>
      <c r="S343" s="318">
        <v>1080</v>
      </c>
      <c r="T343" s="108">
        <v>6912</v>
      </c>
      <c r="U343" s="108">
        <v>1200</v>
      </c>
      <c r="V343" s="108">
        <v>898</v>
      </c>
      <c r="W343" s="108">
        <v>282</v>
      </c>
      <c r="X343" s="108"/>
      <c r="Y343" s="108"/>
      <c r="Z343" s="108"/>
      <c r="AA343" s="108"/>
      <c r="AB343" s="108"/>
      <c r="AC343" s="108"/>
      <c r="AD343" s="108"/>
      <c r="AE343" s="108"/>
      <c r="AF343" s="108"/>
      <c r="AG343" s="108"/>
      <c r="AH343" s="108"/>
      <c r="AI343" s="108"/>
      <c r="AJ343" s="108"/>
      <c r="AK343" s="108"/>
      <c r="AL343" s="108"/>
      <c r="AM343" s="108"/>
      <c r="AN343" s="108"/>
      <c r="AO343" s="108"/>
      <c r="AP343" s="108"/>
      <c r="AQ343" s="108"/>
      <c r="AR343" s="108"/>
      <c r="AS343" s="108"/>
      <c r="AT343" s="108"/>
      <c r="AU343" s="108"/>
      <c r="AV343" s="108"/>
      <c r="AW343" s="108"/>
      <c r="AX343" s="108"/>
      <c r="AY343" s="108"/>
      <c r="AZ343" s="108"/>
      <c r="BA343" s="108"/>
      <c r="BB343" s="108"/>
      <c r="BC343" s="108"/>
      <c r="BD343" s="108"/>
      <c r="BE343" s="108"/>
      <c r="BF343" s="108"/>
      <c r="BG343" s="108"/>
      <c r="BH343" s="108"/>
      <c r="BI343" s="108"/>
      <c r="BJ343" s="108"/>
      <c r="BK343" s="108"/>
      <c r="BL343" s="108"/>
      <c r="BM343" s="108"/>
      <c r="BN343" s="108"/>
      <c r="BO343" s="108"/>
      <c r="BP343" s="108"/>
      <c r="BQ343" s="108"/>
      <c r="BR343" s="108"/>
      <c r="BS343" s="108"/>
      <c r="BT343" s="108"/>
      <c r="BU343" s="108"/>
      <c r="BV343" s="108"/>
      <c r="BW343" s="108"/>
      <c r="BX343" s="108"/>
      <c r="BY343" s="108"/>
      <c r="BZ343" s="108"/>
      <c r="CA343" s="108"/>
      <c r="CB343" s="108"/>
      <c r="CC343" s="108"/>
      <c r="CD343" s="108"/>
      <c r="CE343" s="108"/>
      <c r="CF343" s="108"/>
      <c r="CG343" s="108"/>
      <c r="CH343" s="108"/>
      <c r="CI343" s="108"/>
      <c r="CJ343" s="108"/>
      <c r="CK343" s="108"/>
      <c r="CL343" s="108"/>
      <c r="CM343" s="108"/>
      <c r="CN343" s="108"/>
      <c r="CO343" s="108"/>
      <c r="CP343" s="108"/>
      <c r="CQ343" s="108"/>
      <c r="CR343" s="108"/>
      <c r="CS343" s="108"/>
      <c r="CT343" s="108"/>
      <c r="CU343" s="108"/>
      <c r="CV343" s="108"/>
      <c r="CW343" s="108"/>
      <c r="CX343" s="108"/>
      <c r="CY343" s="108"/>
      <c r="CZ343" s="108"/>
      <c r="DA343" s="108"/>
      <c r="DB343" s="108"/>
      <c r="DC343" s="108"/>
      <c r="DD343" s="108"/>
      <c r="DE343" s="108"/>
      <c r="DF343" s="108"/>
      <c r="DG343" s="108"/>
      <c r="DH343" s="108"/>
      <c r="DI343" s="108"/>
      <c r="DJ343" s="108"/>
    </row>
    <row r="344" spans="1:114" x14ac:dyDescent="0.25">
      <c r="A344" s="337"/>
      <c r="B344" s="338"/>
      <c r="C344" s="336"/>
      <c r="D344" s="331"/>
      <c r="E344" s="332"/>
      <c r="F344" s="333"/>
      <c r="G344" s="334"/>
      <c r="H344" s="316"/>
      <c r="I344" s="334"/>
      <c r="J344" s="334"/>
      <c r="K344" s="335"/>
      <c r="L344" s="297"/>
      <c r="M344" s="297"/>
      <c r="N344" s="321"/>
      <c r="O344" s="312" t="s">
        <v>958</v>
      </c>
      <c r="P344" s="312" t="s">
        <v>958</v>
      </c>
      <c r="Q344" s="312" t="s">
        <v>958</v>
      </c>
      <c r="R344" s="312" t="s">
        <v>958</v>
      </c>
      <c r="S344" s="312" t="s">
        <v>958</v>
      </c>
      <c r="T344" s="312" t="s">
        <v>958</v>
      </c>
      <c r="U344" s="312" t="s">
        <v>958</v>
      </c>
      <c r="V344" s="108" t="s">
        <v>959</v>
      </c>
      <c r="W344" s="108" t="s">
        <v>959</v>
      </c>
      <c r="X344" s="108" t="s">
        <v>959</v>
      </c>
      <c r="Y344" s="108" t="s">
        <v>959</v>
      </c>
      <c r="Z344" s="108" t="s">
        <v>959</v>
      </c>
      <c r="AA344" s="108" t="s">
        <v>959</v>
      </c>
      <c r="AB344" s="108" t="s">
        <v>959</v>
      </c>
      <c r="AC344" s="108" t="s">
        <v>959</v>
      </c>
      <c r="AD344" s="108" t="s">
        <v>959</v>
      </c>
      <c r="AE344" s="108" t="s">
        <v>959</v>
      </c>
      <c r="AF344" s="108" t="s">
        <v>960</v>
      </c>
      <c r="AG344" s="108" t="s">
        <v>961</v>
      </c>
      <c r="AH344" s="108" t="s">
        <v>961</v>
      </c>
      <c r="AI344" s="108" t="s">
        <v>961</v>
      </c>
      <c r="AJ344" s="108" t="s">
        <v>961</v>
      </c>
      <c r="AK344" s="108" t="s">
        <v>951</v>
      </c>
      <c r="AL344" s="108"/>
      <c r="AM344" s="108"/>
      <c r="AN344" s="108"/>
      <c r="AO344" s="108"/>
      <c r="AP344" s="108"/>
      <c r="AQ344" s="108"/>
      <c r="AR344" s="108"/>
      <c r="AS344" s="108"/>
      <c r="AT344" s="108"/>
      <c r="AU344" s="108"/>
      <c r="AV344" s="108"/>
      <c r="AW344" s="108"/>
      <c r="AX344" s="108"/>
      <c r="AY344" s="108"/>
      <c r="AZ344" s="108"/>
      <c r="BA344" s="108"/>
      <c r="BB344" s="108"/>
      <c r="BC344" s="108"/>
      <c r="BD344" s="108"/>
      <c r="BE344" s="108"/>
      <c r="BF344" s="108"/>
      <c r="BG344" s="108"/>
      <c r="BH344" s="108"/>
      <c r="BI344" s="108"/>
      <c r="BJ344" s="108"/>
      <c r="BK344" s="108"/>
      <c r="BL344" s="108"/>
      <c r="BM344" s="108"/>
      <c r="BN344" s="108"/>
      <c r="BO344" s="108"/>
      <c r="BP344" s="108"/>
      <c r="BQ344" s="108"/>
      <c r="BR344" s="108"/>
      <c r="BS344" s="108"/>
      <c r="BT344" s="108"/>
      <c r="BU344" s="108"/>
      <c r="BV344" s="108"/>
      <c r="BW344" s="108"/>
      <c r="BX344" s="108"/>
      <c r="BY344" s="108"/>
      <c r="BZ344" s="108"/>
      <c r="CA344" s="108"/>
      <c r="CB344" s="108"/>
      <c r="CC344" s="108"/>
      <c r="CD344" s="108"/>
      <c r="CE344" s="108"/>
      <c r="CF344" s="108"/>
      <c r="CG344" s="108"/>
      <c r="CH344" s="108"/>
      <c r="CI344" s="108"/>
      <c r="CJ344" s="108"/>
      <c r="CK344" s="108"/>
      <c r="CL344" s="108"/>
      <c r="CM344" s="108"/>
      <c r="CN344" s="108"/>
      <c r="CO344" s="108"/>
      <c r="CP344" s="108"/>
      <c r="CQ344" s="108"/>
      <c r="CR344" s="108"/>
      <c r="CS344" s="108"/>
      <c r="CT344" s="108"/>
      <c r="CU344" s="108"/>
      <c r="CV344" s="108"/>
      <c r="CW344" s="108"/>
      <c r="CX344" s="108"/>
      <c r="CY344" s="108"/>
      <c r="CZ344" s="108"/>
      <c r="DA344" s="108"/>
      <c r="DB344" s="108"/>
      <c r="DC344" s="108"/>
      <c r="DD344" s="108"/>
      <c r="DE344" s="108"/>
      <c r="DF344" s="108"/>
      <c r="DG344" s="108"/>
      <c r="DH344" s="108"/>
      <c r="DI344" s="108"/>
      <c r="DJ344" s="108"/>
    </row>
    <row r="345" spans="1:114" ht="15.75" thickBot="1" x14ac:dyDescent="0.3">
      <c r="A345" s="328">
        <v>19</v>
      </c>
      <c r="B345" s="329" t="s">
        <v>957</v>
      </c>
      <c r="C345" s="330"/>
      <c r="D345" s="331"/>
      <c r="E345" s="332"/>
      <c r="F345" s="333"/>
      <c r="G345" s="334"/>
      <c r="H345" s="316"/>
      <c r="I345" s="334"/>
      <c r="J345" s="334"/>
      <c r="K345" s="335"/>
      <c r="L345" s="297"/>
      <c r="M345" s="297">
        <v>19</v>
      </c>
      <c r="N345" s="321">
        <f t="shared" ref="N345" si="156">SUM(O345:DK345)</f>
        <v>310896</v>
      </c>
      <c r="O345" s="312">
        <v>12000</v>
      </c>
      <c r="P345" s="312">
        <v>12000</v>
      </c>
      <c r="Q345" s="312">
        <v>12000</v>
      </c>
      <c r="R345" s="312">
        <v>12000</v>
      </c>
      <c r="S345" s="312">
        <v>12000</v>
      </c>
      <c r="T345" s="312">
        <v>12000</v>
      </c>
      <c r="U345" s="312">
        <v>12000</v>
      </c>
      <c r="V345" s="108">
        <v>12000</v>
      </c>
      <c r="W345" s="108">
        <v>12000</v>
      </c>
      <c r="X345" s="108">
        <v>12000</v>
      </c>
      <c r="Y345" s="108">
        <v>12000</v>
      </c>
      <c r="Z345" s="108">
        <v>12000</v>
      </c>
      <c r="AA345" s="108">
        <v>12000</v>
      </c>
      <c r="AB345" s="108">
        <v>12000</v>
      </c>
      <c r="AC345" s="108">
        <v>12000</v>
      </c>
      <c r="AD345" s="108">
        <v>12000</v>
      </c>
      <c r="AE345" s="108">
        <v>12000</v>
      </c>
      <c r="AF345" s="108">
        <v>47856</v>
      </c>
      <c r="AG345" s="108">
        <v>12000</v>
      </c>
      <c r="AH345" s="108">
        <v>12000</v>
      </c>
      <c r="AI345" s="108">
        <v>12000</v>
      </c>
      <c r="AJ345" s="108">
        <v>1440</v>
      </c>
      <c r="AK345" s="108">
        <v>21600</v>
      </c>
      <c r="AL345" s="108"/>
      <c r="AM345" s="108"/>
      <c r="AN345" s="108"/>
      <c r="AO345" s="108"/>
      <c r="AP345" s="108"/>
      <c r="AQ345" s="108"/>
      <c r="AR345" s="108"/>
      <c r="AS345" s="108"/>
      <c r="AT345" s="108"/>
      <c r="AU345" s="108"/>
      <c r="AV345" s="108"/>
      <c r="AW345" s="108"/>
      <c r="AX345" s="108"/>
      <c r="AY345" s="108"/>
      <c r="AZ345" s="108"/>
      <c r="BA345" s="108"/>
      <c r="BB345" s="108"/>
      <c r="BC345" s="108"/>
      <c r="BD345" s="108"/>
      <c r="BE345" s="108"/>
      <c r="BF345" s="108"/>
      <c r="BG345" s="108"/>
      <c r="BH345" s="108"/>
      <c r="BI345" s="108"/>
      <c r="BJ345" s="108"/>
      <c r="BK345" s="108"/>
      <c r="BL345" s="108"/>
      <c r="BM345" s="108"/>
      <c r="BN345" s="108"/>
      <c r="BO345" s="108"/>
      <c r="BP345" s="108"/>
      <c r="BQ345" s="108"/>
      <c r="BR345" s="108"/>
      <c r="BS345" s="108"/>
      <c r="BT345" s="108"/>
      <c r="BU345" s="108"/>
      <c r="BV345" s="108"/>
      <c r="BW345" s="108"/>
      <c r="BX345" s="108"/>
      <c r="BY345" s="108"/>
      <c r="BZ345" s="108"/>
      <c r="CA345" s="108"/>
      <c r="CB345" s="108"/>
      <c r="CC345" s="108"/>
      <c r="CD345" s="108"/>
      <c r="CE345" s="108"/>
      <c r="CF345" s="108"/>
      <c r="CG345" s="108"/>
      <c r="CH345" s="108"/>
      <c r="CI345" s="108"/>
      <c r="CJ345" s="108"/>
      <c r="CK345" s="108"/>
      <c r="CL345" s="108"/>
      <c r="CM345" s="108"/>
      <c r="CN345" s="108"/>
      <c r="CO345" s="108"/>
      <c r="CP345" s="108"/>
      <c r="CQ345" s="108"/>
      <c r="CR345" s="108"/>
      <c r="CS345" s="108"/>
      <c r="CT345" s="108"/>
      <c r="CU345" s="108"/>
      <c r="CV345" s="108"/>
      <c r="CW345" s="108"/>
      <c r="CX345" s="108"/>
      <c r="CY345" s="108"/>
      <c r="CZ345" s="108"/>
      <c r="DA345" s="108"/>
      <c r="DB345" s="108"/>
      <c r="DC345" s="108"/>
      <c r="DD345" s="108"/>
      <c r="DE345" s="108"/>
      <c r="DF345" s="108"/>
      <c r="DG345" s="108"/>
      <c r="DH345" s="108"/>
      <c r="DI345" s="108"/>
      <c r="DJ345" s="108"/>
    </row>
    <row r="346" spans="1:114" ht="15.75" thickBot="1" x14ac:dyDescent="0.3">
      <c r="A346" s="83"/>
      <c r="B346" s="119" t="s">
        <v>674</v>
      </c>
      <c r="C346" s="36"/>
      <c r="D346" s="29"/>
      <c r="E346" s="29">
        <f>SUM(E310:E343)</f>
        <v>0</v>
      </c>
      <c r="F346" s="29">
        <f>SUM(F310:F343)</f>
        <v>0</v>
      </c>
      <c r="G346" s="29">
        <f>SUM(G310:G343)</f>
        <v>0</v>
      </c>
      <c r="H346" s="29">
        <f>SUM(H310:H343)</f>
        <v>0</v>
      </c>
      <c r="I346" s="29">
        <f>SUM(I310:I343)</f>
        <v>0</v>
      </c>
      <c r="J346" s="29">
        <f t="shared" ref="J346:K346" si="157">SUM(J310:J343)</f>
        <v>0</v>
      </c>
      <c r="K346" s="172">
        <f t="shared" si="157"/>
        <v>0</v>
      </c>
      <c r="L346" s="299"/>
      <c r="M346" s="299"/>
      <c r="N346" s="322">
        <f t="shared" si="155"/>
        <v>0</v>
      </c>
      <c r="O346" s="325"/>
      <c r="P346" s="325"/>
      <c r="Q346" s="325"/>
      <c r="R346" s="325"/>
      <c r="S346" s="325"/>
      <c r="T346" s="324"/>
      <c r="U346" s="324"/>
      <c r="V346" s="324"/>
      <c r="W346" s="324"/>
      <c r="X346" s="324"/>
      <c r="Y346" s="324"/>
      <c r="Z346" s="324"/>
      <c r="AA346" s="324"/>
      <c r="AB346" s="324"/>
      <c r="AC346" s="324"/>
      <c r="AD346" s="324"/>
      <c r="AE346" s="324"/>
      <c r="AF346" s="324"/>
      <c r="AG346" s="324"/>
      <c r="AH346" s="324"/>
      <c r="AI346" s="324"/>
      <c r="AJ346" s="324"/>
      <c r="AK346" s="324"/>
      <c r="AL346" s="324"/>
      <c r="AM346" s="324"/>
      <c r="AN346" s="324"/>
      <c r="AO346" s="324"/>
      <c r="AP346" s="324"/>
      <c r="AQ346" s="324"/>
      <c r="AR346" s="324"/>
      <c r="AS346" s="324"/>
      <c r="AT346" s="324"/>
      <c r="AU346" s="324"/>
      <c r="AV346" s="324"/>
      <c r="AW346" s="324"/>
      <c r="AX346" s="324"/>
      <c r="AY346" s="324"/>
      <c r="AZ346" s="324"/>
      <c r="BA346" s="324"/>
      <c r="BB346" s="324"/>
      <c r="BC346" s="324"/>
      <c r="BD346" s="324"/>
      <c r="BE346" s="324"/>
      <c r="BF346" s="324"/>
      <c r="BG346" s="324"/>
      <c r="BH346" s="324"/>
      <c r="BI346" s="324"/>
      <c r="BJ346" s="324"/>
      <c r="BK346" s="324"/>
      <c r="BL346" s="324"/>
      <c r="BM346" s="324"/>
      <c r="BN346" s="324"/>
      <c r="BO346" s="324"/>
      <c r="BP346" s="324"/>
      <c r="BQ346" s="324"/>
      <c r="BR346" s="324"/>
      <c r="BS346" s="324"/>
      <c r="BT346" s="324"/>
      <c r="BU346" s="324"/>
      <c r="BV346" s="324"/>
      <c r="BW346" s="324"/>
      <c r="BX346" s="324"/>
      <c r="BY346" s="324"/>
      <c r="BZ346" s="324"/>
      <c r="CA346" s="324"/>
      <c r="CB346" s="324"/>
      <c r="CC346" s="324"/>
      <c r="CD346" s="324"/>
      <c r="CE346" s="324"/>
      <c r="CF346" s="324"/>
      <c r="CG346" s="324"/>
      <c r="CH346" s="324"/>
      <c r="CI346" s="324"/>
      <c r="CJ346" s="324"/>
      <c r="CK346" s="324"/>
      <c r="CL346" s="324"/>
      <c r="CM346" s="324"/>
      <c r="CN346" s="324"/>
      <c r="CO346" s="324"/>
      <c r="CP346" s="324"/>
      <c r="CQ346" s="324"/>
      <c r="CR346" s="324"/>
      <c r="CS346" s="324"/>
      <c r="CT346" s="324"/>
      <c r="CU346" s="324"/>
      <c r="CV346" s="324"/>
      <c r="CW346" s="324"/>
      <c r="CX346" s="324"/>
      <c r="CY346" s="324"/>
      <c r="CZ346" s="324"/>
      <c r="DA346" s="324"/>
      <c r="DB346" s="324"/>
      <c r="DC346" s="324"/>
      <c r="DD346" s="324"/>
      <c r="DE346" s="324"/>
      <c r="DF346" s="324"/>
      <c r="DG346" s="324"/>
      <c r="DH346" s="324"/>
      <c r="DI346" s="324"/>
      <c r="DJ346" s="324"/>
    </row>
    <row r="347" spans="1:114" ht="15.75" thickBot="1" x14ac:dyDescent="0.3">
      <c r="A347" s="138"/>
      <c r="B347" s="357"/>
      <c r="C347" s="358"/>
      <c r="D347" s="359"/>
      <c r="E347" s="359"/>
      <c r="F347" s="359"/>
      <c r="G347" s="359"/>
      <c r="H347" s="359"/>
      <c r="I347" s="359"/>
      <c r="J347" s="359"/>
      <c r="K347" s="360"/>
      <c r="L347" s="299"/>
      <c r="M347" s="299"/>
      <c r="N347" s="295"/>
      <c r="O347" s="234"/>
      <c r="P347" s="234"/>
      <c r="Q347" s="234"/>
      <c r="R347" s="234"/>
      <c r="S347" s="234"/>
      <c r="T347" s="67"/>
      <c r="U347" s="67"/>
      <c r="V347" s="67"/>
      <c r="W347" s="67"/>
      <c r="X347" s="67"/>
      <c r="Y347" s="67"/>
      <c r="Z347" s="67"/>
      <c r="AA347" s="67"/>
      <c r="AB347" s="67"/>
      <c r="AC347" s="67"/>
      <c r="AD347" s="67"/>
      <c r="AE347" s="67"/>
      <c r="AF347" s="67"/>
      <c r="AG347" s="67"/>
      <c r="AH347" s="67"/>
      <c r="AI347" s="67"/>
      <c r="AJ347" s="67"/>
      <c r="AK347" s="67"/>
      <c r="AL347" s="67"/>
      <c r="AM347" s="67"/>
      <c r="AN347" s="67"/>
      <c r="AO347" s="67"/>
      <c r="AP347" s="67"/>
      <c r="AQ347" s="67"/>
      <c r="AR347" s="67"/>
      <c r="AS347" s="67"/>
      <c r="AT347" s="67"/>
      <c r="AU347" s="67"/>
      <c r="AV347" s="67"/>
      <c r="AW347" s="67"/>
      <c r="AX347" s="67"/>
      <c r="AY347" s="67"/>
      <c r="AZ347" s="67"/>
      <c r="BA347" s="67"/>
      <c r="BB347" s="67"/>
      <c r="BC347" s="67"/>
      <c r="BD347" s="67"/>
      <c r="BE347" s="67"/>
      <c r="BF347" s="67"/>
      <c r="BG347" s="67"/>
      <c r="BH347" s="67"/>
      <c r="BI347" s="67"/>
      <c r="BJ347" s="67"/>
      <c r="BK347" s="67"/>
      <c r="BL347" s="67"/>
      <c r="BM347" s="67"/>
      <c r="BN347" s="67"/>
      <c r="BO347" s="67"/>
      <c r="BP347" s="67"/>
      <c r="BQ347" s="67"/>
      <c r="BR347" s="67"/>
      <c r="BS347" s="67"/>
      <c r="BT347" s="67"/>
      <c r="BU347" s="67"/>
      <c r="BV347" s="67"/>
      <c r="BW347" s="67"/>
      <c r="BX347" s="67"/>
      <c r="BY347" s="67"/>
      <c r="BZ347" s="67"/>
      <c r="CA347" s="67"/>
      <c r="CB347" s="67"/>
      <c r="CC347" s="67"/>
      <c r="CD347" s="67"/>
      <c r="CE347" s="67"/>
      <c r="CF347" s="67"/>
      <c r="CG347" s="67"/>
      <c r="CH347" s="67"/>
      <c r="CI347" s="67"/>
      <c r="CJ347" s="67"/>
      <c r="CK347" s="67"/>
      <c r="CL347" s="67"/>
      <c r="CM347" s="67"/>
      <c r="CN347" s="67"/>
      <c r="CO347" s="67"/>
      <c r="CP347" s="67"/>
      <c r="CQ347" s="67"/>
      <c r="CR347" s="67"/>
      <c r="CS347" s="67"/>
      <c r="CT347" s="67"/>
      <c r="CU347" s="67"/>
      <c r="CV347" s="67"/>
      <c r="CW347" s="67"/>
      <c r="CX347" s="67"/>
      <c r="CY347" s="67"/>
      <c r="CZ347" s="67"/>
      <c r="DA347" s="67"/>
      <c r="DB347" s="67"/>
      <c r="DC347" s="67"/>
      <c r="DD347" s="67"/>
      <c r="DE347" s="67"/>
      <c r="DF347" s="67"/>
      <c r="DG347" s="67"/>
      <c r="DH347" s="67"/>
      <c r="DI347" s="67"/>
      <c r="DJ347" s="67"/>
    </row>
    <row r="348" spans="1:114" ht="15.75" thickBot="1" x14ac:dyDescent="0.3">
      <c r="B348" s="93"/>
      <c r="C348" s="94"/>
      <c r="D348" s="95"/>
      <c r="E348" s="96"/>
      <c r="F348" s="62"/>
      <c r="G348" s="96"/>
      <c r="H348" s="96"/>
      <c r="I348" s="96"/>
      <c r="J348" s="96"/>
      <c r="K348" s="95"/>
      <c r="L348" s="163"/>
      <c r="M348" s="163"/>
      <c r="N348" s="295"/>
      <c r="O348" s="234"/>
      <c r="P348" s="234"/>
      <c r="Q348" s="234"/>
      <c r="R348" s="234"/>
      <c r="S348" s="234"/>
      <c r="T348" s="67"/>
      <c r="U348" s="67"/>
      <c r="V348" s="67"/>
    </row>
    <row r="349" spans="1:114" ht="15.75" thickBot="1" x14ac:dyDescent="0.3">
      <c r="A349" s="407" t="s">
        <v>657</v>
      </c>
      <c r="B349" s="414" t="s">
        <v>0</v>
      </c>
      <c r="C349" s="414" t="s">
        <v>1</v>
      </c>
      <c r="D349" s="415" t="s">
        <v>649</v>
      </c>
      <c r="E349" s="416" t="s">
        <v>19</v>
      </c>
      <c r="F349" s="416"/>
      <c r="G349" s="416"/>
      <c r="H349" s="416"/>
      <c r="I349" s="416"/>
      <c r="J349" s="410" t="s">
        <v>21</v>
      </c>
      <c r="K349" s="412" t="s">
        <v>602</v>
      </c>
      <c r="L349" s="295"/>
      <c r="M349" s="295"/>
      <c r="N349" s="403" t="s">
        <v>601</v>
      </c>
      <c r="O349" s="403" t="s">
        <v>924</v>
      </c>
      <c r="P349" s="403"/>
      <c r="Q349" s="403"/>
      <c r="R349" s="403"/>
      <c r="S349" s="403"/>
      <c r="T349" s="403"/>
      <c r="U349" s="403"/>
      <c r="V349" s="403"/>
      <c r="W349" s="403"/>
      <c r="X349" s="403"/>
      <c r="Y349" s="403"/>
      <c r="Z349" s="403"/>
      <c r="AA349" s="403"/>
      <c r="AB349" s="403"/>
      <c r="AC349" s="403"/>
      <c r="AD349" s="403"/>
      <c r="AE349" s="403"/>
      <c r="AF349" s="403"/>
      <c r="AG349" s="403"/>
      <c r="AH349" s="403"/>
      <c r="AI349" s="403"/>
      <c r="AJ349" s="403"/>
      <c r="AK349" s="403"/>
      <c r="AL349" s="403"/>
      <c r="AM349" s="403"/>
      <c r="AN349" s="403"/>
      <c r="AO349" s="403"/>
      <c r="AP349" s="403"/>
      <c r="AQ349" s="403"/>
      <c r="AR349" s="403"/>
      <c r="AS349" s="403"/>
      <c r="AT349" s="403"/>
      <c r="AU349" s="403"/>
      <c r="AV349" s="403"/>
      <c r="AW349" s="403"/>
      <c r="AX349" s="403"/>
      <c r="AY349" s="403"/>
      <c r="AZ349" s="403"/>
      <c r="BA349" s="403"/>
      <c r="BB349" s="403"/>
      <c r="BC349" s="403"/>
      <c r="BD349" s="403"/>
      <c r="BE349" s="403"/>
      <c r="BF349" s="403"/>
      <c r="BG349" s="403"/>
      <c r="BH349" s="403"/>
      <c r="BI349" s="403"/>
      <c r="BJ349" s="403"/>
      <c r="BK349" s="403"/>
      <c r="BL349" s="403"/>
      <c r="BM349" s="403"/>
      <c r="BN349" s="403"/>
      <c r="BO349" s="403"/>
      <c r="BP349" s="403"/>
      <c r="BQ349" s="403"/>
      <c r="BR349" s="403"/>
      <c r="BS349" s="403"/>
      <c r="BT349" s="403"/>
      <c r="BU349" s="403"/>
      <c r="BV349" s="403"/>
      <c r="BW349" s="403"/>
      <c r="BX349" s="403"/>
      <c r="BY349" s="403"/>
      <c r="BZ349" s="403"/>
      <c r="CA349" s="403"/>
      <c r="CB349" s="403"/>
      <c r="CC349" s="403"/>
      <c r="CD349" s="403"/>
      <c r="CE349" s="403"/>
      <c r="CF349" s="403"/>
      <c r="CG349" s="403"/>
      <c r="CH349" s="403"/>
      <c r="CI349" s="403"/>
      <c r="CJ349" s="403"/>
      <c r="CK349" s="403"/>
      <c r="CL349" s="403"/>
      <c r="CM349" s="403"/>
      <c r="CN349" s="403"/>
      <c r="CO349" s="403"/>
      <c r="CP349" s="403"/>
      <c r="CQ349" s="403"/>
      <c r="CR349" s="403"/>
      <c r="CS349" s="403"/>
      <c r="CT349" s="403"/>
      <c r="CU349" s="403"/>
      <c r="CV349" s="403"/>
      <c r="CW349" s="403"/>
      <c r="CX349" s="403"/>
      <c r="CY349" s="403"/>
      <c r="CZ349" s="403"/>
      <c r="DA349" s="403"/>
      <c r="DB349" s="403"/>
      <c r="DC349" s="403"/>
      <c r="DD349" s="403"/>
      <c r="DE349" s="403"/>
      <c r="DF349" s="403"/>
      <c r="DG349" s="403"/>
      <c r="DH349" s="403"/>
      <c r="DI349" s="403"/>
      <c r="DJ349" s="403"/>
    </row>
    <row r="350" spans="1:114" ht="15.75" thickBot="1" x14ac:dyDescent="0.3">
      <c r="A350" s="408"/>
      <c r="B350" s="414"/>
      <c r="C350" s="414"/>
      <c r="D350" s="415"/>
      <c r="E350" s="68" t="s">
        <v>22</v>
      </c>
      <c r="F350" s="68" t="s">
        <v>600</v>
      </c>
      <c r="G350" s="68" t="s">
        <v>601</v>
      </c>
      <c r="H350" s="68" t="s">
        <v>589</v>
      </c>
      <c r="I350" s="68" t="s">
        <v>601</v>
      </c>
      <c r="J350" s="411"/>
      <c r="K350" s="413"/>
      <c r="L350" s="295"/>
      <c r="M350" s="295"/>
      <c r="N350" s="403"/>
      <c r="O350" s="400" t="s">
        <v>925</v>
      </c>
      <c r="P350" s="400" t="s">
        <v>926</v>
      </c>
      <c r="Q350" s="400"/>
      <c r="R350" s="400"/>
      <c r="S350" s="400"/>
      <c r="T350" s="398"/>
      <c r="U350" s="398"/>
      <c r="V350" s="398"/>
      <c r="W350" s="398"/>
      <c r="X350" s="398"/>
      <c r="Y350" s="398"/>
      <c r="Z350" s="398"/>
      <c r="AA350" s="398"/>
      <c r="AB350" s="398"/>
      <c r="AC350" s="398"/>
      <c r="AD350" s="398"/>
      <c r="AE350" s="398"/>
      <c r="AF350" s="398"/>
      <c r="AG350" s="398"/>
      <c r="AH350" s="398"/>
      <c r="AI350" s="398"/>
      <c r="AJ350" s="398"/>
      <c r="AK350" s="398"/>
      <c r="AL350" s="398"/>
      <c r="AM350" s="398"/>
      <c r="AN350" s="398"/>
      <c r="AO350" s="398"/>
      <c r="AP350" s="398"/>
      <c r="AQ350" s="398"/>
      <c r="AR350" s="398"/>
      <c r="AS350" s="398"/>
      <c r="AT350" s="398"/>
      <c r="AU350" s="398"/>
      <c r="AV350" s="398"/>
      <c r="AW350" s="398"/>
      <c r="AX350" s="398"/>
      <c r="AY350" s="398"/>
      <c r="AZ350" s="398"/>
      <c r="BA350" s="398"/>
      <c r="BB350" s="398"/>
      <c r="BC350" s="398"/>
      <c r="BD350" s="398"/>
      <c r="BE350" s="398"/>
      <c r="BF350" s="398"/>
      <c r="BG350" s="398"/>
      <c r="BH350" s="398"/>
      <c r="BI350" s="398"/>
      <c r="BJ350" s="398"/>
      <c r="BK350" s="398"/>
      <c r="BL350" s="398"/>
      <c r="BM350" s="398"/>
      <c r="BN350" s="398"/>
      <c r="BO350" s="398"/>
      <c r="BP350" s="398"/>
      <c r="BQ350" s="398"/>
      <c r="BR350" s="398"/>
      <c r="BS350" s="398"/>
      <c r="BT350" s="398"/>
      <c r="BU350" s="398"/>
      <c r="BV350" s="398"/>
      <c r="BW350" s="398"/>
      <c r="BX350" s="398"/>
      <c r="BY350" s="398"/>
      <c r="BZ350" s="398"/>
      <c r="CA350" s="398"/>
      <c r="CB350" s="398"/>
      <c r="CC350" s="398"/>
      <c r="CD350" s="398"/>
      <c r="CE350" s="398"/>
      <c r="CF350" s="398"/>
      <c r="CG350" s="398"/>
      <c r="CH350" s="398"/>
      <c r="CI350" s="398"/>
      <c r="CJ350" s="398"/>
      <c r="CK350" s="398"/>
      <c r="CL350" s="398"/>
      <c r="CM350" s="398"/>
      <c r="CN350" s="398"/>
      <c r="CO350" s="398"/>
      <c r="CP350" s="398"/>
      <c r="CQ350" s="398"/>
      <c r="CR350" s="398"/>
      <c r="CS350" s="398"/>
      <c r="CT350" s="398"/>
      <c r="CU350" s="398"/>
      <c r="CV350" s="398"/>
      <c r="CW350" s="398"/>
      <c r="CX350" s="398"/>
      <c r="CY350" s="398"/>
      <c r="CZ350" s="398"/>
      <c r="DA350" s="398"/>
      <c r="DB350" s="398"/>
      <c r="DC350" s="398"/>
      <c r="DD350" s="398"/>
      <c r="DE350" s="398"/>
      <c r="DF350" s="398"/>
      <c r="DG350" s="398"/>
      <c r="DH350" s="398"/>
      <c r="DI350" s="398"/>
      <c r="DJ350" s="398"/>
    </row>
    <row r="351" spans="1:114" ht="15.75" thickBot="1" x14ac:dyDescent="0.3">
      <c r="A351" s="409"/>
      <c r="B351" s="69">
        <v>1</v>
      </c>
      <c r="C351" s="69">
        <v>2</v>
      </c>
      <c r="D351" s="69">
        <v>3</v>
      </c>
      <c r="E351" s="70">
        <v>4</v>
      </c>
      <c r="F351" s="70">
        <f>+E351+1</f>
        <v>5</v>
      </c>
      <c r="G351" s="70" t="s">
        <v>652</v>
      </c>
      <c r="H351" s="70">
        <v>7</v>
      </c>
      <c r="I351" s="71" t="s">
        <v>651</v>
      </c>
      <c r="J351" s="42" t="s">
        <v>650</v>
      </c>
      <c r="K351" s="303" t="s">
        <v>653</v>
      </c>
      <c r="L351" s="296"/>
      <c r="M351" s="296"/>
      <c r="N351" s="403"/>
      <c r="O351" s="402"/>
      <c r="P351" s="402"/>
      <c r="Q351" s="402"/>
      <c r="R351" s="402"/>
      <c r="S351" s="402"/>
      <c r="T351" s="399"/>
      <c r="U351" s="399"/>
      <c r="V351" s="399"/>
      <c r="W351" s="399"/>
      <c r="X351" s="399"/>
      <c r="Y351" s="399"/>
      <c r="Z351" s="399"/>
      <c r="AA351" s="399"/>
      <c r="AB351" s="399"/>
      <c r="AC351" s="399"/>
      <c r="AD351" s="399"/>
      <c r="AE351" s="399"/>
      <c r="AF351" s="399"/>
      <c r="AG351" s="399"/>
      <c r="AH351" s="399"/>
      <c r="AI351" s="399"/>
      <c r="AJ351" s="399"/>
      <c r="AK351" s="399"/>
      <c r="AL351" s="399"/>
      <c r="AM351" s="399"/>
      <c r="AN351" s="399"/>
      <c r="AO351" s="399"/>
      <c r="AP351" s="399"/>
      <c r="AQ351" s="399"/>
      <c r="AR351" s="399"/>
      <c r="AS351" s="399"/>
      <c r="AT351" s="399"/>
      <c r="AU351" s="399"/>
      <c r="AV351" s="399"/>
      <c r="AW351" s="399"/>
      <c r="AX351" s="399"/>
      <c r="AY351" s="399"/>
      <c r="AZ351" s="399"/>
      <c r="BA351" s="399"/>
      <c r="BB351" s="399"/>
      <c r="BC351" s="399"/>
      <c r="BD351" s="399"/>
      <c r="BE351" s="399"/>
      <c r="BF351" s="399"/>
      <c r="BG351" s="399"/>
      <c r="BH351" s="399"/>
      <c r="BI351" s="399"/>
      <c r="BJ351" s="399"/>
      <c r="BK351" s="399"/>
      <c r="BL351" s="399"/>
      <c r="BM351" s="399"/>
      <c r="BN351" s="399"/>
      <c r="BO351" s="399"/>
      <c r="BP351" s="399"/>
      <c r="BQ351" s="399"/>
      <c r="BR351" s="399"/>
      <c r="BS351" s="399"/>
      <c r="BT351" s="399"/>
      <c r="BU351" s="399"/>
      <c r="BV351" s="399"/>
      <c r="BW351" s="399"/>
      <c r="BX351" s="399"/>
      <c r="BY351" s="399"/>
      <c r="BZ351" s="399"/>
      <c r="CA351" s="399"/>
      <c r="CB351" s="399"/>
      <c r="CC351" s="399"/>
      <c r="CD351" s="399"/>
      <c r="CE351" s="399"/>
      <c r="CF351" s="399"/>
      <c r="CG351" s="399"/>
      <c r="CH351" s="399"/>
      <c r="CI351" s="399"/>
      <c r="CJ351" s="399"/>
      <c r="CK351" s="399"/>
      <c r="CL351" s="399"/>
      <c r="CM351" s="399"/>
      <c r="CN351" s="399"/>
      <c r="CO351" s="399"/>
      <c r="CP351" s="399"/>
      <c r="CQ351" s="399"/>
      <c r="CR351" s="399"/>
      <c r="CS351" s="399"/>
      <c r="CT351" s="399"/>
      <c r="CU351" s="399"/>
      <c r="CV351" s="399"/>
      <c r="CW351" s="399"/>
      <c r="CX351" s="399"/>
      <c r="CY351" s="399"/>
      <c r="CZ351" s="399"/>
      <c r="DA351" s="399"/>
      <c r="DB351" s="399"/>
      <c r="DC351" s="399"/>
      <c r="DD351" s="399"/>
      <c r="DE351" s="399"/>
      <c r="DF351" s="399"/>
      <c r="DG351" s="399"/>
      <c r="DH351" s="399"/>
      <c r="DI351" s="399"/>
      <c r="DJ351" s="399"/>
    </row>
    <row r="352" spans="1:114" x14ac:dyDescent="0.25">
      <c r="A352" s="72"/>
      <c r="B352" s="72" t="s">
        <v>675</v>
      </c>
      <c r="C352" s="54"/>
      <c r="D352" s="54"/>
      <c r="E352" s="54"/>
      <c r="F352" s="54"/>
      <c r="G352" s="54"/>
      <c r="H352" s="54"/>
      <c r="I352" s="54"/>
      <c r="J352" s="54"/>
      <c r="K352" s="54"/>
      <c r="L352" s="234"/>
      <c r="M352" s="234"/>
      <c r="N352" s="314">
        <f t="shared" ref="N352:N364" si="158">SUM(O352:DK352)</f>
        <v>0</v>
      </c>
      <c r="O352" s="310"/>
      <c r="P352" s="315"/>
      <c r="Q352" s="315"/>
      <c r="R352" s="315"/>
      <c r="S352" s="315"/>
      <c r="T352" s="55"/>
      <c r="U352" s="55"/>
      <c r="V352" s="55"/>
      <c r="W352" s="55"/>
      <c r="X352" s="55"/>
      <c r="Y352" s="55"/>
      <c r="Z352" s="55"/>
      <c r="AA352" s="55"/>
      <c r="AB352" s="55"/>
      <c r="AC352" s="55"/>
      <c r="AD352" s="55"/>
      <c r="AE352" s="55"/>
      <c r="AF352" s="55"/>
      <c r="AG352" s="55"/>
      <c r="AH352" s="55"/>
      <c r="AI352" s="55"/>
      <c r="AJ352" s="55"/>
      <c r="AK352" s="55"/>
      <c r="AL352" s="55"/>
      <c r="AM352" s="55"/>
      <c r="AN352" s="55"/>
      <c r="AO352" s="55"/>
      <c r="AP352" s="55"/>
      <c r="AQ352" s="55"/>
      <c r="AR352" s="55"/>
      <c r="AS352" s="55"/>
      <c r="AT352" s="55"/>
      <c r="AU352" s="55"/>
      <c r="AV352" s="55"/>
      <c r="AW352" s="55"/>
      <c r="AX352" s="55"/>
      <c r="AY352" s="55"/>
      <c r="AZ352" s="55"/>
      <c r="BA352" s="55"/>
      <c r="BB352" s="55"/>
      <c r="BC352" s="55"/>
      <c r="BD352" s="55"/>
      <c r="BE352" s="55"/>
      <c r="BF352" s="55"/>
      <c r="BG352" s="55"/>
      <c r="BH352" s="55"/>
      <c r="BI352" s="55"/>
      <c r="BJ352" s="55"/>
      <c r="BK352" s="55"/>
      <c r="BL352" s="55"/>
      <c r="BM352" s="55"/>
      <c r="BN352" s="55"/>
      <c r="BO352" s="55"/>
      <c r="BP352" s="55"/>
      <c r="BQ352" s="55"/>
      <c r="BR352" s="55"/>
      <c r="BS352" s="55"/>
      <c r="BT352" s="55"/>
      <c r="BU352" s="55"/>
      <c r="BV352" s="55"/>
      <c r="BW352" s="55"/>
      <c r="BX352" s="55"/>
      <c r="BY352" s="55"/>
      <c r="BZ352" s="55"/>
      <c r="CA352" s="55"/>
      <c r="CB352" s="55"/>
      <c r="CC352" s="55"/>
      <c r="CD352" s="55"/>
      <c r="CE352" s="55"/>
      <c r="CF352" s="55"/>
      <c r="CG352" s="55"/>
      <c r="CH352" s="55"/>
      <c r="CI352" s="55"/>
      <c r="CJ352" s="55"/>
      <c r="CK352" s="55"/>
      <c r="CL352" s="55"/>
      <c r="CM352" s="55"/>
      <c r="CN352" s="55"/>
      <c r="CO352" s="55"/>
      <c r="CP352" s="55"/>
      <c r="CQ352" s="55"/>
      <c r="CR352" s="55"/>
      <c r="CS352" s="55"/>
      <c r="CT352" s="55"/>
      <c r="CU352" s="55"/>
      <c r="CV352" s="55"/>
      <c r="CW352" s="55"/>
      <c r="CX352" s="55"/>
      <c r="CY352" s="55"/>
      <c r="CZ352" s="55"/>
      <c r="DA352" s="55"/>
      <c r="DB352" s="55"/>
      <c r="DC352" s="55"/>
      <c r="DD352" s="55"/>
      <c r="DE352" s="55"/>
      <c r="DF352" s="55"/>
      <c r="DG352" s="55"/>
      <c r="DH352" s="55"/>
      <c r="DI352" s="55"/>
      <c r="DJ352" s="55"/>
    </row>
    <row r="353" spans="1:114" x14ac:dyDescent="0.25">
      <c r="A353" s="351"/>
      <c r="B353" s="351"/>
      <c r="C353" s="353"/>
      <c r="D353" s="353"/>
      <c r="E353" s="353"/>
      <c r="F353" s="353"/>
      <c r="G353" s="353"/>
      <c r="H353" s="353"/>
      <c r="I353" s="353"/>
      <c r="J353" s="353"/>
      <c r="K353" s="353"/>
      <c r="L353" s="234"/>
      <c r="M353" s="234"/>
      <c r="N353" s="348"/>
      <c r="O353" s="310" t="s">
        <v>931</v>
      </c>
      <c r="P353" s="349" t="s">
        <v>944</v>
      </c>
      <c r="Q353" s="349" t="s">
        <v>951</v>
      </c>
      <c r="R353" s="349" t="s">
        <v>941</v>
      </c>
      <c r="S353" s="349" t="s">
        <v>932</v>
      </c>
      <c r="T353" s="346" t="s">
        <v>933</v>
      </c>
      <c r="U353" s="346" t="s">
        <v>952</v>
      </c>
      <c r="V353" s="346" t="s">
        <v>966</v>
      </c>
      <c r="W353" s="346" t="s">
        <v>961</v>
      </c>
      <c r="X353" s="346" t="s">
        <v>930</v>
      </c>
      <c r="Y353" s="346" t="s">
        <v>960</v>
      </c>
      <c r="Z353" s="346" t="s">
        <v>967</v>
      </c>
      <c r="AA353" s="346" t="s">
        <v>943</v>
      </c>
      <c r="AB353" s="346" t="s">
        <v>940</v>
      </c>
      <c r="AC353" s="346" t="s">
        <v>949</v>
      </c>
      <c r="AD353" s="346" t="s">
        <v>977</v>
      </c>
      <c r="AE353" s="346" t="s">
        <v>977</v>
      </c>
      <c r="AF353" s="346"/>
      <c r="AG353" s="346"/>
      <c r="AH353" s="346"/>
      <c r="AI353" s="346"/>
      <c r="AJ353" s="346"/>
      <c r="AK353" s="346"/>
      <c r="AL353" s="346"/>
      <c r="AM353" s="346"/>
      <c r="AN353" s="346"/>
      <c r="AO353" s="346"/>
      <c r="AP353" s="346"/>
      <c r="AQ353" s="346"/>
      <c r="AR353" s="346"/>
      <c r="AS353" s="346"/>
      <c r="AT353" s="346"/>
      <c r="AU353" s="346"/>
      <c r="AV353" s="346"/>
      <c r="AW353" s="346"/>
      <c r="AX353" s="346"/>
      <c r="AY353" s="346"/>
      <c r="AZ353" s="346"/>
      <c r="BA353" s="346"/>
      <c r="BB353" s="346"/>
      <c r="BC353" s="346"/>
      <c r="BD353" s="346"/>
      <c r="BE353" s="346"/>
      <c r="BF353" s="346"/>
      <c r="BG353" s="346"/>
      <c r="BH353" s="346"/>
      <c r="BI353" s="346"/>
      <c r="BJ353" s="346"/>
      <c r="BK353" s="346"/>
      <c r="BL353" s="346"/>
      <c r="BM353" s="346"/>
      <c r="BN353" s="346"/>
      <c r="BO353" s="346"/>
      <c r="BP353" s="346"/>
      <c r="BQ353" s="346"/>
      <c r="BR353" s="346"/>
      <c r="BS353" s="346"/>
      <c r="BT353" s="346"/>
      <c r="BU353" s="346"/>
      <c r="BV353" s="346"/>
      <c r="BW353" s="346"/>
      <c r="BX353" s="346"/>
      <c r="BY353" s="346"/>
      <c r="BZ353" s="346"/>
      <c r="CA353" s="346"/>
      <c r="CB353" s="346"/>
      <c r="CC353" s="346"/>
      <c r="CD353" s="346"/>
      <c r="CE353" s="346"/>
      <c r="CF353" s="346"/>
      <c r="CG353" s="346"/>
      <c r="CH353" s="346"/>
      <c r="CI353" s="346"/>
      <c r="CJ353" s="346"/>
      <c r="CK353" s="346"/>
      <c r="CL353" s="346"/>
      <c r="CM353" s="346"/>
      <c r="CN353" s="346"/>
      <c r="CO353" s="346"/>
      <c r="CP353" s="346"/>
      <c r="CQ353" s="346"/>
      <c r="CR353" s="346"/>
      <c r="CS353" s="346"/>
      <c r="CT353" s="346"/>
      <c r="CU353" s="346"/>
      <c r="CV353" s="346"/>
      <c r="CW353" s="346"/>
      <c r="CX353" s="346"/>
      <c r="CY353" s="346"/>
      <c r="CZ353" s="346"/>
      <c r="DA353" s="346"/>
      <c r="DB353" s="346"/>
      <c r="DC353" s="346"/>
      <c r="DD353" s="346"/>
      <c r="DE353" s="346"/>
      <c r="DF353" s="346"/>
      <c r="DG353" s="346"/>
      <c r="DH353" s="346"/>
      <c r="DI353" s="346"/>
      <c r="DJ353" s="346"/>
    </row>
    <row r="354" spans="1:114" x14ac:dyDescent="0.25">
      <c r="A354" s="120">
        <v>1</v>
      </c>
      <c r="B354" s="79" t="s">
        <v>126</v>
      </c>
      <c r="C354" s="80">
        <v>2500</v>
      </c>
      <c r="D354" s="81">
        <v>98.35</v>
      </c>
      <c r="E354" s="59">
        <v>0</v>
      </c>
      <c r="F354" s="60"/>
      <c r="G354" s="56">
        <f t="shared" ref="G354:G378" si="159">+E354+F354</f>
        <v>0</v>
      </c>
      <c r="H354" s="55">
        <f>40200-40200</f>
        <v>0</v>
      </c>
      <c r="I354" s="56">
        <f t="shared" ref="I354:I378" si="160">+G354-H354</f>
        <v>0</v>
      </c>
      <c r="J354" s="56">
        <f t="shared" ref="J354:J378" si="161">I354*C354</f>
        <v>0</v>
      </c>
      <c r="K354" s="57">
        <f t="shared" ref="K354:K378" si="162">+D354*I354</f>
        <v>0</v>
      </c>
      <c r="L354" s="297"/>
      <c r="M354" s="297">
        <v>25968</v>
      </c>
      <c r="N354" s="314">
        <f t="shared" si="158"/>
        <v>57577</v>
      </c>
      <c r="O354" s="310">
        <v>2400</v>
      </c>
      <c r="P354" s="315">
        <v>2400</v>
      </c>
      <c r="Q354" s="315">
        <v>6840</v>
      </c>
      <c r="R354" s="315">
        <v>2400</v>
      </c>
      <c r="S354" s="315">
        <v>2400</v>
      </c>
      <c r="T354" s="55">
        <v>2106</v>
      </c>
      <c r="U354" s="55">
        <v>7200</v>
      </c>
      <c r="V354" s="55">
        <v>1824</v>
      </c>
      <c r="W354" s="55">
        <v>8688</v>
      </c>
      <c r="X354" s="55">
        <v>2232</v>
      </c>
      <c r="Y354" s="55">
        <v>1170</v>
      </c>
      <c r="Z354" s="55">
        <v>2400</v>
      </c>
      <c r="AA354" s="55">
        <v>2343</v>
      </c>
      <c r="AB354" s="55">
        <v>2352</v>
      </c>
      <c r="AC354" s="55">
        <v>22</v>
      </c>
      <c r="AD354" s="55">
        <v>1200</v>
      </c>
      <c r="AE354" s="55">
        <v>9600</v>
      </c>
      <c r="AF354" s="55"/>
      <c r="AG354" s="55"/>
      <c r="AH354" s="55"/>
      <c r="AI354" s="55"/>
      <c r="AJ354" s="55"/>
      <c r="AK354" s="55"/>
      <c r="AL354" s="55"/>
      <c r="AM354" s="55"/>
      <c r="AN354" s="55"/>
      <c r="AO354" s="55"/>
      <c r="AP354" s="55"/>
      <c r="AQ354" s="55"/>
      <c r="AR354" s="55"/>
      <c r="AS354" s="55"/>
      <c r="AT354" s="55"/>
      <c r="AU354" s="55"/>
      <c r="AV354" s="55"/>
      <c r="AW354" s="55"/>
      <c r="AX354" s="55"/>
      <c r="AY354" s="55"/>
      <c r="AZ354" s="55"/>
      <c r="BA354" s="55"/>
      <c r="BB354" s="55"/>
      <c r="BC354" s="55"/>
      <c r="BD354" s="55"/>
      <c r="BE354" s="55"/>
      <c r="BF354" s="55"/>
      <c r="BG354" s="55"/>
      <c r="BH354" s="55"/>
      <c r="BI354" s="55"/>
      <c r="BJ354" s="55"/>
      <c r="BK354" s="55"/>
      <c r="BL354" s="55"/>
      <c r="BM354" s="55"/>
      <c r="BN354" s="55"/>
      <c r="BO354" s="55"/>
      <c r="BP354" s="55"/>
      <c r="BQ354" s="55"/>
      <c r="BR354" s="55"/>
      <c r="BS354" s="55"/>
      <c r="BT354" s="55"/>
      <c r="BU354" s="55"/>
      <c r="BV354" s="55"/>
      <c r="BW354" s="55"/>
      <c r="BX354" s="55"/>
      <c r="BY354" s="55"/>
      <c r="BZ354" s="55"/>
      <c r="CA354" s="55"/>
      <c r="CB354" s="55"/>
      <c r="CC354" s="55"/>
      <c r="CD354" s="55"/>
      <c r="CE354" s="55"/>
      <c r="CF354" s="55"/>
      <c r="CG354" s="55"/>
      <c r="CH354" s="55"/>
      <c r="CI354" s="55"/>
      <c r="CJ354" s="55"/>
      <c r="CK354" s="55"/>
      <c r="CL354" s="55"/>
      <c r="CM354" s="55"/>
      <c r="CN354" s="55"/>
      <c r="CO354" s="55"/>
      <c r="CP354" s="55"/>
      <c r="CQ354" s="55"/>
      <c r="CR354" s="55"/>
      <c r="CS354" s="55"/>
      <c r="CT354" s="55"/>
      <c r="CU354" s="55"/>
      <c r="CV354" s="55"/>
      <c r="CW354" s="55"/>
      <c r="CX354" s="55"/>
      <c r="CY354" s="55"/>
      <c r="CZ354" s="55"/>
      <c r="DA354" s="55"/>
      <c r="DB354" s="55"/>
      <c r="DC354" s="55"/>
      <c r="DD354" s="55"/>
      <c r="DE354" s="55"/>
      <c r="DF354" s="55"/>
      <c r="DG354" s="55"/>
      <c r="DH354" s="55"/>
      <c r="DI354" s="55"/>
      <c r="DJ354" s="55"/>
    </row>
    <row r="355" spans="1:114" x14ac:dyDescent="0.25">
      <c r="A355" s="339"/>
      <c r="B355" s="340"/>
      <c r="C355" s="341"/>
      <c r="D355" s="342"/>
      <c r="E355" s="343"/>
      <c r="F355" s="350"/>
      <c r="G355" s="345"/>
      <c r="H355" s="346"/>
      <c r="I355" s="345"/>
      <c r="J355" s="345"/>
      <c r="K355" s="347"/>
      <c r="L355" s="297"/>
      <c r="M355" s="297"/>
      <c r="N355" s="348"/>
      <c r="O355" s="310" t="s">
        <v>929</v>
      </c>
      <c r="P355" s="349" t="s">
        <v>948</v>
      </c>
      <c r="Q355" s="349" t="s">
        <v>966</v>
      </c>
      <c r="R355" s="349" t="s">
        <v>931</v>
      </c>
      <c r="S355" s="349" t="s">
        <v>944</v>
      </c>
      <c r="T355" s="346" t="s">
        <v>935</v>
      </c>
      <c r="U355" s="346" t="s">
        <v>961</v>
      </c>
      <c r="V355" s="346" t="s">
        <v>930</v>
      </c>
      <c r="W355" s="346" t="s">
        <v>967</v>
      </c>
      <c r="X355" s="346" t="s">
        <v>968</v>
      </c>
      <c r="Y355" s="346" t="s">
        <v>952</v>
      </c>
      <c r="Z355" s="346" t="s">
        <v>933</v>
      </c>
      <c r="AA355" s="346" t="s">
        <v>932</v>
      </c>
      <c r="AB355" s="346" t="s">
        <v>952</v>
      </c>
      <c r="AC355" s="346" t="s">
        <v>928</v>
      </c>
      <c r="AD355" s="346" t="s">
        <v>941</v>
      </c>
      <c r="AE355" s="346" t="s">
        <v>969</v>
      </c>
      <c r="AF355" s="346" t="s">
        <v>970</v>
      </c>
      <c r="AG355" s="346" t="s">
        <v>940</v>
      </c>
      <c r="AH355" s="346" t="s">
        <v>971</v>
      </c>
      <c r="AI355" s="346" t="s">
        <v>972</v>
      </c>
      <c r="AJ355" s="346" t="s">
        <v>943</v>
      </c>
      <c r="AK355" s="346" t="s">
        <v>973</v>
      </c>
      <c r="AL355" s="346" t="s">
        <v>960</v>
      </c>
      <c r="AM355" s="346"/>
      <c r="AN355" s="346"/>
      <c r="AO355" s="346"/>
      <c r="AP355" s="346"/>
      <c r="AQ355" s="346"/>
      <c r="AR355" s="346"/>
      <c r="AS355" s="346"/>
      <c r="AT355" s="346"/>
      <c r="AU355" s="346"/>
      <c r="AV355" s="346"/>
      <c r="AW355" s="346"/>
      <c r="AX355" s="346"/>
      <c r="AY355" s="346"/>
      <c r="AZ355" s="346"/>
      <c r="BA355" s="346"/>
      <c r="BB355" s="346"/>
      <c r="BC355" s="346"/>
      <c r="BD355" s="346"/>
      <c r="BE355" s="346"/>
      <c r="BF355" s="346"/>
      <c r="BG355" s="346"/>
      <c r="BH355" s="346"/>
      <c r="BI355" s="346"/>
      <c r="BJ355" s="346"/>
      <c r="BK355" s="346"/>
      <c r="BL355" s="346"/>
      <c r="BM355" s="346"/>
      <c r="BN355" s="346"/>
      <c r="BO355" s="346"/>
      <c r="BP355" s="346"/>
      <c r="BQ355" s="346"/>
      <c r="BR355" s="346"/>
      <c r="BS355" s="346"/>
      <c r="BT355" s="346"/>
      <c r="BU355" s="346"/>
      <c r="BV355" s="346"/>
      <c r="BW355" s="346"/>
      <c r="BX355" s="346"/>
      <c r="BY355" s="346"/>
      <c r="BZ355" s="346"/>
      <c r="CA355" s="346"/>
      <c r="CB355" s="346"/>
      <c r="CC355" s="346"/>
      <c r="CD355" s="346"/>
      <c r="CE355" s="346"/>
      <c r="CF355" s="346"/>
      <c r="CG355" s="346"/>
      <c r="CH355" s="346"/>
      <c r="CI355" s="346"/>
      <c r="CJ355" s="346"/>
      <c r="CK355" s="346"/>
      <c r="CL355" s="346"/>
      <c r="CM355" s="346"/>
      <c r="CN355" s="346"/>
      <c r="CO355" s="346"/>
      <c r="CP355" s="346"/>
      <c r="CQ355" s="346"/>
      <c r="CR355" s="346"/>
      <c r="CS355" s="346"/>
      <c r="CT355" s="346"/>
      <c r="CU355" s="346"/>
      <c r="CV355" s="346"/>
      <c r="CW355" s="346"/>
      <c r="CX355" s="346"/>
      <c r="CY355" s="346"/>
      <c r="CZ355" s="346"/>
      <c r="DA355" s="346"/>
      <c r="DB355" s="346"/>
      <c r="DC355" s="346"/>
      <c r="DD355" s="346"/>
      <c r="DE355" s="346"/>
      <c r="DF355" s="346"/>
      <c r="DG355" s="346"/>
      <c r="DH355" s="346"/>
      <c r="DI355" s="346"/>
      <c r="DJ355" s="346"/>
    </row>
    <row r="356" spans="1:114" x14ac:dyDescent="0.25">
      <c r="A356" s="120">
        <v>2</v>
      </c>
      <c r="B356" s="79" t="s">
        <v>127</v>
      </c>
      <c r="C356" s="80">
        <v>2500</v>
      </c>
      <c r="D356" s="81">
        <v>97.69</v>
      </c>
      <c r="E356" s="59">
        <v>0</v>
      </c>
      <c r="F356" s="60">
        <f>4800-4800</f>
        <v>0</v>
      </c>
      <c r="G356" s="56">
        <f t="shared" si="159"/>
        <v>0</v>
      </c>
      <c r="H356" s="55">
        <f>4800-4800+45912-45912</f>
        <v>0</v>
      </c>
      <c r="I356" s="56">
        <f t="shared" si="160"/>
        <v>0</v>
      </c>
      <c r="J356" s="56">
        <f t="shared" si="161"/>
        <v>0</v>
      </c>
      <c r="K356" s="57">
        <f t="shared" si="162"/>
        <v>0</v>
      </c>
      <c r="L356" s="297"/>
      <c r="M356" s="297">
        <f>13896-13896</f>
        <v>0</v>
      </c>
      <c r="N356" s="314">
        <f t="shared" si="158"/>
        <v>149405</v>
      </c>
      <c r="O356" s="310">
        <v>4800</v>
      </c>
      <c r="P356" s="315">
        <v>10560</v>
      </c>
      <c r="Q356" s="315">
        <v>4440</v>
      </c>
      <c r="R356" s="315">
        <v>4800</v>
      </c>
      <c r="S356" s="315">
        <v>4800</v>
      </c>
      <c r="T356" s="55">
        <v>4728</v>
      </c>
      <c r="U356" s="55">
        <v>15006</v>
      </c>
      <c r="V356" s="55">
        <v>4680</v>
      </c>
      <c r="W356" s="55">
        <v>4800</v>
      </c>
      <c r="X356" s="55">
        <v>4788</v>
      </c>
      <c r="Y356" s="55">
        <v>12000</v>
      </c>
      <c r="Z356" s="55">
        <v>4727</v>
      </c>
      <c r="AA356" s="55">
        <v>4800</v>
      </c>
      <c r="AB356" s="55">
        <v>2400</v>
      </c>
      <c r="AC356" s="55">
        <v>4800</v>
      </c>
      <c r="AD356" s="55">
        <v>4800</v>
      </c>
      <c r="AE356" s="55">
        <v>4794</v>
      </c>
      <c r="AF356" s="55">
        <v>4676</v>
      </c>
      <c r="AG356" s="55">
        <v>4788</v>
      </c>
      <c r="AH356" s="55">
        <v>4800</v>
      </c>
      <c r="AI356" s="55">
        <v>24</v>
      </c>
      <c r="AJ356" s="55">
        <v>4788</v>
      </c>
      <c r="AK356" s="55">
        <v>4726</v>
      </c>
      <c r="AL356" s="55">
        <v>23880</v>
      </c>
      <c r="AM356" s="55"/>
      <c r="AN356" s="55"/>
      <c r="AO356" s="55"/>
      <c r="AP356" s="55"/>
      <c r="AQ356" s="55"/>
      <c r="AR356" s="55"/>
      <c r="AS356" s="55"/>
      <c r="AT356" s="55"/>
      <c r="AU356" s="55"/>
      <c r="AV356" s="55"/>
      <c r="AW356" s="55"/>
      <c r="AX356" s="55"/>
      <c r="AY356" s="55"/>
      <c r="AZ356" s="55"/>
      <c r="BA356" s="55"/>
      <c r="BB356" s="55"/>
      <c r="BC356" s="55"/>
      <c r="BD356" s="55"/>
      <c r="BE356" s="55"/>
      <c r="BF356" s="55"/>
      <c r="BG356" s="55"/>
      <c r="BH356" s="55"/>
      <c r="BI356" s="55"/>
      <c r="BJ356" s="55"/>
      <c r="BK356" s="55"/>
      <c r="BL356" s="55"/>
      <c r="BM356" s="55"/>
      <c r="BN356" s="55"/>
      <c r="BO356" s="55"/>
      <c r="BP356" s="55"/>
      <c r="BQ356" s="55"/>
      <c r="BR356" s="55"/>
      <c r="BS356" s="55"/>
      <c r="BT356" s="55"/>
      <c r="BU356" s="55"/>
      <c r="BV356" s="55"/>
      <c r="BW356" s="55"/>
      <c r="BX356" s="55"/>
      <c r="BY356" s="55"/>
      <c r="BZ356" s="55"/>
      <c r="CA356" s="55"/>
      <c r="CB356" s="55"/>
      <c r="CC356" s="55"/>
      <c r="CD356" s="55"/>
      <c r="CE356" s="55"/>
      <c r="CF356" s="55"/>
      <c r="CG356" s="55"/>
      <c r="CH356" s="55"/>
      <c r="CI356" s="55"/>
      <c r="CJ356" s="55"/>
      <c r="CK356" s="55"/>
      <c r="CL356" s="55"/>
      <c r="CM356" s="55"/>
      <c r="CN356" s="55"/>
      <c r="CO356" s="55"/>
      <c r="CP356" s="55"/>
      <c r="CQ356" s="55"/>
      <c r="CR356" s="55"/>
      <c r="CS356" s="55"/>
      <c r="CT356" s="55"/>
      <c r="CU356" s="55"/>
      <c r="CV356" s="55"/>
      <c r="CW356" s="55"/>
      <c r="CX356" s="55"/>
      <c r="CY356" s="55"/>
      <c r="CZ356" s="55"/>
      <c r="DA356" s="55"/>
      <c r="DB356" s="55"/>
      <c r="DC356" s="55"/>
      <c r="DD356" s="55"/>
      <c r="DE356" s="55"/>
      <c r="DF356" s="55"/>
      <c r="DG356" s="55"/>
      <c r="DH356" s="55"/>
      <c r="DI356" s="55"/>
      <c r="DJ356" s="55"/>
    </row>
    <row r="357" spans="1:114" x14ac:dyDescent="0.25">
      <c r="A357" s="120">
        <v>3</v>
      </c>
      <c r="B357" s="79" t="s">
        <v>128</v>
      </c>
      <c r="C357" s="80">
        <v>25000</v>
      </c>
      <c r="D357" s="81">
        <v>178.49</v>
      </c>
      <c r="E357" s="59">
        <v>100</v>
      </c>
      <c r="F357" s="60"/>
      <c r="G357" s="56">
        <f t="shared" si="159"/>
        <v>100</v>
      </c>
      <c r="H357" s="55"/>
      <c r="I357" s="56">
        <f t="shared" si="160"/>
        <v>100</v>
      </c>
      <c r="J357" s="56">
        <f t="shared" si="161"/>
        <v>2500000</v>
      </c>
      <c r="K357" s="57">
        <f t="shared" si="162"/>
        <v>17849</v>
      </c>
      <c r="L357" s="297"/>
      <c r="M357" s="297"/>
      <c r="N357" s="314">
        <f t="shared" si="158"/>
        <v>0</v>
      </c>
      <c r="O357" s="310"/>
      <c r="P357" s="315"/>
      <c r="Q357" s="315"/>
      <c r="R357" s="315"/>
      <c r="S357" s="315"/>
      <c r="T357" s="55"/>
      <c r="U357" s="55"/>
      <c r="V357" s="55"/>
      <c r="W357" s="55"/>
      <c r="X357" s="55"/>
      <c r="Y357" s="55"/>
      <c r="Z357" s="55"/>
      <c r="AA357" s="55"/>
      <c r="AB357" s="55"/>
      <c r="AC357" s="55"/>
      <c r="AD357" s="55"/>
      <c r="AE357" s="55"/>
      <c r="AF357" s="55"/>
      <c r="AG357" s="55"/>
      <c r="AH357" s="55"/>
      <c r="AI357" s="55"/>
      <c r="AJ357" s="55"/>
      <c r="AK357" s="55"/>
      <c r="AL357" s="55"/>
      <c r="AM357" s="55"/>
      <c r="AN357" s="55"/>
      <c r="AO357" s="55"/>
      <c r="AP357" s="55"/>
      <c r="AQ357" s="55"/>
      <c r="AR357" s="55"/>
      <c r="AS357" s="55"/>
      <c r="AT357" s="55"/>
      <c r="AU357" s="55"/>
      <c r="AV357" s="55"/>
      <c r="AW357" s="55"/>
      <c r="AX357" s="55"/>
      <c r="AY357" s="55"/>
      <c r="AZ357" s="55"/>
      <c r="BA357" s="55"/>
      <c r="BB357" s="55"/>
      <c r="BC357" s="55"/>
      <c r="BD357" s="55"/>
      <c r="BE357" s="55"/>
      <c r="BF357" s="55"/>
      <c r="BG357" s="55"/>
      <c r="BH357" s="55"/>
      <c r="BI357" s="55"/>
      <c r="BJ357" s="55"/>
      <c r="BK357" s="55"/>
      <c r="BL357" s="55"/>
      <c r="BM357" s="55"/>
      <c r="BN357" s="55"/>
      <c r="BO357" s="55"/>
      <c r="BP357" s="55"/>
      <c r="BQ357" s="55"/>
      <c r="BR357" s="55"/>
      <c r="BS357" s="55"/>
      <c r="BT357" s="55"/>
      <c r="BU357" s="55"/>
      <c r="BV357" s="55"/>
      <c r="BW357" s="55"/>
      <c r="BX357" s="55"/>
      <c r="BY357" s="55"/>
      <c r="BZ357" s="55"/>
      <c r="CA357" s="55"/>
      <c r="CB357" s="55"/>
      <c r="CC357" s="55"/>
      <c r="CD357" s="55"/>
      <c r="CE357" s="55"/>
      <c r="CF357" s="55"/>
      <c r="CG357" s="55"/>
      <c r="CH357" s="55"/>
      <c r="CI357" s="55"/>
      <c r="CJ357" s="55"/>
      <c r="CK357" s="55"/>
      <c r="CL357" s="55"/>
      <c r="CM357" s="55"/>
      <c r="CN357" s="55"/>
      <c r="CO357" s="55"/>
      <c r="CP357" s="55"/>
      <c r="CQ357" s="55"/>
      <c r="CR357" s="55"/>
      <c r="CS357" s="55"/>
      <c r="CT357" s="55"/>
      <c r="CU357" s="55"/>
      <c r="CV357" s="55"/>
      <c r="CW357" s="55"/>
      <c r="CX357" s="55"/>
      <c r="CY357" s="55"/>
      <c r="CZ357" s="55"/>
      <c r="DA357" s="55"/>
      <c r="DB357" s="55"/>
      <c r="DC357" s="55"/>
      <c r="DD357" s="55"/>
      <c r="DE357" s="55"/>
      <c r="DF357" s="55"/>
      <c r="DG357" s="55"/>
      <c r="DH357" s="55"/>
      <c r="DI357" s="55"/>
      <c r="DJ357" s="55"/>
    </row>
    <row r="358" spans="1:114" x14ac:dyDescent="0.25">
      <c r="A358" s="120">
        <v>4</v>
      </c>
      <c r="B358" s="79" t="s">
        <v>129</v>
      </c>
      <c r="C358" s="80">
        <v>5000</v>
      </c>
      <c r="D358" s="81">
        <v>123.6</v>
      </c>
      <c r="E358" s="59">
        <v>0</v>
      </c>
      <c r="F358" s="60"/>
      <c r="G358" s="56">
        <f t="shared" si="159"/>
        <v>0</v>
      </c>
      <c r="H358" s="55">
        <f>25500-25500</f>
        <v>0</v>
      </c>
      <c r="I358" s="56">
        <f t="shared" si="160"/>
        <v>0</v>
      </c>
      <c r="J358" s="56">
        <f t="shared" si="161"/>
        <v>0</v>
      </c>
      <c r="K358" s="57">
        <f t="shared" si="162"/>
        <v>0</v>
      </c>
      <c r="L358" s="297"/>
      <c r="M358" s="297"/>
      <c r="N358" s="314">
        <f t="shared" si="158"/>
        <v>0</v>
      </c>
      <c r="O358" s="310"/>
      <c r="P358" s="315"/>
      <c r="Q358" s="315"/>
      <c r="R358" s="315"/>
      <c r="S358" s="315"/>
      <c r="T358" s="55"/>
      <c r="U358" s="55"/>
      <c r="V358" s="55"/>
      <c r="W358" s="55"/>
      <c r="X358" s="55"/>
      <c r="Y358" s="55"/>
      <c r="Z358" s="55"/>
      <c r="AA358" s="55"/>
      <c r="AB358" s="55"/>
      <c r="AC358" s="55"/>
      <c r="AD358" s="55"/>
      <c r="AE358" s="55"/>
      <c r="AF358" s="55"/>
      <c r="AG358" s="55"/>
      <c r="AH358" s="55"/>
      <c r="AI358" s="55"/>
      <c r="AJ358" s="55"/>
      <c r="AK358" s="55"/>
      <c r="AL358" s="55"/>
      <c r="AM358" s="55"/>
      <c r="AN358" s="55"/>
      <c r="AO358" s="55"/>
      <c r="AP358" s="55"/>
      <c r="AQ358" s="55"/>
      <c r="AR358" s="55"/>
      <c r="AS358" s="55"/>
      <c r="AT358" s="55"/>
      <c r="AU358" s="55"/>
      <c r="AV358" s="55"/>
      <c r="AW358" s="55"/>
      <c r="AX358" s="55"/>
      <c r="AY358" s="55"/>
      <c r="AZ358" s="55"/>
      <c r="BA358" s="55"/>
      <c r="BB358" s="55"/>
      <c r="BC358" s="55"/>
      <c r="BD358" s="55"/>
      <c r="BE358" s="55"/>
      <c r="BF358" s="55"/>
      <c r="BG358" s="55"/>
      <c r="BH358" s="55"/>
      <c r="BI358" s="55"/>
      <c r="BJ358" s="55"/>
      <c r="BK358" s="55"/>
      <c r="BL358" s="55"/>
      <c r="BM358" s="55"/>
      <c r="BN358" s="55"/>
      <c r="BO358" s="55"/>
      <c r="BP358" s="55"/>
      <c r="BQ358" s="55"/>
      <c r="BR358" s="55"/>
      <c r="BS358" s="55"/>
      <c r="BT358" s="55"/>
      <c r="BU358" s="55"/>
      <c r="BV358" s="55"/>
      <c r="BW358" s="55"/>
      <c r="BX358" s="55"/>
      <c r="BY358" s="55"/>
      <c r="BZ358" s="55"/>
      <c r="CA358" s="55"/>
      <c r="CB358" s="55"/>
      <c r="CC358" s="55"/>
      <c r="CD358" s="55"/>
      <c r="CE358" s="55"/>
      <c r="CF358" s="55"/>
      <c r="CG358" s="55"/>
      <c r="CH358" s="55"/>
      <c r="CI358" s="55"/>
      <c r="CJ358" s="55"/>
      <c r="CK358" s="55"/>
      <c r="CL358" s="55"/>
      <c r="CM358" s="55"/>
      <c r="CN358" s="55"/>
      <c r="CO358" s="55"/>
      <c r="CP358" s="55"/>
      <c r="CQ358" s="55"/>
      <c r="CR358" s="55"/>
      <c r="CS358" s="55"/>
      <c r="CT358" s="55"/>
      <c r="CU358" s="55"/>
      <c r="CV358" s="55"/>
      <c r="CW358" s="55"/>
      <c r="CX358" s="55"/>
      <c r="CY358" s="55"/>
      <c r="CZ358" s="55"/>
      <c r="DA358" s="55"/>
      <c r="DB358" s="55"/>
      <c r="DC358" s="55"/>
      <c r="DD358" s="55"/>
      <c r="DE358" s="55"/>
      <c r="DF358" s="55"/>
      <c r="DG358" s="55"/>
      <c r="DH358" s="55"/>
      <c r="DI358" s="55"/>
      <c r="DJ358" s="55"/>
    </row>
    <row r="359" spans="1:114" x14ac:dyDescent="0.25">
      <c r="A359" s="339"/>
      <c r="B359" s="340"/>
      <c r="C359" s="341"/>
      <c r="D359" s="342"/>
      <c r="E359" s="343"/>
      <c r="F359" s="350"/>
      <c r="G359" s="345"/>
      <c r="H359" s="346"/>
      <c r="I359" s="345"/>
      <c r="J359" s="345"/>
      <c r="K359" s="347"/>
      <c r="L359" s="297"/>
      <c r="M359" s="297"/>
      <c r="N359" s="348"/>
      <c r="O359" s="310" t="s">
        <v>951</v>
      </c>
      <c r="P359" s="349" t="s">
        <v>928</v>
      </c>
      <c r="Q359" s="349" t="s">
        <v>941</v>
      </c>
      <c r="R359" s="349" t="s">
        <v>960</v>
      </c>
      <c r="S359" s="349" t="s">
        <v>930</v>
      </c>
      <c r="T359" s="346" t="s">
        <v>945</v>
      </c>
      <c r="U359" s="346" t="s">
        <v>966</v>
      </c>
      <c r="V359" s="346" t="s">
        <v>960</v>
      </c>
      <c r="W359" s="346" t="s">
        <v>933</v>
      </c>
      <c r="X359" s="346" t="s">
        <v>932</v>
      </c>
      <c r="Y359" s="346" t="s">
        <v>960</v>
      </c>
      <c r="Z359" s="346" t="s">
        <v>944</v>
      </c>
      <c r="AA359" s="346" t="s">
        <v>967</v>
      </c>
      <c r="AB359" s="346" t="s">
        <v>931</v>
      </c>
      <c r="AC359" s="346" t="s">
        <v>968</v>
      </c>
      <c r="AD359" s="346" t="s">
        <v>952</v>
      </c>
      <c r="AE359" s="346" t="s">
        <v>973</v>
      </c>
      <c r="AF359" s="346" t="s">
        <v>943</v>
      </c>
      <c r="AG359" s="346" t="s">
        <v>943</v>
      </c>
      <c r="AH359" s="346" t="s">
        <v>940</v>
      </c>
      <c r="AI359" s="346" t="s">
        <v>971</v>
      </c>
      <c r="AJ359" s="346"/>
      <c r="AK359" s="346"/>
      <c r="AL359" s="346"/>
      <c r="AM359" s="346"/>
      <c r="AN359" s="346"/>
      <c r="AO359" s="346"/>
      <c r="AP359" s="346"/>
      <c r="AQ359" s="346"/>
      <c r="AR359" s="346"/>
      <c r="AS359" s="346"/>
      <c r="AT359" s="346"/>
      <c r="AU359" s="346"/>
      <c r="AV359" s="346"/>
      <c r="AW359" s="346"/>
      <c r="AX359" s="346"/>
      <c r="AY359" s="346"/>
      <c r="AZ359" s="346"/>
      <c r="BA359" s="346"/>
      <c r="BB359" s="346"/>
      <c r="BC359" s="346"/>
      <c r="BD359" s="346"/>
      <c r="BE359" s="346"/>
      <c r="BF359" s="346"/>
      <c r="BG359" s="346"/>
      <c r="BH359" s="346"/>
      <c r="BI359" s="346"/>
      <c r="BJ359" s="346"/>
      <c r="BK359" s="346"/>
      <c r="BL359" s="346"/>
      <c r="BM359" s="346"/>
      <c r="BN359" s="346"/>
      <c r="BO359" s="346"/>
      <c r="BP359" s="346"/>
      <c r="BQ359" s="346"/>
      <c r="BR359" s="346"/>
      <c r="BS359" s="346"/>
      <c r="BT359" s="346"/>
      <c r="BU359" s="346"/>
      <c r="BV359" s="346"/>
      <c r="BW359" s="346"/>
      <c r="BX359" s="346"/>
      <c r="BY359" s="346"/>
      <c r="BZ359" s="346"/>
      <c r="CA359" s="346"/>
      <c r="CB359" s="346"/>
      <c r="CC359" s="346"/>
      <c r="CD359" s="346"/>
      <c r="CE359" s="346"/>
      <c r="CF359" s="346"/>
      <c r="CG359" s="346"/>
      <c r="CH359" s="346"/>
      <c r="CI359" s="346"/>
      <c r="CJ359" s="346"/>
      <c r="CK359" s="346"/>
      <c r="CL359" s="346"/>
      <c r="CM359" s="346"/>
      <c r="CN359" s="346"/>
      <c r="CO359" s="346"/>
      <c r="CP359" s="346"/>
      <c r="CQ359" s="346"/>
      <c r="CR359" s="346"/>
      <c r="CS359" s="346"/>
      <c r="CT359" s="346"/>
      <c r="CU359" s="346"/>
      <c r="CV359" s="346"/>
      <c r="CW359" s="346"/>
      <c r="CX359" s="346"/>
      <c r="CY359" s="346"/>
      <c r="CZ359" s="346"/>
      <c r="DA359" s="346"/>
      <c r="DB359" s="346"/>
      <c r="DC359" s="346"/>
      <c r="DD359" s="346"/>
      <c r="DE359" s="346"/>
      <c r="DF359" s="346"/>
      <c r="DG359" s="346"/>
      <c r="DH359" s="346"/>
      <c r="DI359" s="346"/>
      <c r="DJ359" s="346"/>
    </row>
    <row r="360" spans="1:114" x14ac:dyDescent="0.25">
      <c r="A360" s="227">
        <v>5</v>
      </c>
      <c r="B360" s="79" t="s">
        <v>778</v>
      </c>
      <c r="C360" s="80">
        <v>2500</v>
      </c>
      <c r="D360" s="81">
        <v>106.59</v>
      </c>
      <c r="E360" s="59">
        <v>0</v>
      </c>
      <c r="F360" s="60"/>
      <c r="G360" s="56">
        <f t="shared" si="159"/>
        <v>0</v>
      </c>
      <c r="H360" s="139">
        <f>4800-4800+74400-74400+46416-46416</f>
        <v>0</v>
      </c>
      <c r="I360" s="56">
        <f t="shared" si="160"/>
        <v>0</v>
      </c>
      <c r="J360" s="56">
        <f t="shared" si="161"/>
        <v>0</v>
      </c>
      <c r="K360" s="57">
        <f t="shared" si="162"/>
        <v>0</v>
      </c>
      <c r="L360" s="297"/>
      <c r="M360" s="297">
        <v>76720</v>
      </c>
      <c r="N360" s="314">
        <f t="shared" si="158"/>
        <v>128020</v>
      </c>
      <c r="O360" s="310">
        <v>6000</v>
      </c>
      <c r="P360" s="315">
        <v>3600</v>
      </c>
      <c r="Q360" s="315">
        <v>4800</v>
      </c>
      <c r="R360" s="315">
        <v>35808</v>
      </c>
      <c r="S360" s="315">
        <v>4032</v>
      </c>
      <c r="T360" s="55">
        <v>3576</v>
      </c>
      <c r="U360" s="55">
        <v>4680</v>
      </c>
      <c r="V360" s="55">
        <v>12000</v>
      </c>
      <c r="W360" s="55">
        <v>4668</v>
      </c>
      <c r="X360" s="55">
        <v>4800</v>
      </c>
      <c r="Y360" s="55">
        <v>12000</v>
      </c>
      <c r="Z360" s="55">
        <v>2656</v>
      </c>
      <c r="AA360" s="55">
        <v>4800</v>
      </c>
      <c r="AB360" s="55">
        <v>3700</v>
      </c>
      <c r="AC360" s="55">
        <v>4544</v>
      </c>
      <c r="AD360" s="55">
        <v>3600</v>
      </c>
      <c r="AE360" s="55">
        <v>96</v>
      </c>
      <c r="AF360" s="55">
        <v>672</v>
      </c>
      <c r="AG360" s="55">
        <v>2400</v>
      </c>
      <c r="AH360" s="55">
        <v>4788</v>
      </c>
      <c r="AI360" s="55">
        <v>4800</v>
      </c>
      <c r="AJ360" s="55"/>
      <c r="AK360" s="55"/>
      <c r="AL360" s="55"/>
      <c r="AM360" s="55"/>
      <c r="AN360" s="55"/>
      <c r="AO360" s="55"/>
      <c r="AP360" s="55"/>
      <c r="AQ360" s="55"/>
      <c r="AR360" s="55"/>
      <c r="AS360" s="55"/>
      <c r="AT360" s="55"/>
      <c r="AU360" s="55"/>
      <c r="AV360" s="55"/>
      <c r="AW360" s="55"/>
      <c r="AX360" s="55"/>
      <c r="AY360" s="55"/>
      <c r="AZ360" s="55"/>
      <c r="BA360" s="55"/>
      <c r="BB360" s="55"/>
      <c r="BC360" s="55"/>
      <c r="BD360" s="55"/>
      <c r="BE360" s="55"/>
      <c r="BF360" s="55"/>
      <c r="BG360" s="55"/>
      <c r="BH360" s="55"/>
      <c r="BI360" s="55"/>
      <c r="BJ360" s="55"/>
      <c r="BK360" s="55"/>
      <c r="BL360" s="55"/>
      <c r="BM360" s="55"/>
      <c r="BN360" s="55"/>
      <c r="BO360" s="55"/>
      <c r="BP360" s="55"/>
      <c r="BQ360" s="55"/>
      <c r="BR360" s="55"/>
      <c r="BS360" s="55"/>
      <c r="BT360" s="55"/>
      <c r="BU360" s="55"/>
      <c r="BV360" s="55"/>
      <c r="BW360" s="55"/>
      <c r="BX360" s="55"/>
      <c r="BY360" s="55"/>
      <c r="BZ360" s="55"/>
      <c r="CA360" s="55"/>
      <c r="CB360" s="55"/>
      <c r="CC360" s="55"/>
      <c r="CD360" s="55"/>
      <c r="CE360" s="55"/>
      <c r="CF360" s="55"/>
      <c r="CG360" s="55"/>
      <c r="CH360" s="55"/>
      <c r="CI360" s="55"/>
      <c r="CJ360" s="55"/>
      <c r="CK360" s="55"/>
      <c r="CL360" s="55"/>
      <c r="CM360" s="55"/>
      <c r="CN360" s="55"/>
      <c r="CO360" s="55"/>
      <c r="CP360" s="55"/>
      <c r="CQ360" s="55"/>
      <c r="CR360" s="55"/>
      <c r="CS360" s="55"/>
      <c r="CT360" s="55"/>
      <c r="CU360" s="55"/>
      <c r="CV360" s="55"/>
      <c r="CW360" s="55"/>
      <c r="CX360" s="55"/>
      <c r="CY360" s="55"/>
      <c r="CZ360" s="55"/>
      <c r="DA360" s="55"/>
      <c r="DB360" s="55"/>
      <c r="DC360" s="55"/>
      <c r="DD360" s="55"/>
      <c r="DE360" s="55"/>
      <c r="DF360" s="55"/>
      <c r="DG360" s="55"/>
      <c r="DH360" s="55"/>
      <c r="DI360" s="55"/>
      <c r="DJ360" s="55"/>
    </row>
    <row r="361" spans="1:114" x14ac:dyDescent="0.25">
      <c r="A361" s="355"/>
      <c r="B361" s="340"/>
      <c r="C361" s="341"/>
      <c r="D361" s="342"/>
      <c r="E361" s="343"/>
      <c r="F361" s="350"/>
      <c r="G361" s="345"/>
      <c r="H361" s="356"/>
      <c r="I361" s="345"/>
      <c r="J361" s="345"/>
      <c r="K361" s="347"/>
      <c r="L361" s="297"/>
      <c r="M361" s="297"/>
      <c r="N361" s="348"/>
      <c r="O361" s="310" t="s">
        <v>930</v>
      </c>
      <c r="P361" s="349" t="s">
        <v>966</v>
      </c>
      <c r="Q361" s="349" t="s">
        <v>960</v>
      </c>
      <c r="R361" s="349" t="s">
        <v>967</v>
      </c>
      <c r="S361" s="349" t="s">
        <v>968</v>
      </c>
      <c r="T361" s="346" t="s">
        <v>931</v>
      </c>
      <c r="U361" s="346" t="s">
        <v>944</v>
      </c>
      <c r="V361" s="346" t="s">
        <v>935</v>
      </c>
      <c r="W361" s="346" t="s">
        <v>948</v>
      </c>
      <c r="X361" s="346" t="s">
        <v>932</v>
      </c>
      <c r="Y361" s="346" t="s">
        <v>941</v>
      </c>
      <c r="Z361" s="346" t="s">
        <v>928</v>
      </c>
      <c r="AA361" s="346" t="s">
        <v>973</v>
      </c>
      <c r="AB361" s="346" t="s">
        <v>940</v>
      </c>
      <c r="AC361" s="346"/>
      <c r="AD361" s="346"/>
      <c r="AE361" s="346"/>
      <c r="AF361" s="346"/>
      <c r="AG361" s="346"/>
      <c r="AH361" s="346"/>
      <c r="AI361" s="346"/>
      <c r="AJ361" s="346"/>
      <c r="AK361" s="346"/>
      <c r="AL361" s="346"/>
      <c r="AM361" s="346"/>
      <c r="AN361" s="346"/>
      <c r="AO361" s="346"/>
      <c r="AP361" s="346"/>
      <c r="AQ361" s="346"/>
      <c r="AR361" s="346"/>
      <c r="AS361" s="346"/>
      <c r="AT361" s="346"/>
      <c r="AU361" s="346"/>
      <c r="AV361" s="346"/>
      <c r="AW361" s="346"/>
      <c r="AX361" s="346"/>
      <c r="AY361" s="346"/>
      <c r="AZ361" s="346"/>
      <c r="BA361" s="346"/>
      <c r="BB361" s="346"/>
      <c r="BC361" s="346"/>
      <c r="BD361" s="346"/>
      <c r="BE361" s="346"/>
      <c r="BF361" s="346"/>
      <c r="BG361" s="346"/>
      <c r="BH361" s="346"/>
      <c r="BI361" s="346"/>
      <c r="BJ361" s="346"/>
      <c r="BK361" s="346"/>
      <c r="BL361" s="346"/>
      <c r="BM361" s="346"/>
      <c r="BN361" s="346"/>
      <c r="BO361" s="346"/>
      <c r="BP361" s="346"/>
      <c r="BQ361" s="346"/>
      <c r="BR361" s="346"/>
      <c r="BS361" s="346"/>
      <c r="BT361" s="346"/>
      <c r="BU361" s="346"/>
      <c r="BV361" s="346"/>
      <c r="BW361" s="346"/>
      <c r="BX361" s="346"/>
      <c r="BY361" s="346"/>
      <c r="BZ361" s="346"/>
      <c r="CA361" s="346"/>
      <c r="CB361" s="346"/>
      <c r="CC361" s="346"/>
      <c r="CD361" s="346"/>
      <c r="CE361" s="346"/>
      <c r="CF361" s="346"/>
      <c r="CG361" s="346"/>
      <c r="CH361" s="346"/>
      <c r="CI361" s="346"/>
      <c r="CJ361" s="346"/>
      <c r="CK361" s="346"/>
      <c r="CL361" s="346"/>
      <c r="CM361" s="346"/>
      <c r="CN361" s="346"/>
      <c r="CO361" s="346"/>
      <c r="CP361" s="346"/>
      <c r="CQ361" s="346"/>
      <c r="CR361" s="346"/>
      <c r="CS361" s="346"/>
      <c r="CT361" s="346"/>
      <c r="CU361" s="346"/>
      <c r="CV361" s="346"/>
      <c r="CW361" s="346"/>
      <c r="CX361" s="346"/>
      <c r="CY361" s="346"/>
      <c r="CZ361" s="346"/>
      <c r="DA361" s="346"/>
      <c r="DB361" s="346"/>
      <c r="DC361" s="346"/>
      <c r="DD361" s="346"/>
      <c r="DE361" s="346"/>
      <c r="DF361" s="346"/>
      <c r="DG361" s="346"/>
      <c r="DH361" s="346"/>
      <c r="DI361" s="346"/>
      <c r="DJ361" s="346"/>
    </row>
    <row r="362" spans="1:114" x14ac:dyDescent="0.25">
      <c r="A362" s="120">
        <v>6</v>
      </c>
      <c r="B362" s="79" t="s">
        <v>130</v>
      </c>
      <c r="C362" s="80">
        <v>2000</v>
      </c>
      <c r="D362" s="81">
        <v>125.81</v>
      </c>
      <c r="E362" s="59">
        <v>9000</v>
      </c>
      <c r="F362" s="60"/>
      <c r="G362" s="56">
        <f t="shared" si="159"/>
        <v>9000</v>
      </c>
      <c r="H362" s="55"/>
      <c r="I362" s="56">
        <f t="shared" si="160"/>
        <v>9000</v>
      </c>
      <c r="J362" s="56">
        <f t="shared" si="161"/>
        <v>18000000</v>
      </c>
      <c r="K362" s="57">
        <f t="shared" si="162"/>
        <v>1132290</v>
      </c>
      <c r="L362" s="297"/>
      <c r="M362" s="297">
        <f>0-0</f>
        <v>0</v>
      </c>
      <c r="N362" s="314">
        <f t="shared" si="158"/>
        <v>25900</v>
      </c>
      <c r="O362" s="310">
        <v>1800</v>
      </c>
      <c r="P362" s="315">
        <v>1702</v>
      </c>
      <c r="Q362" s="315">
        <v>3960</v>
      </c>
      <c r="R362" s="315">
        <v>1800</v>
      </c>
      <c r="S362" s="315">
        <v>1546</v>
      </c>
      <c r="T362" s="55">
        <v>1044</v>
      </c>
      <c r="U362" s="55">
        <v>1800</v>
      </c>
      <c r="V362" s="55">
        <v>690</v>
      </c>
      <c r="W362" s="55">
        <v>2570</v>
      </c>
      <c r="X362" s="55">
        <v>1800</v>
      </c>
      <c r="Y362" s="55">
        <v>1800</v>
      </c>
      <c r="Z362" s="55">
        <v>1800</v>
      </c>
      <c r="AA362" s="55">
        <v>1800</v>
      </c>
      <c r="AB362" s="55">
        <v>1788</v>
      </c>
      <c r="AC362" s="55"/>
      <c r="AD362" s="55"/>
      <c r="AE362" s="55"/>
      <c r="AF362" s="55"/>
      <c r="AG362" s="55"/>
      <c r="AH362" s="55"/>
      <c r="AI362" s="55"/>
      <c r="AJ362" s="55"/>
      <c r="AK362" s="55"/>
      <c r="AL362" s="55"/>
      <c r="AM362" s="55"/>
      <c r="AN362" s="55"/>
      <c r="AO362" s="55"/>
      <c r="AP362" s="55"/>
      <c r="AQ362" s="55"/>
      <c r="AR362" s="55"/>
      <c r="AS362" s="55"/>
      <c r="AT362" s="55"/>
      <c r="AU362" s="55"/>
      <c r="AV362" s="55"/>
      <c r="AW362" s="55"/>
      <c r="AX362" s="55"/>
      <c r="AY362" s="55"/>
      <c r="AZ362" s="55"/>
      <c r="BA362" s="55"/>
      <c r="BB362" s="55"/>
      <c r="BC362" s="55"/>
      <c r="BD362" s="55"/>
      <c r="BE362" s="55"/>
      <c r="BF362" s="55"/>
      <c r="BG362" s="55"/>
      <c r="BH362" s="55"/>
      <c r="BI362" s="55"/>
      <c r="BJ362" s="55"/>
      <c r="BK362" s="55"/>
      <c r="BL362" s="55"/>
      <c r="BM362" s="55"/>
      <c r="BN362" s="55"/>
      <c r="BO362" s="55"/>
      <c r="BP362" s="55"/>
      <c r="BQ362" s="55"/>
      <c r="BR362" s="55"/>
      <c r="BS362" s="55"/>
      <c r="BT362" s="55"/>
      <c r="BU362" s="55"/>
      <c r="BV362" s="55"/>
      <c r="BW362" s="55"/>
      <c r="BX362" s="55"/>
      <c r="BY362" s="55"/>
      <c r="BZ362" s="55"/>
      <c r="CA362" s="55"/>
      <c r="CB362" s="55"/>
      <c r="CC362" s="55"/>
      <c r="CD362" s="55"/>
      <c r="CE362" s="55"/>
      <c r="CF362" s="55"/>
      <c r="CG362" s="55"/>
      <c r="CH362" s="55"/>
      <c r="CI362" s="55"/>
      <c r="CJ362" s="55"/>
      <c r="CK362" s="55"/>
      <c r="CL362" s="55"/>
      <c r="CM362" s="55"/>
      <c r="CN362" s="55"/>
      <c r="CO362" s="55"/>
      <c r="CP362" s="55"/>
      <c r="CQ362" s="55"/>
      <c r="CR362" s="55"/>
      <c r="CS362" s="55"/>
      <c r="CT362" s="55"/>
      <c r="CU362" s="55"/>
      <c r="CV362" s="55"/>
      <c r="CW362" s="55"/>
      <c r="CX362" s="55"/>
      <c r="CY362" s="55"/>
      <c r="CZ362" s="55"/>
      <c r="DA362" s="55"/>
      <c r="DB362" s="55"/>
      <c r="DC362" s="55"/>
      <c r="DD362" s="55"/>
      <c r="DE362" s="55"/>
      <c r="DF362" s="55"/>
      <c r="DG362" s="55"/>
      <c r="DH362" s="55"/>
      <c r="DI362" s="55"/>
      <c r="DJ362" s="55"/>
    </row>
    <row r="363" spans="1:114" x14ac:dyDescent="0.25">
      <c r="A363" s="339"/>
      <c r="B363" s="340"/>
      <c r="C363" s="341"/>
      <c r="D363" s="342"/>
      <c r="E363" s="343"/>
      <c r="F363" s="350"/>
      <c r="G363" s="345"/>
      <c r="H363" s="346"/>
      <c r="I363" s="345"/>
      <c r="J363" s="345"/>
      <c r="K363" s="347"/>
      <c r="L363" s="297"/>
      <c r="M363" s="297"/>
      <c r="N363" s="348"/>
      <c r="O363" s="310" t="s">
        <v>940</v>
      </c>
      <c r="P363" s="349" t="s">
        <v>949</v>
      </c>
      <c r="Q363" s="349" t="s">
        <v>968</v>
      </c>
      <c r="R363" s="349" t="s">
        <v>931</v>
      </c>
      <c r="S363" s="349" t="s">
        <v>928</v>
      </c>
      <c r="T363" s="346" t="s">
        <v>941</v>
      </c>
      <c r="U363" s="346" t="s">
        <v>933</v>
      </c>
      <c r="V363" s="346" t="s">
        <v>932</v>
      </c>
      <c r="W363" s="346" t="s">
        <v>930</v>
      </c>
      <c r="X363" s="346" t="s">
        <v>945</v>
      </c>
      <c r="Y363" s="346" t="s">
        <v>960</v>
      </c>
      <c r="Z363" s="346" t="s">
        <v>967</v>
      </c>
      <c r="AA363" s="346"/>
      <c r="AB363" s="346"/>
      <c r="AC363" s="346"/>
      <c r="AD363" s="346"/>
      <c r="AE363" s="346"/>
      <c r="AF363" s="346"/>
      <c r="AG363" s="346"/>
      <c r="AH363" s="346"/>
      <c r="AI363" s="346"/>
      <c r="AJ363" s="346"/>
      <c r="AK363" s="346"/>
      <c r="AL363" s="346"/>
      <c r="AM363" s="346"/>
      <c r="AN363" s="346"/>
      <c r="AO363" s="346"/>
      <c r="AP363" s="346"/>
      <c r="AQ363" s="346"/>
      <c r="AR363" s="346"/>
      <c r="AS363" s="346"/>
      <c r="AT363" s="346"/>
      <c r="AU363" s="346"/>
      <c r="AV363" s="346"/>
      <c r="AW363" s="346"/>
      <c r="AX363" s="346"/>
      <c r="AY363" s="346"/>
      <c r="AZ363" s="346"/>
      <c r="BA363" s="346"/>
      <c r="BB363" s="346"/>
      <c r="BC363" s="346"/>
      <c r="BD363" s="346"/>
      <c r="BE363" s="346"/>
      <c r="BF363" s="346"/>
      <c r="BG363" s="346"/>
      <c r="BH363" s="346"/>
      <c r="BI363" s="346"/>
      <c r="BJ363" s="346"/>
      <c r="BK363" s="346"/>
      <c r="BL363" s="346"/>
      <c r="BM363" s="346"/>
      <c r="BN363" s="346"/>
      <c r="BO363" s="346"/>
      <c r="BP363" s="346"/>
      <c r="BQ363" s="346"/>
      <c r="BR363" s="346"/>
      <c r="BS363" s="346"/>
      <c r="BT363" s="346"/>
      <c r="BU363" s="346"/>
      <c r="BV363" s="346"/>
      <c r="BW363" s="346"/>
      <c r="BX363" s="346"/>
      <c r="BY363" s="346"/>
      <c r="BZ363" s="346"/>
      <c r="CA363" s="346"/>
      <c r="CB363" s="346"/>
      <c r="CC363" s="346"/>
      <c r="CD363" s="346"/>
      <c r="CE363" s="346"/>
      <c r="CF363" s="346"/>
      <c r="CG363" s="346"/>
      <c r="CH363" s="346"/>
      <c r="CI363" s="346"/>
      <c r="CJ363" s="346"/>
      <c r="CK363" s="346"/>
      <c r="CL363" s="346"/>
      <c r="CM363" s="346"/>
      <c r="CN363" s="346"/>
      <c r="CO363" s="346"/>
      <c r="CP363" s="346"/>
      <c r="CQ363" s="346"/>
      <c r="CR363" s="346"/>
      <c r="CS363" s="346"/>
      <c r="CT363" s="346"/>
      <c r="CU363" s="346"/>
      <c r="CV363" s="346"/>
      <c r="CW363" s="346"/>
      <c r="CX363" s="346"/>
      <c r="CY363" s="346"/>
      <c r="CZ363" s="346"/>
      <c r="DA363" s="346"/>
      <c r="DB363" s="346"/>
      <c r="DC363" s="346"/>
      <c r="DD363" s="346"/>
      <c r="DE363" s="346"/>
      <c r="DF363" s="346"/>
      <c r="DG363" s="346"/>
      <c r="DH363" s="346"/>
      <c r="DI363" s="346"/>
      <c r="DJ363" s="346"/>
    </row>
    <row r="364" spans="1:114" x14ac:dyDescent="0.25">
      <c r="A364" s="120">
        <v>7</v>
      </c>
      <c r="B364" s="79" t="s">
        <v>849</v>
      </c>
      <c r="C364" s="80">
        <v>2500</v>
      </c>
      <c r="D364" s="81">
        <v>122.34</v>
      </c>
      <c r="E364" s="59">
        <v>0</v>
      </c>
      <c r="F364" s="60">
        <f>2400+10000-12400</f>
        <v>0</v>
      </c>
      <c r="G364" s="56">
        <f t="shared" si="159"/>
        <v>0</v>
      </c>
      <c r="H364" s="55">
        <f>2400+10000-12400+11000-11000</f>
        <v>0</v>
      </c>
      <c r="I364" s="56">
        <f t="shared" si="160"/>
        <v>0</v>
      </c>
      <c r="J364" s="56">
        <f t="shared" si="161"/>
        <v>0</v>
      </c>
      <c r="K364" s="57">
        <f t="shared" si="162"/>
        <v>0</v>
      </c>
      <c r="L364" s="297"/>
      <c r="M364" s="297"/>
      <c r="N364" s="314">
        <f t="shared" si="158"/>
        <v>4960</v>
      </c>
      <c r="O364" s="310">
        <v>14</v>
      </c>
      <c r="P364" s="315">
        <v>29</v>
      </c>
      <c r="Q364" s="315">
        <v>757</v>
      </c>
      <c r="R364" s="315">
        <v>284</v>
      </c>
      <c r="S364" s="387">
        <f>1000-1000</f>
        <v>0</v>
      </c>
      <c r="T364" s="55">
        <v>1000</v>
      </c>
      <c r="U364" s="55">
        <v>936</v>
      </c>
      <c r="V364" s="387">
        <f>1000-1000</f>
        <v>0</v>
      </c>
      <c r="W364" s="387">
        <f>1000-1000</f>
        <v>0</v>
      </c>
      <c r="X364" s="387">
        <f>1000-1000</f>
        <v>0</v>
      </c>
      <c r="Y364" s="55">
        <v>1940</v>
      </c>
      <c r="Z364" s="387">
        <f>1000-1000</f>
        <v>0</v>
      </c>
      <c r="AA364" s="55"/>
      <c r="AB364" s="55"/>
      <c r="AC364" s="55"/>
      <c r="AD364" s="55"/>
      <c r="AE364" s="55"/>
      <c r="AF364" s="55"/>
      <c r="AG364" s="55"/>
      <c r="AH364" s="55"/>
      <c r="AI364" s="55"/>
      <c r="AJ364" s="55"/>
      <c r="AK364" s="55"/>
      <c r="AL364" s="55"/>
      <c r="AM364" s="55"/>
      <c r="AN364" s="55"/>
      <c r="AO364" s="55"/>
      <c r="AP364" s="55"/>
      <c r="AQ364" s="55"/>
      <c r="AR364" s="55"/>
      <c r="AS364" s="55"/>
      <c r="AT364" s="55"/>
      <c r="AU364" s="55"/>
      <c r="AV364" s="55"/>
      <c r="AW364" s="55"/>
      <c r="AX364" s="55"/>
      <c r="AY364" s="55"/>
      <c r="AZ364" s="55"/>
      <c r="BA364" s="55"/>
      <c r="BB364" s="55"/>
      <c r="BC364" s="55"/>
      <c r="BD364" s="55"/>
      <c r="BE364" s="55"/>
      <c r="BF364" s="55"/>
      <c r="BG364" s="55"/>
      <c r="BH364" s="55"/>
      <c r="BI364" s="55"/>
      <c r="BJ364" s="55"/>
      <c r="BK364" s="55"/>
      <c r="BL364" s="55"/>
      <c r="BM364" s="55"/>
      <c r="BN364" s="55"/>
      <c r="BO364" s="55"/>
      <c r="BP364" s="55"/>
      <c r="BQ364" s="55"/>
      <c r="BR364" s="55"/>
      <c r="BS364" s="55"/>
      <c r="BT364" s="55"/>
      <c r="BU364" s="55"/>
      <c r="BV364" s="55"/>
      <c r="BW364" s="55"/>
      <c r="BX364" s="55"/>
      <c r="BY364" s="55"/>
      <c r="BZ364" s="55"/>
      <c r="CA364" s="55"/>
      <c r="CB364" s="55"/>
      <c r="CC364" s="55"/>
      <c r="CD364" s="55"/>
      <c r="CE364" s="55"/>
      <c r="CF364" s="55"/>
      <c r="CG364" s="55"/>
      <c r="CH364" s="55"/>
      <c r="CI364" s="55"/>
      <c r="CJ364" s="55"/>
      <c r="CK364" s="55"/>
      <c r="CL364" s="55"/>
      <c r="CM364" s="55"/>
      <c r="CN364" s="55"/>
      <c r="CO364" s="55"/>
      <c r="CP364" s="55"/>
      <c r="CQ364" s="55"/>
      <c r="CR364" s="55"/>
      <c r="CS364" s="55"/>
      <c r="CT364" s="55"/>
      <c r="CU364" s="55"/>
      <c r="CV364" s="55"/>
      <c r="CW364" s="55"/>
      <c r="CX364" s="55"/>
      <c r="CY364" s="55"/>
      <c r="CZ364" s="55"/>
      <c r="DA364" s="55"/>
      <c r="DB364" s="55"/>
      <c r="DC364" s="55"/>
      <c r="DD364" s="55"/>
      <c r="DE364" s="55"/>
      <c r="DF364" s="55"/>
      <c r="DG364" s="55"/>
      <c r="DH364" s="55"/>
      <c r="DI364" s="55"/>
      <c r="DJ364" s="55"/>
    </row>
    <row r="365" spans="1:114" x14ac:dyDescent="0.25">
      <c r="A365" s="339"/>
      <c r="B365" s="340"/>
      <c r="C365" s="341"/>
      <c r="D365" s="342"/>
      <c r="E365" s="343"/>
      <c r="F365" s="350"/>
      <c r="G365" s="345"/>
      <c r="H365" s="346"/>
      <c r="I365" s="345"/>
      <c r="J365" s="345"/>
      <c r="K365" s="347"/>
      <c r="L365" s="297"/>
      <c r="M365" s="297"/>
      <c r="N365" s="348"/>
      <c r="O365" s="310" t="s">
        <v>931</v>
      </c>
      <c r="P365" s="349" t="s">
        <v>935</v>
      </c>
      <c r="Q365" s="349" t="s">
        <v>968</v>
      </c>
      <c r="R365" s="349" t="s">
        <v>936</v>
      </c>
      <c r="S365" s="349" t="s">
        <v>948</v>
      </c>
      <c r="T365" s="346" t="s">
        <v>961</v>
      </c>
      <c r="U365" s="346" t="s">
        <v>929</v>
      </c>
      <c r="V365" s="346" t="s">
        <v>966</v>
      </c>
      <c r="W365" s="346" t="s">
        <v>960</v>
      </c>
      <c r="X365" s="346" t="s">
        <v>930</v>
      </c>
      <c r="Y365" s="346" t="s">
        <v>945</v>
      </c>
      <c r="Z365" s="346" t="s">
        <v>967</v>
      </c>
      <c r="AA365" s="346" t="s">
        <v>951</v>
      </c>
      <c r="AB365" s="346" t="s">
        <v>928</v>
      </c>
      <c r="AC365" s="346" t="s">
        <v>941</v>
      </c>
      <c r="AD365" s="346" t="s">
        <v>933</v>
      </c>
      <c r="AE365" s="346" t="s">
        <v>953</v>
      </c>
      <c r="AF365" s="346" t="s">
        <v>973</v>
      </c>
      <c r="AG365" s="346" t="s">
        <v>943</v>
      </c>
      <c r="AH365" s="346" t="s">
        <v>940</v>
      </c>
      <c r="AI365" s="346" t="s">
        <v>956</v>
      </c>
      <c r="AJ365" s="346"/>
      <c r="AK365" s="346"/>
      <c r="AL365" s="346"/>
      <c r="AM365" s="346"/>
      <c r="AN365" s="346"/>
      <c r="AO365" s="346"/>
      <c r="AP365" s="346"/>
      <c r="AQ365" s="346"/>
      <c r="AR365" s="346"/>
      <c r="AS365" s="346"/>
      <c r="AT365" s="346"/>
      <c r="AU365" s="346"/>
      <c r="AV365" s="346"/>
      <c r="AW365" s="346"/>
      <c r="AX365" s="346"/>
      <c r="AY365" s="346"/>
      <c r="AZ365" s="346"/>
      <c r="BA365" s="346"/>
      <c r="BB365" s="346"/>
      <c r="BC365" s="346"/>
      <c r="BD365" s="346"/>
      <c r="BE365" s="346"/>
      <c r="BF365" s="346"/>
      <c r="BG365" s="346"/>
      <c r="BH365" s="346"/>
      <c r="BI365" s="346"/>
      <c r="BJ365" s="346"/>
      <c r="BK365" s="346"/>
      <c r="BL365" s="346"/>
      <c r="BM365" s="346"/>
      <c r="BN365" s="346"/>
      <c r="BO365" s="346"/>
      <c r="BP365" s="346"/>
      <c r="BQ365" s="346"/>
      <c r="BR365" s="346"/>
      <c r="BS365" s="346"/>
      <c r="BT365" s="346"/>
      <c r="BU365" s="346"/>
      <c r="BV365" s="346"/>
      <c r="BW365" s="346"/>
      <c r="BX365" s="346"/>
      <c r="BY365" s="346"/>
      <c r="BZ365" s="346"/>
      <c r="CA365" s="346"/>
      <c r="CB365" s="346"/>
      <c r="CC365" s="346"/>
      <c r="CD365" s="346"/>
      <c r="CE365" s="346"/>
      <c r="CF365" s="346"/>
      <c r="CG365" s="346"/>
      <c r="CH365" s="346"/>
      <c r="CI365" s="346"/>
      <c r="CJ365" s="346"/>
      <c r="CK365" s="346"/>
      <c r="CL365" s="346"/>
      <c r="CM365" s="346"/>
      <c r="CN365" s="346"/>
      <c r="CO365" s="346"/>
      <c r="CP365" s="346"/>
      <c r="CQ365" s="346"/>
      <c r="CR365" s="346"/>
      <c r="CS365" s="346"/>
      <c r="CT365" s="346"/>
      <c r="CU365" s="346"/>
      <c r="CV365" s="346"/>
      <c r="CW365" s="346"/>
      <c r="CX365" s="346"/>
      <c r="CY365" s="346"/>
      <c r="CZ365" s="346"/>
      <c r="DA365" s="346"/>
      <c r="DB365" s="346"/>
      <c r="DC365" s="346"/>
      <c r="DD365" s="346"/>
      <c r="DE365" s="346"/>
      <c r="DF365" s="346"/>
      <c r="DG365" s="346"/>
      <c r="DH365" s="346"/>
      <c r="DI365" s="346"/>
      <c r="DJ365" s="346"/>
    </row>
    <row r="366" spans="1:114" x14ac:dyDescent="0.25">
      <c r="A366" s="227">
        <v>8</v>
      </c>
      <c r="B366" s="79" t="s">
        <v>131</v>
      </c>
      <c r="C366" s="80">
        <f>10000-7500</f>
        <v>2500</v>
      </c>
      <c r="D366" s="81">
        <v>416.24</v>
      </c>
      <c r="E366" s="59">
        <v>9920</v>
      </c>
      <c r="F366" s="60"/>
      <c r="G366" s="56">
        <f t="shared" si="159"/>
        <v>9920</v>
      </c>
      <c r="H366" s="55"/>
      <c r="I366" s="56">
        <f t="shared" si="160"/>
        <v>9920</v>
      </c>
      <c r="J366" s="56">
        <f t="shared" si="161"/>
        <v>24800000</v>
      </c>
      <c r="K366" s="57">
        <f t="shared" si="162"/>
        <v>4129100.8000000003</v>
      </c>
      <c r="L366" s="297"/>
      <c r="M366" s="297">
        <v>73324</v>
      </c>
      <c r="N366" s="314">
        <f t="shared" ref="N366:N381" si="163">SUM(O366:DK366)</f>
        <v>82796</v>
      </c>
      <c r="O366" s="310">
        <v>2376</v>
      </c>
      <c r="P366" s="315">
        <v>4528</v>
      </c>
      <c r="Q366" s="315">
        <v>4312</v>
      </c>
      <c r="R366" s="315">
        <v>4800</v>
      </c>
      <c r="S366" s="315">
        <v>120</v>
      </c>
      <c r="T366" s="55">
        <v>7872</v>
      </c>
      <c r="U366" s="55">
        <v>4800</v>
      </c>
      <c r="V366" s="55">
        <v>1152</v>
      </c>
      <c r="W366" s="55">
        <v>6936</v>
      </c>
      <c r="X366" s="55">
        <v>2392</v>
      </c>
      <c r="Y366" s="55">
        <v>4800</v>
      </c>
      <c r="Z366" s="55">
        <v>1200</v>
      </c>
      <c r="AA366" s="55">
        <v>6240</v>
      </c>
      <c r="AB366" s="55">
        <v>4800</v>
      </c>
      <c r="AC366" s="55">
        <v>4800</v>
      </c>
      <c r="AD366" s="55">
        <v>4736</v>
      </c>
      <c r="AE366" s="55">
        <v>4800</v>
      </c>
      <c r="AF366" s="55">
        <v>4792</v>
      </c>
      <c r="AG366" s="55">
        <v>148</v>
      </c>
      <c r="AH366" s="55">
        <v>2392</v>
      </c>
      <c r="AI366" s="55">
        <v>4800</v>
      </c>
      <c r="AJ366" s="55"/>
      <c r="AK366" s="55"/>
      <c r="AL366" s="55"/>
      <c r="AM366" s="55"/>
      <c r="AN366" s="55"/>
      <c r="AO366" s="55"/>
      <c r="AP366" s="55"/>
      <c r="AQ366" s="55"/>
      <c r="AR366" s="55"/>
      <c r="AS366" s="55"/>
      <c r="AT366" s="55"/>
      <c r="AU366" s="55"/>
      <c r="AV366" s="55"/>
      <c r="AW366" s="55"/>
      <c r="AX366" s="55"/>
      <c r="AY366" s="55"/>
      <c r="AZ366" s="55"/>
      <c r="BA366" s="55"/>
      <c r="BB366" s="55"/>
      <c r="BC366" s="55"/>
      <c r="BD366" s="55"/>
      <c r="BE366" s="55"/>
      <c r="BF366" s="55"/>
      <c r="BG366" s="55"/>
      <c r="BH366" s="55"/>
      <c r="BI366" s="55"/>
      <c r="BJ366" s="55"/>
      <c r="BK366" s="55"/>
      <c r="BL366" s="55"/>
      <c r="BM366" s="55"/>
      <c r="BN366" s="55"/>
      <c r="BO366" s="55"/>
      <c r="BP366" s="55"/>
      <c r="BQ366" s="55"/>
      <c r="BR366" s="55"/>
      <c r="BS366" s="55"/>
      <c r="BT366" s="55"/>
      <c r="BU366" s="55"/>
      <c r="BV366" s="55"/>
      <c r="BW366" s="55"/>
      <c r="BX366" s="55"/>
      <c r="BY366" s="55"/>
      <c r="BZ366" s="55"/>
      <c r="CA366" s="55"/>
      <c r="CB366" s="55"/>
      <c r="CC366" s="55"/>
      <c r="CD366" s="55"/>
      <c r="CE366" s="55"/>
      <c r="CF366" s="55"/>
      <c r="CG366" s="55"/>
      <c r="CH366" s="55"/>
      <c r="CI366" s="55"/>
      <c r="CJ366" s="55"/>
      <c r="CK366" s="55"/>
      <c r="CL366" s="55"/>
      <c r="CM366" s="55"/>
      <c r="CN366" s="55"/>
      <c r="CO366" s="55"/>
      <c r="CP366" s="55"/>
      <c r="CQ366" s="55"/>
      <c r="CR366" s="55"/>
      <c r="CS366" s="55"/>
      <c r="CT366" s="55"/>
      <c r="CU366" s="55"/>
      <c r="CV366" s="55"/>
      <c r="CW366" s="55"/>
      <c r="CX366" s="55"/>
      <c r="CY366" s="55"/>
      <c r="CZ366" s="55"/>
      <c r="DA366" s="55"/>
      <c r="DB366" s="55"/>
      <c r="DC366" s="55"/>
      <c r="DD366" s="55"/>
      <c r="DE366" s="55"/>
      <c r="DF366" s="55"/>
      <c r="DG366" s="55"/>
      <c r="DH366" s="55"/>
      <c r="DI366" s="55"/>
      <c r="DJ366" s="55"/>
    </row>
    <row r="367" spans="1:114" x14ac:dyDescent="0.25">
      <c r="A367" s="355"/>
      <c r="B367" s="340"/>
      <c r="C367" s="341"/>
      <c r="D367" s="342"/>
      <c r="E367" s="343"/>
      <c r="F367" s="350"/>
      <c r="G367" s="345"/>
      <c r="H367" s="346"/>
      <c r="I367" s="345"/>
      <c r="J367" s="345"/>
      <c r="K367" s="347"/>
      <c r="L367" s="297"/>
      <c r="M367" s="297"/>
      <c r="N367" s="348"/>
      <c r="O367" s="310" t="s">
        <v>973</v>
      </c>
      <c r="P367" s="349" t="s">
        <v>940</v>
      </c>
      <c r="Q367" s="349" t="s">
        <v>971</v>
      </c>
      <c r="R367" s="349" t="s">
        <v>951</v>
      </c>
      <c r="S367" s="349" t="s">
        <v>941</v>
      </c>
      <c r="T367" s="346" t="s">
        <v>928</v>
      </c>
      <c r="U367" s="346" t="s">
        <v>933</v>
      </c>
      <c r="V367" s="346" t="s">
        <v>932</v>
      </c>
      <c r="W367" s="346" t="s">
        <v>960</v>
      </c>
      <c r="X367" s="346" t="s">
        <v>945</v>
      </c>
      <c r="Y367" s="346" t="s">
        <v>930</v>
      </c>
      <c r="Z367" s="346" t="s">
        <v>967</v>
      </c>
      <c r="AA367" s="346" t="s">
        <v>968</v>
      </c>
      <c r="AB367" s="346" t="s">
        <v>931</v>
      </c>
      <c r="AC367" s="346" t="s">
        <v>944</v>
      </c>
      <c r="AD367" s="346"/>
      <c r="AE367" s="346"/>
      <c r="AF367" s="346"/>
      <c r="AG367" s="346"/>
      <c r="AH367" s="346"/>
      <c r="AI367" s="346"/>
      <c r="AJ367" s="346"/>
      <c r="AK367" s="346"/>
      <c r="AL367" s="346"/>
      <c r="AM367" s="346"/>
      <c r="AN367" s="346"/>
      <c r="AO367" s="346"/>
      <c r="AP367" s="346"/>
      <c r="AQ367" s="346"/>
      <c r="AR367" s="346"/>
      <c r="AS367" s="346"/>
      <c r="AT367" s="346"/>
      <c r="AU367" s="346"/>
      <c r="AV367" s="346"/>
      <c r="AW367" s="346"/>
      <c r="AX367" s="346"/>
      <c r="AY367" s="346"/>
      <c r="AZ367" s="346"/>
      <c r="BA367" s="346"/>
      <c r="BB367" s="346"/>
      <c r="BC367" s="346"/>
      <c r="BD367" s="346"/>
      <c r="BE367" s="346"/>
      <c r="BF367" s="346"/>
      <c r="BG367" s="346"/>
      <c r="BH367" s="346"/>
      <c r="BI367" s="346"/>
      <c r="BJ367" s="346"/>
      <c r="BK367" s="346"/>
      <c r="BL367" s="346"/>
      <c r="BM367" s="346"/>
      <c r="BN367" s="346"/>
      <c r="BO367" s="346"/>
      <c r="BP367" s="346"/>
      <c r="BQ367" s="346"/>
      <c r="BR367" s="346"/>
      <c r="BS367" s="346"/>
      <c r="BT367" s="346"/>
      <c r="BU367" s="346"/>
      <c r="BV367" s="346"/>
      <c r="BW367" s="346"/>
      <c r="BX367" s="346"/>
      <c r="BY367" s="346"/>
      <c r="BZ367" s="346"/>
      <c r="CA367" s="346"/>
      <c r="CB367" s="346"/>
      <c r="CC367" s="346"/>
      <c r="CD367" s="346"/>
      <c r="CE367" s="346"/>
      <c r="CF367" s="346"/>
      <c r="CG367" s="346"/>
      <c r="CH367" s="346"/>
      <c r="CI367" s="346"/>
      <c r="CJ367" s="346"/>
      <c r="CK367" s="346"/>
      <c r="CL367" s="346"/>
      <c r="CM367" s="346"/>
      <c r="CN367" s="346"/>
      <c r="CO367" s="346"/>
      <c r="CP367" s="346"/>
      <c r="CQ367" s="346"/>
      <c r="CR367" s="346"/>
      <c r="CS367" s="346"/>
      <c r="CT367" s="346"/>
      <c r="CU367" s="346"/>
      <c r="CV367" s="346"/>
      <c r="CW367" s="346"/>
      <c r="CX367" s="346"/>
      <c r="CY367" s="346"/>
      <c r="CZ367" s="346"/>
      <c r="DA367" s="346"/>
      <c r="DB367" s="346"/>
      <c r="DC367" s="346"/>
      <c r="DD367" s="346"/>
      <c r="DE367" s="346"/>
      <c r="DF367" s="346"/>
      <c r="DG367" s="346"/>
      <c r="DH367" s="346"/>
      <c r="DI367" s="346"/>
      <c r="DJ367" s="346"/>
    </row>
    <row r="368" spans="1:114" x14ac:dyDescent="0.25">
      <c r="A368" s="120">
        <v>9</v>
      </c>
      <c r="B368" s="79" t="s">
        <v>132</v>
      </c>
      <c r="C368" s="80">
        <v>2500</v>
      </c>
      <c r="D368" s="81">
        <v>123.6</v>
      </c>
      <c r="E368" s="59">
        <v>0</v>
      </c>
      <c r="F368" s="60"/>
      <c r="G368" s="56">
        <f t="shared" si="159"/>
        <v>0</v>
      </c>
      <c r="H368" s="55">
        <f>25980-25980</f>
        <v>0</v>
      </c>
      <c r="I368" s="56">
        <f t="shared" si="160"/>
        <v>0</v>
      </c>
      <c r="J368" s="56">
        <f t="shared" si="161"/>
        <v>0</v>
      </c>
      <c r="K368" s="57">
        <f t="shared" si="162"/>
        <v>0</v>
      </c>
      <c r="L368" s="297"/>
      <c r="M368" s="297">
        <v>17634</v>
      </c>
      <c r="N368" s="314">
        <f t="shared" si="163"/>
        <v>33824</v>
      </c>
      <c r="O368" s="310">
        <v>1992</v>
      </c>
      <c r="P368" s="315">
        <v>1980</v>
      </c>
      <c r="Q368" s="315">
        <v>2000</v>
      </c>
      <c r="R368" s="315">
        <v>4000</v>
      </c>
      <c r="S368" s="315">
        <v>2000</v>
      </c>
      <c r="T368" s="55">
        <v>2000</v>
      </c>
      <c r="U368" s="55">
        <v>1916</v>
      </c>
      <c r="V368" s="55">
        <v>2000</v>
      </c>
      <c r="W368" s="55">
        <v>3940</v>
      </c>
      <c r="X368" s="55">
        <v>2000</v>
      </c>
      <c r="Y368" s="55">
        <v>2000</v>
      </c>
      <c r="Z368" s="55">
        <v>2000</v>
      </c>
      <c r="AA368" s="55">
        <v>1996</v>
      </c>
      <c r="AB368" s="55">
        <v>2000</v>
      </c>
      <c r="AC368" s="55">
        <v>2000</v>
      </c>
      <c r="AD368" s="55"/>
      <c r="AE368" s="55"/>
      <c r="AF368" s="55"/>
      <c r="AG368" s="55"/>
      <c r="AH368" s="55"/>
      <c r="AI368" s="55"/>
      <c r="AJ368" s="55"/>
      <c r="AK368" s="55"/>
      <c r="AL368" s="55"/>
      <c r="AM368" s="55"/>
      <c r="AN368" s="55"/>
      <c r="AO368" s="55"/>
      <c r="AP368" s="55"/>
      <c r="AQ368" s="55"/>
      <c r="AR368" s="55"/>
      <c r="AS368" s="55"/>
      <c r="AT368" s="55"/>
      <c r="AU368" s="55"/>
      <c r="AV368" s="55"/>
      <c r="AW368" s="55"/>
      <c r="AX368" s="55"/>
      <c r="AY368" s="55"/>
      <c r="AZ368" s="55"/>
      <c r="BA368" s="55"/>
      <c r="BB368" s="55"/>
      <c r="BC368" s="55"/>
      <c r="BD368" s="55"/>
      <c r="BE368" s="55"/>
      <c r="BF368" s="55"/>
      <c r="BG368" s="55"/>
      <c r="BH368" s="55"/>
      <c r="BI368" s="55"/>
      <c r="BJ368" s="55"/>
      <c r="BK368" s="55"/>
      <c r="BL368" s="55"/>
      <c r="BM368" s="55"/>
      <c r="BN368" s="55"/>
      <c r="BO368" s="55"/>
      <c r="BP368" s="55"/>
      <c r="BQ368" s="55"/>
      <c r="BR368" s="55"/>
      <c r="BS368" s="55"/>
      <c r="BT368" s="55"/>
      <c r="BU368" s="55"/>
      <c r="BV368" s="55"/>
      <c r="BW368" s="55"/>
      <c r="BX368" s="55"/>
      <c r="BY368" s="55"/>
      <c r="BZ368" s="55"/>
      <c r="CA368" s="55"/>
      <c r="CB368" s="55"/>
      <c r="CC368" s="55"/>
      <c r="CD368" s="55"/>
      <c r="CE368" s="55"/>
      <c r="CF368" s="55"/>
      <c r="CG368" s="55"/>
      <c r="CH368" s="55"/>
      <c r="CI368" s="55"/>
      <c r="CJ368" s="55"/>
      <c r="CK368" s="55"/>
      <c r="CL368" s="55"/>
      <c r="CM368" s="55"/>
      <c r="CN368" s="55"/>
      <c r="CO368" s="55"/>
      <c r="CP368" s="55"/>
      <c r="CQ368" s="55"/>
      <c r="CR368" s="55"/>
      <c r="CS368" s="55"/>
      <c r="CT368" s="55"/>
      <c r="CU368" s="55"/>
      <c r="CV368" s="55"/>
      <c r="CW368" s="55"/>
      <c r="CX368" s="55"/>
      <c r="CY368" s="55"/>
      <c r="CZ368" s="55"/>
      <c r="DA368" s="55"/>
      <c r="DB368" s="55"/>
      <c r="DC368" s="55"/>
      <c r="DD368" s="55"/>
      <c r="DE368" s="55"/>
      <c r="DF368" s="55"/>
      <c r="DG368" s="55"/>
      <c r="DH368" s="55"/>
      <c r="DI368" s="55"/>
      <c r="DJ368" s="55"/>
    </row>
    <row r="369" spans="1:114" x14ac:dyDescent="0.25">
      <c r="A369" s="339"/>
      <c r="B369" s="340"/>
      <c r="C369" s="341"/>
      <c r="D369" s="342"/>
      <c r="E369" s="343"/>
      <c r="F369" s="350"/>
      <c r="G369" s="345"/>
      <c r="H369" s="346"/>
      <c r="I369" s="345"/>
      <c r="J369" s="345"/>
      <c r="K369" s="347"/>
      <c r="L369" s="297"/>
      <c r="M369" s="297"/>
      <c r="N369" s="348"/>
      <c r="O369" s="310" t="s">
        <v>966</v>
      </c>
      <c r="P369" s="349" t="s">
        <v>928</v>
      </c>
      <c r="Q369" s="349" t="s">
        <v>941</v>
      </c>
      <c r="R369" s="349" t="s">
        <v>932</v>
      </c>
      <c r="S369" s="349" t="s">
        <v>951</v>
      </c>
      <c r="T369" s="346" t="s">
        <v>979</v>
      </c>
      <c r="U369" s="346" t="s">
        <v>980</v>
      </c>
      <c r="V369" s="346" t="s">
        <v>968</v>
      </c>
      <c r="W369" s="346" t="s">
        <v>933</v>
      </c>
      <c r="X369" s="346" t="s">
        <v>948</v>
      </c>
      <c r="Y369" s="346" t="s">
        <v>929</v>
      </c>
      <c r="Z369" s="346" t="s">
        <v>943</v>
      </c>
      <c r="AA369" s="346" t="s">
        <v>956</v>
      </c>
      <c r="AB369" s="346" t="s">
        <v>940</v>
      </c>
      <c r="AC369" s="346" t="s">
        <v>931</v>
      </c>
      <c r="AD369" s="346" t="s">
        <v>961</v>
      </c>
      <c r="AE369" s="346" t="s">
        <v>944</v>
      </c>
      <c r="AF369" s="346" t="s">
        <v>981</v>
      </c>
      <c r="AG369" s="346" t="s">
        <v>973</v>
      </c>
      <c r="AH369" s="346"/>
      <c r="AI369" s="346"/>
      <c r="AJ369" s="346"/>
      <c r="AK369" s="346"/>
      <c r="AL369" s="346"/>
      <c r="AM369" s="346"/>
      <c r="AN369" s="346"/>
      <c r="AO369" s="346"/>
      <c r="AP369" s="346"/>
      <c r="AQ369" s="346"/>
      <c r="AR369" s="346"/>
      <c r="AS369" s="346"/>
      <c r="AT369" s="346"/>
      <c r="AU369" s="346"/>
      <c r="AV369" s="346"/>
      <c r="AW369" s="346"/>
      <c r="AX369" s="346"/>
      <c r="AY369" s="346"/>
      <c r="AZ369" s="346"/>
      <c r="BA369" s="346"/>
      <c r="BB369" s="346"/>
      <c r="BC369" s="346"/>
      <c r="BD369" s="346"/>
      <c r="BE369" s="346"/>
      <c r="BF369" s="346"/>
      <c r="BG369" s="346"/>
      <c r="BH369" s="346"/>
      <c r="BI369" s="346"/>
      <c r="BJ369" s="346"/>
      <c r="BK369" s="346"/>
      <c r="BL369" s="346"/>
      <c r="BM369" s="346"/>
      <c r="BN369" s="346"/>
      <c r="BO369" s="346"/>
      <c r="BP369" s="346"/>
      <c r="BQ369" s="346"/>
      <c r="BR369" s="346"/>
      <c r="BS369" s="346"/>
      <c r="BT369" s="346"/>
      <c r="BU369" s="346"/>
      <c r="BV369" s="346"/>
      <c r="BW369" s="346"/>
      <c r="BX369" s="346"/>
      <c r="BY369" s="346"/>
      <c r="BZ369" s="346"/>
      <c r="CA369" s="346"/>
      <c r="CB369" s="346"/>
      <c r="CC369" s="346"/>
      <c r="CD369" s="346"/>
      <c r="CE369" s="346"/>
      <c r="CF369" s="346"/>
      <c r="CG369" s="346"/>
      <c r="CH369" s="346"/>
      <c r="CI369" s="346"/>
      <c r="CJ369" s="346"/>
      <c r="CK369" s="346"/>
      <c r="CL369" s="346"/>
      <c r="CM369" s="346"/>
      <c r="CN369" s="346"/>
      <c r="CO369" s="346"/>
      <c r="CP369" s="346"/>
      <c r="CQ369" s="346"/>
      <c r="CR369" s="346"/>
      <c r="CS369" s="346"/>
      <c r="CT369" s="346"/>
      <c r="CU369" s="346"/>
      <c r="CV369" s="346"/>
      <c r="CW369" s="346"/>
      <c r="CX369" s="346"/>
      <c r="CY369" s="346"/>
      <c r="CZ369" s="346"/>
      <c r="DA369" s="346"/>
      <c r="DB369" s="346"/>
      <c r="DC369" s="346"/>
      <c r="DD369" s="346"/>
      <c r="DE369" s="346"/>
      <c r="DF369" s="346"/>
      <c r="DG369" s="346"/>
      <c r="DH369" s="346"/>
      <c r="DI369" s="346"/>
      <c r="DJ369" s="346"/>
    </row>
    <row r="370" spans="1:114" ht="16.5" customHeight="1" x14ac:dyDescent="0.25">
      <c r="A370" s="120">
        <v>10</v>
      </c>
      <c r="B370" s="79" t="s">
        <v>133</v>
      </c>
      <c r="C370" s="80">
        <v>2500</v>
      </c>
      <c r="D370" s="81">
        <v>104.06</v>
      </c>
      <c r="E370" s="59">
        <v>0</v>
      </c>
      <c r="F370" s="60">
        <f>2400-2400</f>
        <v>0</v>
      </c>
      <c r="G370" s="56">
        <f t="shared" si="159"/>
        <v>0</v>
      </c>
      <c r="H370" s="60">
        <f>2400-2400+9496-9496</f>
        <v>0</v>
      </c>
      <c r="I370" s="56">
        <f t="shared" si="160"/>
        <v>0</v>
      </c>
      <c r="J370" s="56">
        <f t="shared" si="161"/>
        <v>0</v>
      </c>
      <c r="K370" s="57">
        <f t="shared" si="162"/>
        <v>0</v>
      </c>
      <c r="L370" s="297"/>
      <c r="M370" s="297">
        <v>31596</v>
      </c>
      <c r="N370" s="314">
        <f t="shared" si="163"/>
        <v>36278</v>
      </c>
      <c r="O370" s="310">
        <v>1056</v>
      </c>
      <c r="P370" s="315">
        <v>2400</v>
      </c>
      <c r="Q370" s="315">
        <v>2396</v>
      </c>
      <c r="R370" s="315">
        <v>2400</v>
      </c>
      <c r="S370" s="315">
        <v>2400</v>
      </c>
      <c r="T370" s="55">
        <v>1200</v>
      </c>
      <c r="U370" s="55">
        <v>2342</v>
      </c>
      <c r="V370" s="55">
        <v>2396</v>
      </c>
      <c r="W370" s="55">
        <v>2350</v>
      </c>
      <c r="X370" s="55">
        <v>2400</v>
      </c>
      <c r="Y370" s="55">
        <v>2400</v>
      </c>
      <c r="Z370" s="55">
        <v>2372</v>
      </c>
      <c r="AA370" s="55">
        <v>2392</v>
      </c>
      <c r="AB370" s="55">
        <v>1194</v>
      </c>
      <c r="AC370" s="55">
        <v>1200</v>
      </c>
      <c r="AD370" s="55">
        <v>1776</v>
      </c>
      <c r="AE370" s="55">
        <v>2400</v>
      </c>
      <c r="AF370" s="55">
        <v>1200</v>
      </c>
      <c r="AG370" s="55">
        <v>4</v>
      </c>
      <c r="AH370" s="55"/>
      <c r="AI370" s="55"/>
      <c r="AJ370" s="55"/>
      <c r="AK370" s="55"/>
      <c r="AL370" s="55"/>
      <c r="AM370" s="55"/>
      <c r="AN370" s="55"/>
      <c r="AO370" s="55"/>
      <c r="AP370" s="55"/>
      <c r="AQ370" s="55"/>
      <c r="AR370" s="55"/>
      <c r="AS370" s="55"/>
      <c r="AT370" s="55"/>
      <c r="AU370" s="55"/>
      <c r="AV370" s="55"/>
      <c r="AW370" s="55"/>
      <c r="AX370" s="55"/>
      <c r="AY370" s="55"/>
      <c r="AZ370" s="55"/>
      <c r="BA370" s="55"/>
      <c r="BB370" s="55"/>
      <c r="BC370" s="55"/>
      <c r="BD370" s="55"/>
      <c r="BE370" s="55"/>
      <c r="BF370" s="55"/>
      <c r="BG370" s="55"/>
      <c r="BH370" s="55"/>
      <c r="BI370" s="55"/>
      <c r="BJ370" s="55"/>
      <c r="BK370" s="55"/>
      <c r="BL370" s="55"/>
      <c r="BM370" s="55"/>
      <c r="BN370" s="55"/>
      <c r="BO370" s="55"/>
      <c r="BP370" s="55"/>
      <c r="BQ370" s="55"/>
      <c r="BR370" s="55"/>
      <c r="BS370" s="55"/>
      <c r="BT370" s="55"/>
      <c r="BU370" s="55"/>
      <c r="BV370" s="55"/>
      <c r="BW370" s="55"/>
      <c r="BX370" s="55"/>
      <c r="BY370" s="55"/>
      <c r="BZ370" s="55"/>
      <c r="CA370" s="55"/>
      <c r="CB370" s="55"/>
      <c r="CC370" s="55"/>
      <c r="CD370" s="55"/>
      <c r="CE370" s="55"/>
      <c r="CF370" s="55"/>
      <c r="CG370" s="55"/>
      <c r="CH370" s="55"/>
      <c r="CI370" s="55"/>
      <c r="CJ370" s="55"/>
      <c r="CK370" s="55"/>
      <c r="CL370" s="55"/>
      <c r="CM370" s="55"/>
      <c r="CN370" s="55"/>
      <c r="CO370" s="55"/>
      <c r="CP370" s="55"/>
      <c r="CQ370" s="55"/>
      <c r="CR370" s="55"/>
      <c r="CS370" s="55"/>
      <c r="CT370" s="55"/>
      <c r="CU370" s="55"/>
      <c r="CV370" s="55"/>
      <c r="CW370" s="55"/>
      <c r="CX370" s="55"/>
      <c r="CY370" s="55"/>
      <c r="CZ370" s="55"/>
      <c r="DA370" s="55"/>
      <c r="DB370" s="55"/>
      <c r="DC370" s="55"/>
      <c r="DD370" s="55"/>
      <c r="DE370" s="55"/>
      <c r="DF370" s="55"/>
      <c r="DG370" s="55"/>
      <c r="DH370" s="55"/>
      <c r="DI370" s="55"/>
      <c r="DJ370" s="55"/>
    </row>
    <row r="371" spans="1:114" x14ac:dyDescent="0.25">
      <c r="A371" s="339"/>
      <c r="B371" s="340"/>
      <c r="C371" s="341"/>
      <c r="D371" s="342"/>
      <c r="E371" s="343"/>
      <c r="F371" s="350"/>
      <c r="G371" s="345"/>
      <c r="H371" s="350"/>
      <c r="I371" s="345"/>
      <c r="J371" s="345"/>
      <c r="K371" s="347"/>
      <c r="L371" s="297"/>
      <c r="M371" s="297"/>
      <c r="N371" s="348"/>
      <c r="O371" s="310" t="s">
        <v>931</v>
      </c>
      <c r="P371" s="349" t="s">
        <v>944</v>
      </c>
      <c r="Q371" s="349" t="s">
        <v>951</v>
      </c>
      <c r="R371" s="349" t="s">
        <v>979</v>
      </c>
      <c r="S371" s="349" t="s">
        <v>978</v>
      </c>
      <c r="T371" s="346" t="s">
        <v>928</v>
      </c>
      <c r="U371" s="346" t="s">
        <v>941</v>
      </c>
      <c r="V371" s="346" t="s">
        <v>933</v>
      </c>
      <c r="W371" s="346" t="s">
        <v>932</v>
      </c>
      <c r="X371" s="346" t="s">
        <v>945</v>
      </c>
      <c r="Y371" s="346" t="s">
        <v>967</v>
      </c>
      <c r="Z371" s="346" t="s">
        <v>955</v>
      </c>
      <c r="AA371" s="346" t="s">
        <v>968</v>
      </c>
      <c r="AB371" s="346" t="s">
        <v>973</v>
      </c>
      <c r="AC371" s="346" t="s">
        <v>943</v>
      </c>
      <c r="AD371" s="346" t="s">
        <v>940</v>
      </c>
      <c r="AE371" s="346" t="s">
        <v>956</v>
      </c>
      <c r="AF371" s="346"/>
      <c r="AG371" s="346"/>
      <c r="AH371" s="346"/>
      <c r="AI371" s="346"/>
      <c r="AJ371" s="346"/>
      <c r="AK371" s="346"/>
      <c r="AL371" s="346"/>
      <c r="AM371" s="346"/>
      <c r="AN371" s="346"/>
      <c r="AO371" s="346"/>
      <c r="AP371" s="346"/>
      <c r="AQ371" s="346"/>
      <c r="AR371" s="346"/>
      <c r="AS371" s="346"/>
      <c r="AT371" s="346"/>
      <c r="AU371" s="346"/>
      <c r="AV371" s="346"/>
      <c r="AW371" s="346"/>
      <c r="AX371" s="346"/>
      <c r="AY371" s="346"/>
      <c r="AZ371" s="346"/>
      <c r="BA371" s="346"/>
      <c r="BB371" s="346"/>
      <c r="BC371" s="346"/>
      <c r="BD371" s="346"/>
      <c r="BE371" s="346"/>
      <c r="BF371" s="346"/>
      <c r="BG371" s="346"/>
      <c r="BH371" s="346"/>
      <c r="BI371" s="346"/>
      <c r="BJ371" s="346"/>
      <c r="BK371" s="346"/>
      <c r="BL371" s="346"/>
      <c r="BM371" s="346"/>
      <c r="BN371" s="346"/>
      <c r="BO371" s="346"/>
      <c r="BP371" s="346"/>
      <c r="BQ371" s="346"/>
      <c r="BR371" s="346"/>
      <c r="BS371" s="346"/>
      <c r="BT371" s="346"/>
      <c r="BU371" s="346"/>
      <c r="BV371" s="346"/>
      <c r="BW371" s="346"/>
      <c r="BX371" s="346"/>
      <c r="BY371" s="346"/>
      <c r="BZ371" s="346"/>
      <c r="CA371" s="346"/>
      <c r="CB371" s="346"/>
      <c r="CC371" s="346"/>
      <c r="CD371" s="346"/>
      <c r="CE371" s="346"/>
      <c r="CF371" s="346"/>
      <c r="CG371" s="346"/>
      <c r="CH371" s="346"/>
      <c r="CI371" s="346"/>
      <c r="CJ371" s="346"/>
      <c r="CK371" s="346"/>
      <c r="CL371" s="346"/>
      <c r="CM371" s="346"/>
      <c r="CN371" s="346"/>
      <c r="CO371" s="346"/>
      <c r="CP371" s="346"/>
      <c r="CQ371" s="346"/>
      <c r="CR371" s="346"/>
      <c r="CS371" s="346"/>
      <c r="CT371" s="346"/>
      <c r="CU371" s="346"/>
      <c r="CV371" s="346"/>
      <c r="CW371" s="346"/>
      <c r="CX371" s="346"/>
      <c r="CY371" s="346"/>
      <c r="CZ371" s="346"/>
      <c r="DA371" s="346"/>
      <c r="DB371" s="346"/>
      <c r="DC371" s="346"/>
      <c r="DD371" s="346"/>
      <c r="DE371" s="346"/>
      <c r="DF371" s="346"/>
      <c r="DG371" s="346"/>
      <c r="DH371" s="346"/>
      <c r="DI371" s="346"/>
      <c r="DJ371" s="346"/>
    </row>
    <row r="372" spans="1:114" x14ac:dyDescent="0.25">
      <c r="A372" s="120">
        <v>11</v>
      </c>
      <c r="B372" s="79" t="s">
        <v>134</v>
      </c>
      <c r="C372" s="80">
        <v>2500</v>
      </c>
      <c r="D372" s="81">
        <v>123.6</v>
      </c>
      <c r="E372" s="59">
        <v>0</v>
      </c>
      <c r="F372" s="60">
        <f>2000-2000</f>
        <v>0</v>
      </c>
      <c r="G372" s="56">
        <f t="shared" si="159"/>
        <v>0</v>
      </c>
      <c r="H372" s="60">
        <f>2000-2000+54000-54000</f>
        <v>0</v>
      </c>
      <c r="I372" s="56">
        <f t="shared" si="160"/>
        <v>0</v>
      </c>
      <c r="J372" s="56">
        <f t="shared" si="161"/>
        <v>0</v>
      </c>
      <c r="K372" s="57">
        <f t="shared" si="162"/>
        <v>0</v>
      </c>
      <c r="L372" s="297"/>
      <c r="M372" s="297">
        <v>8792</v>
      </c>
      <c r="N372" s="314">
        <f t="shared" si="163"/>
        <v>31855</v>
      </c>
      <c r="O372" s="310">
        <v>2000</v>
      </c>
      <c r="P372" s="315">
        <v>2000</v>
      </c>
      <c r="Q372" s="315">
        <v>4000</v>
      </c>
      <c r="R372" s="315">
        <v>1998</v>
      </c>
      <c r="S372" s="315">
        <v>2000</v>
      </c>
      <c r="T372" s="55">
        <v>2000</v>
      </c>
      <c r="U372" s="55">
        <v>2000</v>
      </c>
      <c r="V372" s="55">
        <v>1956</v>
      </c>
      <c r="W372" s="55">
        <v>2000</v>
      </c>
      <c r="X372" s="55">
        <v>2000</v>
      </c>
      <c r="Y372" s="55">
        <v>2000</v>
      </c>
      <c r="Z372" s="55">
        <v>1996</v>
      </c>
      <c r="AA372" s="55">
        <v>1896</v>
      </c>
      <c r="AB372" s="55">
        <v>18</v>
      </c>
      <c r="AC372" s="55">
        <v>10</v>
      </c>
      <c r="AD372" s="55">
        <v>1989</v>
      </c>
      <c r="AE372" s="55">
        <v>1992</v>
      </c>
      <c r="AF372" s="55"/>
      <c r="AG372" s="55"/>
      <c r="AH372" s="55"/>
      <c r="AI372" s="55"/>
      <c r="AJ372" s="55"/>
      <c r="AK372" s="55"/>
      <c r="AL372" s="55"/>
      <c r="AM372" s="55"/>
      <c r="AN372" s="55"/>
      <c r="AO372" s="55"/>
      <c r="AP372" s="55"/>
      <c r="AQ372" s="55"/>
      <c r="AR372" s="55"/>
      <c r="AS372" s="55"/>
      <c r="AT372" s="55"/>
      <c r="AU372" s="55"/>
      <c r="AV372" s="55"/>
      <c r="AW372" s="55"/>
      <c r="AX372" s="55"/>
      <c r="AY372" s="55"/>
      <c r="AZ372" s="55"/>
      <c r="BA372" s="55"/>
      <c r="BB372" s="55"/>
      <c r="BC372" s="55"/>
      <c r="BD372" s="55"/>
      <c r="BE372" s="55"/>
      <c r="BF372" s="55"/>
      <c r="BG372" s="55"/>
      <c r="BH372" s="55"/>
      <c r="BI372" s="55"/>
      <c r="BJ372" s="55"/>
      <c r="BK372" s="55"/>
      <c r="BL372" s="55"/>
      <c r="BM372" s="55"/>
      <c r="BN372" s="55"/>
      <c r="BO372" s="55"/>
      <c r="BP372" s="55"/>
      <c r="BQ372" s="55"/>
      <c r="BR372" s="55"/>
      <c r="BS372" s="55"/>
      <c r="BT372" s="55"/>
      <c r="BU372" s="55"/>
      <c r="BV372" s="55"/>
      <c r="BW372" s="55"/>
      <c r="BX372" s="55"/>
      <c r="BY372" s="55"/>
      <c r="BZ372" s="55"/>
      <c r="CA372" s="55"/>
      <c r="CB372" s="55"/>
      <c r="CC372" s="55"/>
      <c r="CD372" s="55"/>
      <c r="CE372" s="55"/>
      <c r="CF372" s="55"/>
      <c r="CG372" s="55"/>
      <c r="CH372" s="55"/>
      <c r="CI372" s="55"/>
      <c r="CJ372" s="55"/>
      <c r="CK372" s="55"/>
      <c r="CL372" s="55"/>
      <c r="CM372" s="55"/>
      <c r="CN372" s="55"/>
      <c r="CO372" s="55"/>
      <c r="CP372" s="55"/>
      <c r="CQ372" s="55"/>
      <c r="CR372" s="55"/>
      <c r="CS372" s="55"/>
      <c r="CT372" s="55"/>
      <c r="CU372" s="55"/>
      <c r="CV372" s="55"/>
      <c r="CW372" s="55"/>
      <c r="CX372" s="55"/>
      <c r="CY372" s="55"/>
      <c r="CZ372" s="55"/>
      <c r="DA372" s="55"/>
      <c r="DB372" s="55"/>
      <c r="DC372" s="55"/>
      <c r="DD372" s="55"/>
      <c r="DE372" s="55"/>
      <c r="DF372" s="55"/>
      <c r="DG372" s="55"/>
      <c r="DH372" s="55"/>
      <c r="DI372" s="55"/>
      <c r="DJ372" s="55"/>
    </row>
    <row r="373" spans="1:114" x14ac:dyDescent="0.25">
      <c r="A373" s="339"/>
      <c r="B373" s="340"/>
      <c r="C373" s="341"/>
      <c r="D373" s="342"/>
      <c r="E373" s="343"/>
      <c r="F373" s="350"/>
      <c r="G373" s="345"/>
      <c r="H373" s="350"/>
      <c r="I373" s="345"/>
      <c r="J373" s="345"/>
      <c r="K373" s="347"/>
      <c r="L373" s="297"/>
      <c r="M373" s="297"/>
      <c r="N373" s="348"/>
      <c r="O373" s="310" t="s">
        <v>966</v>
      </c>
      <c r="P373" s="349" t="s">
        <v>961</v>
      </c>
      <c r="Q373" s="349" t="s">
        <v>945</v>
      </c>
      <c r="R373" s="349" t="s">
        <v>967</v>
      </c>
      <c r="S373" s="349" t="s">
        <v>955</v>
      </c>
      <c r="T373" s="346" t="s">
        <v>968</v>
      </c>
      <c r="U373" s="346" t="s">
        <v>951</v>
      </c>
      <c r="V373" s="346" t="s">
        <v>941</v>
      </c>
      <c r="W373" s="346" t="s">
        <v>975</v>
      </c>
      <c r="X373" s="346" t="s">
        <v>928</v>
      </c>
      <c r="Y373" s="346" t="s">
        <v>933</v>
      </c>
      <c r="Z373" s="346" t="s">
        <v>932</v>
      </c>
      <c r="AA373" s="346" t="s">
        <v>948</v>
      </c>
      <c r="AB373" s="346" t="s">
        <v>931</v>
      </c>
      <c r="AC373" s="346" t="s">
        <v>944</v>
      </c>
      <c r="AD373" s="346" t="s">
        <v>935</v>
      </c>
      <c r="AE373" s="346" t="s">
        <v>973</v>
      </c>
      <c r="AF373" s="346" t="s">
        <v>943</v>
      </c>
      <c r="AG373" s="346" t="s">
        <v>940</v>
      </c>
      <c r="AH373" s="346" t="s">
        <v>956</v>
      </c>
      <c r="AI373" s="346"/>
      <c r="AJ373" s="346"/>
      <c r="AK373" s="346"/>
      <c r="AL373" s="346"/>
      <c r="AM373" s="346"/>
      <c r="AN373" s="346"/>
      <c r="AO373" s="346"/>
      <c r="AP373" s="346"/>
      <c r="AQ373" s="346"/>
      <c r="AR373" s="346"/>
      <c r="AS373" s="346"/>
      <c r="AT373" s="346"/>
      <c r="AU373" s="346"/>
      <c r="AV373" s="346"/>
      <c r="AW373" s="346"/>
      <c r="AX373" s="346"/>
      <c r="AY373" s="346"/>
      <c r="AZ373" s="346"/>
      <c r="BA373" s="346"/>
      <c r="BB373" s="346"/>
      <c r="BC373" s="346"/>
      <c r="BD373" s="346"/>
      <c r="BE373" s="346"/>
      <c r="BF373" s="346"/>
      <c r="BG373" s="346"/>
      <c r="BH373" s="346"/>
      <c r="BI373" s="346"/>
      <c r="BJ373" s="346"/>
      <c r="BK373" s="346"/>
      <c r="BL373" s="346"/>
      <c r="BM373" s="346"/>
      <c r="BN373" s="346"/>
      <c r="BO373" s="346"/>
      <c r="BP373" s="346"/>
      <c r="BQ373" s="346"/>
      <c r="BR373" s="346"/>
      <c r="BS373" s="346"/>
      <c r="BT373" s="346"/>
      <c r="BU373" s="346"/>
      <c r="BV373" s="346"/>
      <c r="BW373" s="346"/>
      <c r="BX373" s="346"/>
      <c r="BY373" s="346"/>
      <c r="BZ373" s="346"/>
      <c r="CA373" s="346"/>
      <c r="CB373" s="346"/>
      <c r="CC373" s="346"/>
      <c r="CD373" s="346"/>
      <c r="CE373" s="346"/>
      <c r="CF373" s="346"/>
      <c r="CG373" s="346"/>
      <c r="CH373" s="346"/>
      <c r="CI373" s="346"/>
      <c r="CJ373" s="346"/>
      <c r="CK373" s="346"/>
      <c r="CL373" s="346"/>
      <c r="CM373" s="346"/>
      <c r="CN373" s="346"/>
      <c r="CO373" s="346"/>
      <c r="CP373" s="346"/>
      <c r="CQ373" s="346"/>
      <c r="CR373" s="346"/>
      <c r="CS373" s="346"/>
      <c r="CT373" s="346"/>
      <c r="CU373" s="346"/>
      <c r="CV373" s="346"/>
      <c r="CW373" s="346"/>
      <c r="CX373" s="346"/>
      <c r="CY373" s="346"/>
      <c r="CZ373" s="346"/>
      <c r="DA373" s="346"/>
      <c r="DB373" s="346"/>
      <c r="DC373" s="346"/>
      <c r="DD373" s="346"/>
      <c r="DE373" s="346"/>
      <c r="DF373" s="346"/>
      <c r="DG373" s="346"/>
      <c r="DH373" s="346"/>
      <c r="DI373" s="346"/>
      <c r="DJ373" s="346"/>
    </row>
    <row r="374" spans="1:114" x14ac:dyDescent="0.25">
      <c r="A374" s="120">
        <v>12</v>
      </c>
      <c r="B374" s="79" t="s">
        <v>135</v>
      </c>
      <c r="C374" s="80">
        <v>2500</v>
      </c>
      <c r="D374" s="81">
        <v>104.06</v>
      </c>
      <c r="E374" s="59">
        <v>0</v>
      </c>
      <c r="F374" s="60"/>
      <c r="G374" s="56">
        <f t="shared" si="159"/>
        <v>0</v>
      </c>
      <c r="H374" s="55">
        <f>4800-4800+24000-24000</f>
        <v>0</v>
      </c>
      <c r="I374" s="56">
        <f t="shared" si="160"/>
        <v>0</v>
      </c>
      <c r="J374" s="56">
        <f t="shared" si="161"/>
        <v>0</v>
      </c>
      <c r="K374" s="57">
        <f t="shared" si="162"/>
        <v>0</v>
      </c>
      <c r="L374" s="297"/>
      <c r="M374" s="297">
        <v>56655</v>
      </c>
      <c r="N374" s="314">
        <f t="shared" si="163"/>
        <v>65113</v>
      </c>
      <c r="O374" s="310">
        <v>2016</v>
      </c>
      <c r="P374" s="315">
        <v>4272</v>
      </c>
      <c r="Q374" s="315">
        <v>4800</v>
      </c>
      <c r="R374" s="315">
        <v>2400</v>
      </c>
      <c r="S374" s="315">
        <v>4754</v>
      </c>
      <c r="T374" s="55">
        <v>2394</v>
      </c>
      <c r="U374" s="55">
        <v>4900</v>
      </c>
      <c r="V374" s="55">
        <v>2400</v>
      </c>
      <c r="W374" s="55">
        <v>2400</v>
      </c>
      <c r="X374" s="55">
        <v>4800</v>
      </c>
      <c r="Y374" s="55">
        <v>2340</v>
      </c>
      <c r="Z374" s="55">
        <v>2400</v>
      </c>
      <c r="AA374" s="55">
        <v>4728</v>
      </c>
      <c r="AB374" s="55">
        <v>2400</v>
      </c>
      <c r="AC374" s="55">
        <v>4800</v>
      </c>
      <c r="AD374" s="55">
        <v>1344</v>
      </c>
      <c r="AE374" s="55">
        <v>2398</v>
      </c>
      <c r="AF374" s="55">
        <v>2397</v>
      </c>
      <c r="AG374" s="55">
        <v>2394</v>
      </c>
      <c r="AH374" s="55">
        <v>4776</v>
      </c>
      <c r="AI374" s="55"/>
      <c r="AJ374" s="55"/>
      <c r="AK374" s="55"/>
      <c r="AL374" s="55"/>
      <c r="AM374" s="55"/>
      <c r="AN374" s="55"/>
      <c r="AO374" s="55"/>
      <c r="AP374" s="55"/>
      <c r="AQ374" s="55"/>
      <c r="AR374" s="55"/>
      <c r="AS374" s="55"/>
      <c r="AT374" s="55"/>
      <c r="AU374" s="55"/>
      <c r="AV374" s="55"/>
      <c r="AW374" s="55"/>
      <c r="AX374" s="55"/>
      <c r="AY374" s="55"/>
      <c r="AZ374" s="55"/>
      <c r="BA374" s="55"/>
      <c r="BB374" s="55"/>
      <c r="BC374" s="55"/>
      <c r="BD374" s="55"/>
      <c r="BE374" s="55"/>
      <c r="BF374" s="55"/>
      <c r="BG374" s="55"/>
      <c r="BH374" s="55"/>
      <c r="BI374" s="55"/>
      <c r="BJ374" s="55"/>
      <c r="BK374" s="55"/>
      <c r="BL374" s="55"/>
      <c r="BM374" s="55"/>
      <c r="BN374" s="55"/>
      <c r="BO374" s="55"/>
      <c r="BP374" s="55"/>
      <c r="BQ374" s="55"/>
      <c r="BR374" s="55"/>
      <c r="BS374" s="55"/>
      <c r="BT374" s="55"/>
      <c r="BU374" s="55"/>
      <c r="BV374" s="55"/>
      <c r="BW374" s="55"/>
      <c r="BX374" s="55"/>
      <c r="BY374" s="55"/>
      <c r="BZ374" s="55"/>
      <c r="CA374" s="55"/>
      <c r="CB374" s="55"/>
      <c r="CC374" s="55"/>
      <c r="CD374" s="55"/>
      <c r="CE374" s="55"/>
      <c r="CF374" s="55"/>
      <c r="CG374" s="55"/>
      <c r="CH374" s="55"/>
      <c r="CI374" s="55"/>
      <c r="CJ374" s="55"/>
      <c r="CK374" s="55"/>
      <c r="CL374" s="55"/>
      <c r="CM374" s="55"/>
      <c r="CN374" s="55"/>
      <c r="CO374" s="55"/>
      <c r="CP374" s="55"/>
      <c r="CQ374" s="55"/>
      <c r="CR374" s="55"/>
      <c r="CS374" s="55"/>
      <c r="CT374" s="55"/>
      <c r="CU374" s="55"/>
      <c r="CV374" s="55"/>
      <c r="CW374" s="55"/>
      <c r="CX374" s="55"/>
      <c r="CY374" s="55"/>
      <c r="CZ374" s="55"/>
      <c r="DA374" s="55"/>
      <c r="DB374" s="55"/>
      <c r="DC374" s="55"/>
      <c r="DD374" s="55"/>
      <c r="DE374" s="55"/>
      <c r="DF374" s="55"/>
      <c r="DG374" s="55"/>
      <c r="DH374" s="55"/>
      <c r="DI374" s="55"/>
      <c r="DJ374" s="55"/>
    </row>
    <row r="375" spans="1:114" x14ac:dyDescent="0.25">
      <c r="A375" s="339"/>
      <c r="B375" s="340"/>
      <c r="C375" s="341"/>
      <c r="D375" s="342"/>
      <c r="E375" s="343"/>
      <c r="F375" s="350"/>
      <c r="G375" s="345"/>
      <c r="H375" s="346"/>
      <c r="I375" s="345"/>
      <c r="J375" s="345"/>
      <c r="K375" s="347"/>
      <c r="L375" s="297"/>
      <c r="M375" s="297"/>
      <c r="N375" s="348"/>
      <c r="O375" s="310" t="s">
        <v>944</v>
      </c>
      <c r="P375" s="349" t="s">
        <v>935</v>
      </c>
      <c r="Q375" s="349" t="s">
        <v>931</v>
      </c>
      <c r="R375" s="349" t="s">
        <v>978</v>
      </c>
      <c r="S375" s="349" t="s">
        <v>979</v>
      </c>
      <c r="T375" s="346" t="s">
        <v>941</v>
      </c>
      <c r="U375" s="346" t="s">
        <v>933</v>
      </c>
      <c r="V375" s="346" t="s">
        <v>932</v>
      </c>
      <c r="W375" s="346" t="s">
        <v>948</v>
      </c>
      <c r="X375" s="346" t="s">
        <v>966</v>
      </c>
      <c r="Y375" s="346" t="s">
        <v>961</v>
      </c>
      <c r="Z375" s="346" t="s">
        <v>945</v>
      </c>
      <c r="AA375" s="346" t="s">
        <v>967</v>
      </c>
      <c r="AB375" s="346" t="s">
        <v>968</v>
      </c>
      <c r="AC375" s="346" t="s">
        <v>955</v>
      </c>
      <c r="AD375" s="346" t="s">
        <v>940</v>
      </c>
      <c r="AE375" s="346" t="s">
        <v>956</v>
      </c>
      <c r="AF375" s="346" t="s">
        <v>943</v>
      </c>
      <c r="AG375" s="346"/>
      <c r="AH375" s="346"/>
      <c r="AI375" s="346"/>
      <c r="AJ375" s="346"/>
      <c r="AK375" s="346"/>
      <c r="AL375" s="346"/>
      <c r="AM375" s="346"/>
      <c r="AN375" s="346"/>
      <c r="AO375" s="346"/>
      <c r="AP375" s="346"/>
      <c r="AQ375" s="346"/>
      <c r="AR375" s="346"/>
      <c r="AS375" s="346"/>
      <c r="AT375" s="346"/>
      <c r="AU375" s="346"/>
      <c r="AV375" s="346"/>
      <c r="AW375" s="346"/>
      <c r="AX375" s="346"/>
      <c r="AY375" s="346"/>
      <c r="AZ375" s="346"/>
      <c r="BA375" s="346"/>
      <c r="BB375" s="346"/>
      <c r="BC375" s="346"/>
      <c r="BD375" s="346"/>
      <c r="BE375" s="346"/>
      <c r="BF375" s="346"/>
      <c r="BG375" s="346"/>
      <c r="BH375" s="346"/>
      <c r="BI375" s="346"/>
      <c r="BJ375" s="346"/>
      <c r="BK375" s="346"/>
      <c r="BL375" s="346"/>
      <c r="BM375" s="346"/>
      <c r="BN375" s="346"/>
      <c r="BO375" s="346"/>
      <c r="BP375" s="346"/>
      <c r="BQ375" s="346"/>
      <c r="BR375" s="346"/>
      <c r="BS375" s="346"/>
      <c r="BT375" s="346"/>
      <c r="BU375" s="346"/>
      <c r="BV375" s="346"/>
      <c r="BW375" s="346"/>
      <c r="BX375" s="346"/>
      <c r="BY375" s="346"/>
      <c r="BZ375" s="346"/>
      <c r="CA375" s="346"/>
      <c r="CB375" s="346"/>
      <c r="CC375" s="346"/>
      <c r="CD375" s="346"/>
      <c r="CE375" s="346"/>
      <c r="CF375" s="346"/>
      <c r="CG375" s="346"/>
      <c r="CH375" s="346"/>
      <c r="CI375" s="346"/>
      <c r="CJ375" s="346"/>
      <c r="CK375" s="346"/>
      <c r="CL375" s="346"/>
      <c r="CM375" s="346"/>
      <c r="CN375" s="346"/>
      <c r="CO375" s="346"/>
      <c r="CP375" s="346"/>
      <c r="CQ375" s="346"/>
      <c r="CR375" s="346"/>
      <c r="CS375" s="346"/>
      <c r="CT375" s="346"/>
      <c r="CU375" s="346"/>
      <c r="CV375" s="346"/>
      <c r="CW375" s="346"/>
      <c r="CX375" s="346"/>
      <c r="CY375" s="346"/>
      <c r="CZ375" s="346"/>
      <c r="DA375" s="346"/>
      <c r="DB375" s="346"/>
      <c r="DC375" s="346"/>
      <c r="DD375" s="346"/>
      <c r="DE375" s="346"/>
      <c r="DF375" s="346"/>
      <c r="DG375" s="346"/>
      <c r="DH375" s="346"/>
      <c r="DI375" s="346"/>
      <c r="DJ375" s="346"/>
    </row>
    <row r="376" spans="1:114" x14ac:dyDescent="0.25">
      <c r="A376" s="120">
        <v>13</v>
      </c>
      <c r="B376" s="79" t="s">
        <v>136</v>
      </c>
      <c r="C376" s="80">
        <v>2500</v>
      </c>
      <c r="D376" s="81">
        <v>104.06</v>
      </c>
      <c r="E376" s="59">
        <v>0</v>
      </c>
      <c r="F376" s="60"/>
      <c r="G376" s="56">
        <f t="shared" si="159"/>
        <v>0</v>
      </c>
      <c r="H376" s="55">
        <f>5600-5600</f>
        <v>0</v>
      </c>
      <c r="I376" s="56">
        <f t="shared" si="160"/>
        <v>0</v>
      </c>
      <c r="J376" s="56">
        <f t="shared" si="161"/>
        <v>0</v>
      </c>
      <c r="K376" s="57">
        <f t="shared" si="162"/>
        <v>0</v>
      </c>
      <c r="L376" s="297"/>
      <c r="M376" s="297">
        <v>25080</v>
      </c>
      <c r="N376" s="314">
        <f t="shared" si="163"/>
        <v>36935</v>
      </c>
      <c r="O376" s="310">
        <v>2400</v>
      </c>
      <c r="P376" s="315">
        <v>2350</v>
      </c>
      <c r="Q376" s="315">
        <v>2200</v>
      </c>
      <c r="R376" s="315">
        <v>2400</v>
      </c>
      <c r="S376" s="315">
        <v>2400</v>
      </c>
      <c r="T376" s="55">
        <v>2400</v>
      </c>
      <c r="U376" s="55">
        <v>1800</v>
      </c>
      <c r="V376" s="55">
        <v>2400</v>
      </c>
      <c r="W376" s="55">
        <v>2328</v>
      </c>
      <c r="X376" s="55">
        <v>2040</v>
      </c>
      <c r="Y376" s="55">
        <v>1300</v>
      </c>
      <c r="Z376" s="55">
        <v>2400</v>
      </c>
      <c r="AA376" s="55">
        <v>2400</v>
      </c>
      <c r="AB376" s="55">
        <v>1164</v>
      </c>
      <c r="AC376" s="55">
        <v>2109</v>
      </c>
      <c r="AD376" s="55">
        <v>2392</v>
      </c>
      <c r="AE376" s="55">
        <v>2388</v>
      </c>
      <c r="AF376" s="55">
        <v>64</v>
      </c>
      <c r="AG376" s="55"/>
      <c r="AH376" s="55"/>
      <c r="AI376" s="55"/>
      <c r="AJ376" s="55"/>
      <c r="AK376" s="55"/>
      <c r="AL376" s="55"/>
      <c r="AM376" s="55"/>
      <c r="AN376" s="55"/>
      <c r="AO376" s="55"/>
      <c r="AP376" s="55"/>
      <c r="AQ376" s="55"/>
      <c r="AR376" s="55"/>
      <c r="AS376" s="55"/>
      <c r="AT376" s="55"/>
      <c r="AU376" s="55"/>
      <c r="AV376" s="55"/>
      <c r="AW376" s="55"/>
      <c r="AX376" s="55"/>
      <c r="AY376" s="55"/>
      <c r="AZ376" s="55"/>
      <c r="BA376" s="55"/>
      <c r="BB376" s="55"/>
      <c r="BC376" s="55"/>
      <c r="BD376" s="55"/>
      <c r="BE376" s="55"/>
      <c r="BF376" s="55"/>
      <c r="BG376" s="55"/>
      <c r="BH376" s="55"/>
      <c r="BI376" s="55"/>
      <c r="BJ376" s="55"/>
      <c r="BK376" s="55"/>
      <c r="BL376" s="55"/>
      <c r="BM376" s="55"/>
      <c r="BN376" s="55"/>
      <c r="BO376" s="55"/>
      <c r="BP376" s="55"/>
      <c r="BQ376" s="55"/>
      <c r="BR376" s="55"/>
      <c r="BS376" s="55"/>
      <c r="BT376" s="55"/>
      <c r="BU376" s="55"/>
      <c r="BV376" s="55"/>
      <c r="BW376" s="55"/>
      <c r="BX376" s="55"/>
      <c r="BY376" s="55"/>
      <c r="BZ376" s="55"/>
      <c r="CA376" s="55"/>
      <c r="CB376" s="55"/>
      <c r="CC376" s="55"/>
      <c r="CD376" s="55"/>
      <c r="CE376" s="55"/>
      <c r="CF376" s="55"/>
      <c r="CG376" s="55"/>
      <c r="CH376" s="55"/>
      <c r="CI376" s="55"/>
      <c r="CJ376" s="55"/>
      <c r="CK376" s="55"/>
      <c r="CL376" s="55"/>
      <c r="CM376" s="55"/>
      <c r="CN376" s="55"/>
      <c r="CO376" s="55"/>
      <c r="CP376" s="55"/>
      <c r="CQ376" s="55"/>
      <c r="CR376" s="55"/>
      <c r="CS376" s="55"/>
      <c r="CT376" s="55"/>
      <c r="CU376" s="55"/>
      <c r="CV376" s="55"/>
      <c r="CW376" s="55"/>
      <c r="CX376" s="55"/>
      <c r="CY376" s="55"/>
      <c r="CZ376" s="55"/>
      <c r="DA376" s="55"/>
      <c r="DB376" s="55"/>
      <c r="DC376" s="55"/>
      <c r="DD376" s="55"/>
      <c r="DE376" s="55"/>
      <c r="DF376" s="55"/>
      <c r="DG376" s="55"/>
      <c r="DH376" s="55"/>
      <c r="DI376" s="55"/>
      <c r="DJ376" s="55"/>
    </row>
    <row r="377" spans="1:114" x14ac:dyDescent="0.25">
      <c r="A377" s="339"/>
      <c r="B377" s="115"/>
      <c r="C377" s="116"/>
      <c r="D377" s="117"/>
      <c r="E377" s="118"/>
      <c r="F377" s="121"/>
      <c r="G377" s="109"/>
      <c r="H377" s="108"/>
      <c r="I377" s="109"/>
      <c r="J377" s="109"/>
      <c r="K377" s="110"/>
      <c r="L377" s="297"/>
      <c r="M377" s="297"/>
      <c r="N377" s="321"/>
      <c r="O377" s="354"/>
      <c r="P377" s="318"/>
      <c r="Q377" s="318"/>
      <c r="R377" s="318"/>
      <c r="S377" s="318"/>
      <c r="T377" s="108"/>
      <c r="U377" s="108"/>
      <c r="V377" s="108"/>
      <c r="W377" s="108"/>
      <c r="X377" s="108"/>
      <c r="Y377" s="108"/>
      <c r="Z377" s="108"/>
      <c r="AA377" s="108"/>
      <c r="AB377" s="108"/>
      <c r="AC377" s="108"/>
      <c r="AD377" s="108"/>
      <c r="AE377" s="108"/>
      <c r="AF377" s="108"/>
      <c r="AG377" s="108"/>
      <c r="AH377" s="108"/>
      <c r="AI377" s="108"/>
      <c r="AJ377" s="108"/>
      <c r="AK377" s="108"/>
      <c r="AL377" s="108"/>
      <c r="AM377" s="108"/>
      <c r="AN377" s="108"/>
      <c r="AO377" s="108"/>
      <c r="AP377" s="108"/>
      <c r="AQ377" s="108"/>
      <c r="AR377" s="108"/>
      <c r="AS377" s="108"/>
      <c r="AT377" s="108"/>
      <c r="AU377" s="108"/>
      <c r="AV377" s="108"/>
      <c r="AW377" s="108"/>
      <c r="AX377" s="108"/>
      <c r="AY377" s="108"/>
      <c r="AZ377" s="108"/>
      <c r="BA377" s="108"/>
      <c r="BB377" s="108"/>
      <c r="BC377" s="108"/>
      <c r="BD377" s="108"/>
      <c r="BE377" s="108"/>
      <c r="BF377" s="108"/>
      <c r="BG377" s="108"/>
      <c r="BH377" s="108"/>
      <c r="BI377" s="108"/>
      <c r="BJ377" s="108"/>
      <c r="BK377" s="108"/>
      <c r="BL377" s="108"/>
      <c r="BM377" s="108"/>
      <c r="BN377" s="108"/>
      <c r="BO377" s="108"/>
      <c r="BP377" s="108"/>
      <c r="BQ377" s="108"/>
      <c r="BR377" s="108"/>
      <c r="BS377" s="108"/>
      <c r="BT377" s="108"/>
      <c r="BU377" s="108"/>
      <c r="BV377" s="108"/>
      <c r="BW377" s="108"/>
      <c r="BX377" s="108"/>
      <c r="BY377" s="108"/>
      <c r="BZ377" s="108"/>
      <c r="CA377" s="108"/>
      <c r="CB377" s="108"/>
      <c r="CC377" s="108"/>
      <c r="CD377" s="108"/>
      <c r="CE377" s="108"/>
      <c r="CF377" s="108"/>
      <c r="CG377" s="108"/>
      <c r="CH377" s="108"/>
      <c r="CI377" s="108"/>
      <c r="CJ377" s="108"/>
      <c r="CK377" s="108"/>
      <c r="CL377" s="108"/>
      <c r="CM377" s="108"/>
      <c r="CN377" s="108"/>
      <c r="CO377" s="108"/>
      <c r="CP377" s="108"/>
      <c r="CQ377" s="108"/>
      <c r="CR377" s="108"/>
      <c r="CS377" s="108"/>
      <c r="CT377" s="108"/>
      <c r="CU377" s="108"/>
      <c r="CV377" s="108"/>
      <c r="CW377" s="108"/>
      <c r="CX377" s="108"/>
      <c r="CY377" s="108"/>
      <c r="CZ377" s="108"/>
      <c r="DA377" s="108"/>
      <c r="DB377" s="108"/>
      <c r="DC377" s="108"/>
      <c r="DD377" s="108"/>
      <c r="DE377" s="108"/>
      <c r="DF377" s="108"/>
      <c r="DG377" s="108"/>
      <c r="DH377" s="108"/>
      <c r="DI377" s="108"/>
      <c r="DJ377" s="108"/>
    </row>
    <row r="378" spans="1:114" x14ac:dyDescent="0.25">
      <c r="A378" s="120">
        <v>14</v>
      </c>
      <c r="B378" s="115" t="s">
        <v>137</v>
      </c>
      <c r="C378" s="116">
        <v>2500</v>
      </c>
      <c r="D378" s="117">
        <v>104.06</v>
      </c>
      <c r="E378" s="118">
        <v>0</v>
      </c>
      <c r="F378" s="121"/>
      <c r="G378" s="109">
        <f t="shared" si="159"/>
        <v>0</v>
      </c>
      <c r="H378" s="108">
        <f>5600-5600</f>
        <v>0</v>
      </c>
      <c r="I378" s="109">
        <f t="shared" si="160"/>
        <v>0</v>
      </c>
      <c r="J378" s="109">
        <f t="shared" si="161"/>
        <v>0</v>
      </c>
      <c r="K378" s="110">
        <f t="shared" si="162"/>
        <v>0</v>
      </c>
      <c r="L378" s="297"/>
      <c r="M378" s="297"/>
      <c r="N378" s="321">
        <f t="shared" si="163"/>
        <v>0</v>
      </c>
      <c r="O378" s="312"/>
      <c r="P378" s="318"/>
      <c r="Q378" s="318"/>
      <c r="R378" s="318"/>
      <c r="S378" s="318"/>
      <c r="T378" s="108"/>
      <c r="U378" s="108"/>
      <c r="V378" s="108"/>
      <c r="W378" s="108"/>
      <c r="X378" s="108"/>
      <c r="Y378" s="108"/>
      <c r="Z378" s="108"/>
      <c r="AA378" s="108"/>
      <c r="AB378" s="108"/>
      <c r="AC378" s="108"/>
      <c r="AD378" s="108"/>
      <c r="AE378" s="108"/>
      <c r="AF378" s="108"/>
      <c r="AG378" s="108"/>
      <c r="AH378" s="108"/>
      <c r="AI378" s="108"/>
      <c r="AJ378" s="108"/>
      <c r="AK378" s="108"/>
      <c r="AL378" s="108"/>
      <c r="AM378" s="108"/>
      <c r="AN378" s="108"/>
      <c r="AO378" s="108"/>
      <c r="AP378" s="108"/>
      <c r="AQ378" s="108"/>
      <c r="AR378" s="108"/>
      <c r="AS378" s="108"/>
      <c r="AT378" s="108"/>
      <c r="AU378" s="108"/>
      <c r="AV378" s="108"/>
      <c r="AW378" s="108"/>
      <c r="AX378" s="108"/>
      <c r="AY378" s="108"/>
      <c r="AZ378" s="108"/>
      <c r="BA378" s="108"/>
      <c r="BB378" s="108"/>
      <c r="BC378" s="108"/>
      <c r="BD378" s="108"/>
      <c r="BE378" s="108"/>
      <c r="BF378" s="108"/>
      <c r="BG378" s="108"/>
      <c r="BH378" s="108"/>
      <c r="BI378" s="108"/>
      <c r="BJ378" s="108"/>
      <c r="BK378" s="108"/>
      <c r="BL378" s="108"/>
      <c r="BM378" s="108"/>
      <c r="BN378" s="108"/>
      <c r="BO378" s="108"/>
      <c r="BP378" s="108"/>
      <c r="BQ378" s="108"/>
      <c r="BR378" s="108"/>
      <c r="BS378" s="108"/>
      <c r="BT378" s="108"/>
      <c r="BU378" s="108"/>
      <c r="BV378" s="108"/>
      <c r="BW378" s="108"/>
      <c r="BX378" s="108"/>
      <c r="BY378" s="108"/>
      <c r="BZ378" s="108"/>
      <c r="CA378" s="108"/>
      <c r="CB378" s="108"/>
      <c r="CC378" s="108"/>
      <c r="CD378" s="108"/>
      <c r="CE378" s="108"/>
      <c r="CF378" s="108"/>
      <c r="CG378" s="108"/>
      <c r="CH378" s="108"/>
      <c r="CI378" s="108"/>
      <c r="CJ378" s="108"/>
      <c r="CK378" s="108"/>
      <c r="CL378" s="108"/>
      <c r="CM378" s="108"/>
      <c r="CN378" s="108"/>
      <c r="CO378" s="108"/>
      <c r="CP378" s="108"/>
      <c r="CQ378" s="108"/>
      <c r="CR378" s="108"/>
      <c r="CS378" s="108"/>
      <c r="CT378" s="108"/>
      <c r="CU378" s="108"/>
      <c r="CV378" s="108"/>
      <c r="CW378" s="108"/>
      <c r="CX378" s="108"/>
      <c r="CY378" s="108"/>
      <c r="CZ378" s="108"/>
      <c r="DA378" s="108"/>
      <c r="DB378" s="108"/>
      <c r="DC378" s="108"/>
      <c r="DD378" s="108"/>
      <c r="DE378" s="108"/>
      <c r="DF378" s="108"/>
      <c r="DG378" s="108"/>
      <c r="DH378" s="108"/>
      <c r="DI378" s="108"/>
      <c r="DJ378" s="108"/>
    </row>
    <row r="379" spans="1:114" x14ac:dyDescent="0.25">
      <c r="A379" s="328"/>
      <c r="B379" s="329"/>
      <c r="C379" s="330"/>
      <c r="D379" s="331"/>
      <c r="E379" s="332"/>
      <c r="F379" s="333"/>
      <c r="G379" s="334"/>
      <c r="H379" s="316"/>
      <c r="I379" s="334"/>
      <c r="J379" s="334"/>
      <c r="K379" s="335"/>
      <c r="L379" s="297"/>
      <c r="M379" s="297"/>
      <c r="N379" s="314"/>
      <c r="O379" s="310" t="s">
        <v>948</v>
      </c>
      <c r="P379" s="315" t="s">
        <v>929</v>
      </c>
      <c r="Q379" s="315" t="s">
        <v>945</v>
      </c>
      <c r="R379" s="315" t="s">
        <v>967</v>
      </c>
      <c r="S379" s="315" t="s">
        <v>955</v>
      </c>
      <c r="T379" s="55" t="s">
        <v>968</v>
      </c>
      <c r="U379" s="55" t="s">
        <v>930</v>
      </c>
      <c r="V379" s="55" t="s">
        <v>951</v>
      </c>
      <c r="W379" s="55" t="s">
        <v>975</v>
      </c>
      <c r="X379" s="55" t="s">
        <v>941</v>
      </c>
      <c r="Y379" s="55" t="s">
        <v>933</v>
      </c>
      <c r="Z379" s="55" t="s">
        <v>932</v>
      </c>
      <c r="AA379" s="55" t="s">
        <v>931</v>
      </c>
      <c r="AB379" s="55" t="s">
        <v>944</v>
      </c>
      <c r="AC379" s="55" t="s">
        <v>935</v>
      </c>
      <c r="AD379" s="55" t="s">
        <v>949</v>
      </c>
      <c r="AE379" s="55" t="s">
        <v>956</v>
      </c>
      <c r="AF379" s="55" t="s">
        <v>940</v>
      </c>
      <c r="AG379" s="55" t="s">
        <v>976</v>
      </c>
      <c r="AH379" s="55"/>
      <c r="AI379" s="55"/>
      <c r="AJ379" s="55"/>
      <c r="AK379" s="55"/>
      <c r="AL379" s="55"/>
      <c r="AM379" s="55"/>
      <c r="AN379" s="55"/>
      <c r="AO379" s="55"/>
      <c r="AP379" s="55"/>
      <c r="AQ379" s="55"/>
      <c r="AR379" s="55"/>
      <c r="AS379" s="55"/>
      <c r="AT379" s="55"/>
      <c r="AU379" s="55"/>
      <c r="AV379" s="55"/>
      <c r="AW379" s="55"/>
      <c r="AX379" s="55"/>
      <c r="AY379" s="55"/>
      <c r="AZ379" s="55"/>
      <c r="BA379" s="55"/>
      <c r="BB379" s="55"/>
      <c r="BC379" s="55"/>
      <c r="BD379" s="55"/>
      <c r="BE379" s="55"/>
      <c r="BF379" s="55"/>
      <c r="BG379" s="55"/>
      <c r="BH379" s="55"/>
      <c r="BI379" s="55"/>
      <c r="BJ379" s="55"/>
      <c r="BK379" s="55"/>
      <c r="BL379" s="55"/>
      <c r="BM379" s="55"/>
      <c r="BN379" s="55"/>
      <c r="BO379" s="55"/>
      <c r="BP379" s="55"/>
      <c r="BQ379" s="55"/>
      <c r="BR379" s="55"/>
      <c r="BS379" s="55"/>
      <c r="BT379" s="55"/>
      <c r="BU379" s="55"/>
      <c r="BV379" s="55"/>
      <c r="BW379" s="55"/>
      <c r="BX379" s="55"/>
      <c r="BY379" s="55"/>
      <c r="BZ379" s="55"/>
      <c r="CA379" s="55"/>
      <c r="CB379" s="55"/>
      <c r="CC379" s="55"/>
      <c r="CD379" s="55"/>
      <c r="CE379" s="55"/>
      <c r="CF379" s="55"/>
      <c r="CG379" s="55"/>
      <c r="CH379" s="55"/>
      <c r="CI379" s="55"/>
      <c r="CJ379" s="55"/>
      <c r="CK379" s="55"/>
      <c r="CL379" s="55"/>
      <c r="CM379" s="55"/>
      <c r="CN379" s="55"/>
      <c r="CO379" s="55"/>
      <c r="CP379" s="55"/>
      <c r="CQ379" s="55"/>
      <c r="CR379" s="55"/>
      <c r="CS379" s="55"/>
      <c r="CT379" s="55"/>
      <c r="CU379" s="55"/>
      <c r="CV379" s="55"/>
      <c r="CW379" s="55"/>
      <c r="CX379" s="55"/>
      <c r="CY379" s="55"/>
      <c r="CZ379" s="55"/>
      <c r="DA379" s="55"/>
      <c r="DB379" s="55"/>
      <c r="DC379" s="55"/>
      <c r="DD379" s="55"/>
      <c r="DE379" s="55"/>
      <c r="DF379" s="55"/>
      <c r="DG379" s="55"/>
      <c r="DH379" s="55"/>
      <c r="DI379" s="55"/>
      <c r="DJ379" s="55"/>
    </row>
    <row r="380" spans="1:114" ht="15.75" thickBot="1" x14ac:dyDescent="0.3">
      <c r="A380" s="328">
        <v>15</v>
      </c>
      <c r="B380" s="329" t="s">
        <v>974</v>
      </c>
      <c r="C380" s="330">
        <v>2500</v>
      </c>
      <c r="D380" s="331"/>
      <c r="E380" s="332"/>
      <c r="F380" s="333"/>
      <c r="G380" s="334"/>
      <c r="H380" s="316"/>
      <c r="I380" s="334"/>
      <c r="J380" s="334"/>
      <c r="K380" s="335"/>
      <c r="L380" s="297"/>
      <c r="M380" s="297">
        <v>87170</v>
      </c>
      <c r="N380" s="321">
        <f t="shared" ref="N380" si="164">SUM(O380:DK380)</f>
        <v>100678</v>
      </c>
      <c r="O380" s="312">
        <v>7325</v>
      </c>
      <c r="P380" s="318">
        <v>3750</v>
      </c>
      <c r="Q380" s="318">
        <v>5000</v>
      </c>
      <c r="R380" s="318">
        <v>5000</v>
      </c>
      <c r="S380" s="318">
        <v>7288</v>
      </c>
      <c r="T380" s="108">
        <v>4865</v>
      </c>
      <c r="U380" s="108">
        <v>4450</v>
      </c>
      <c r="V380" s="108">
        <v>4825</v>
      </c>
      <c r="W380" s="108">
        <v>5000</v>
      </c>
      <c r="X380" s="108">
        <v>5000</v>
      </c>
      <c r="Y380" s="108">
        <v>4950</v>
      </c>
      <c r="Z380" s="108">
        <v>5000</v>
      </c>
      <c r="AA380" s="108">
        <v>5000</v>
      </c>
      <c r="AB380" s="108">
        <v>5000</v>
      </c>
      <c r="AC380" s="108">
        <v>4975</v>
      </c>
      <c r="AD380" s="108">
        <v>4990</v>
      </c>
      <c r="AE380" s="108">
        <v>4990</v>
      </c>
      <c r="AF380" s="108">
        <v>4995</v>
      </c>
      <c r="AG380" s="108">
        <v>8275</v>
      </c>
      <c r="AH380" s="108"/>
      <c r="AI380" s="108"/>
      <c r="AJ380" s="108"/>
      <c r="AK380" s="108"/>
      <c r="AL380" s="108"/>
      <c r="AM380" s="108"/>
      <c r="AN380" s="108"/>
      <c r="AO380" s="108"/>
      <c r="AP380" s="108"/>
      <c r="AQ380" s="108"/>
      <c r="AR380" s="108"/>
      <c r="AS380" s="108"/>
      <c r="AT380" s="108"/>
      <c r="AU380" s="108"/>
      <c r="AV380" s="108"/>
      <c r="AW380" s="108"/>
      <c r="AX380" s="108"/>
      <c r="AY380" s="108"/>
      <c r="AZ380" s="108"/>
      <c r="BA380" s="108"/>
      <c r="BB380" s="108"/>
      <c r="BC380" s="108"/>
      <c r="BD380" s="108"/>
      <c r="BE380" s="108"/>
      <c r="BF380" s="108"/>
      <c r="BG380" s="108"/>
      <c r="BH380" s="108"/>
      <c r="BI380" s="108"/>
      <c r="BJ380" s="108"/>
      <c r="BK380" s="108"/>
      <c r="BL380" s="108"/>
      <c r="BM380" s="108"/>
      <c r="BN380" s="108"/>
      <c r="BO380" s="108"/>
      <c r="BP380" s="108"/>
      <c r="BQ380" s="108"/>
      <c r="BR380" s="108"/>
      <c r="BS380" s="108"/>
      <c r="BT380" s="108"/>
      <c r="BU380" s="108"/>
      <c r="BV380" s="108"/>
      <c r="BW380" s="108"/>
      <c r="BX380" s="108"/>
      <c r="BY380" s="108"/>
      <c r="BZ380" s="108"/>
      <c r="CA380" s="108"/>
      <c r="CB380" s="108"/>
      <c r="CC380" s="108"/>
      <c r="CD380" s="108"/>
      <c r="CE380" s="108"/>
      <c r="CF380" s="108"/>
      <c r="CG380" s="108"/>
      <c r="CH380" s="108"/>
      <c r="CI380" s="108"/>
      <c r="CJ380" s="108"/>
      <c r="CK380" s="108"/>
      <c r="CL380" s="108"/>
      <c r="CM380" s="108"/>
      <c r="CN380" s="108"/>
      <c r="CO380" s="108"/>
      <c r="CP380" s="108"/>
      <c r="CQ380" s="108"/>
      <c r="CR380" s="108"/>
      <c r="CS380" s="108"/>
      <c r="CT380" s="108"/>
      <c r="CU380" s="108"/>
      <c r="CV380" s="108"/>
      <c r="CW380" s="108"/>
      <c r="CX380" s="108"/>
      <c r="CY380" s="108"/>
      <c r="CZ380" s="108"/>
      <c r="DA380" s="108"/>
      <c r="DB380" s="108"/>
      <c r="DC380" s="108"/>
      <c r="DD380" s="108"/>
      <c r="DE380" s="108"/>
      <c r="DF380" s="108"/>
      <c r="DG380" s="108"/>
      <c r="DH380" s="108"/>
      <c r="DI380" s="108"/>
      <c r="DJ380" s="108"/>
    </row>
    <row r="381" spans="1:114" ht="15.75" thickBot="1" x14ac:dyDescent="0.3">
      <c r="A381" s="83"/>
      <c r="B381" s="119" t="s">
        <v>676</v>
      </c>
      <c r="C381" s="36"/>
      <c r="D381" s="29"/>
      <c r="E381" s="29">
        <f>SUM(E354:E378)</f>
        <v>19020</v>
      </c>
      <c r="F381" s="29">
        <f>SUM(F354:F378)</f>
        <v>0</v>
      </c>
      <c r="G381" s="29">
        <f>SUM(G354:G378)</f>
        <v>19020</v>
      </c>
      <c r="H381" s="29">
        <f>SUM(H354:H378)</f>
        <v>0</v>
      </c>
      <c r="I381" s="29">
        <f>SUM(I354:I378)</f>
        <v>19020</v>
      </c>
      <c r="J381" s="29">
        <f t="shared" ref="J381:K381" si="165">SUM(J354:J378)</f>
        <v>45300000</v>
      </c>
      <c r="K381" s="172">
        <f t="shared" si="165"/>
        <v>5279239.8000000007</v>
      </c>
      <c r="L381" s="299"/>
      <c r="M381" s="299"/>
      <c r="N381" s="322">
        <f t="shared" si="163"/>
        <v>0</v>
      </c>
      <c r="O381" s="325"/>
      <c r="P381" s="325"/>
      <c r="Q381" s="325"/>
      <c r="R381" s="325"/>
      <c r="S381" s="325"/>
      <c r="T381" s="324"/>
      <c r="U381" s="324"/>
      <c r="V381" s="324"/>
      <c r="W381" s="324"/>
      <c r="X381" s="324"/>
      <c r="Y381" s="324"/>
      <c r="Z381" s="324"/>
      <c r="AA381" s="324"/>
      <c r="AB381" s="324"/>
      <c r="AC381" s="324"/>
      <c r="AD381" s="324"/>
      <c r="AE381" s="324"/>
      <c r="AF381" s="324"/>
      <c r="AG381" s="324"/>
      <c r="AH381" s="324"/>
      <c r="AI381" s="324"/>
      <c r="AJ381" s="324"/>
      <c r="AK381" s="324"/>
      <c r="AL381" s="324"/>
      <c r="AM381" s="324"/>
      <c r="AN381" s="324"/>
      <c r="AO381" s="324"/>
      <c r="AP381" s="324"/>
      <c r="AQ381" s="324"/>
      <c r="AR381" s="324"/>
      <c r="AS381" s="324"/>
      <c r="AT381" s="324"/>
      <c r="AU381" s="324"/>
      <c r="AV381" s="324"/>
      <c r="AW381" s="324"/>
      <c r="AX381" s="324"/>
      <c r="AY381" s="324"/>
      <c r="AZ381" s="324"/>
      <c r="BA381" s="324"/>
      <c r="BB381" s="324"/>
      <c r="BC381" s="324"/>
      <c r="BD381" s="324"/>
      <c r="BE381" s="324"/>
      <c r="BF381" s="324"/>
      <c r="BG381" s="324"/>
      <c r="BH381" s="324"/>
      <c r="BI381" s="324"/>
      <c r="BJ381" s="324"/>
      <c r="BK381" s="324"/>
      <c r="BL381" s="324"/>
      <c r="BM381" s="324"/>
      <c r="BN381" s="324"/>
      <c r="BO381" s="324"/>
      <c r="BP381" s="324"/>
      <c r="BQ381" s="324"/>
      <c r="BR381" s="324"/>
      <c r="BS381" s="324"/>
      <c r="BT381" s="324"/>
      <c r="BU381" s="324"/>
      <c r="BV381" s="324"/>
      <c r="BW381" s="324"/>
      <c r="BX381" s="324"/>
      <c r="BY381" s="324"/>
      <c r="BZ381" s="324"/>
      <c r="CA381" s="324"/>
      <c r="CB381" s="324"/>
      <c r="CC381" s="324"/>
      <c r="CD381" s="324"/>
      <c r="CE381" s="324"/>
      <c r="CF381" s="324"/>
      <c r="CG381" s="324"/>
      <c r="CH381" s="324"/>
      <c r="CI381" s="324"/>
      <c r="CJ381" s="324"/>
      <c r="CK381" s="324"/>
      <c r="CL381" s="324"/>
      <c r="CM381" s="324"/>
      <c r="CN381" s="324"/>
      <c r="CO381" s="324"/>
      <c r="CP381" s="324"/>
      <c r="CQ381" s="324"/>
      <c r="CR381" s="324"/>
      <c r="CS381" s="324"/>
      <c r="CT381" s="324"/>
      <c r="CU381" s="324"/>
      <c r="CV381" s="324"/>
      <c r="CW381" s="324"/>
      <c r="CX381" s="324"/>
      <c r="CY381" s="324"/>
      <c r="CZ381" s="324"/>
      <c r="DA381" s="324"/>
      <c r="DB381" s="324"/>
      <c r="DC381" s="324"/>
      <c r="DD381" s="324"/>
      <c r="DE381" s="324"/>
      <c r="DF381" s="324"/>
      <c r="DG381" s="324"/>
      <c r="DH381" s="324"/>
      <c r="DI381" s="324"/>
      <c r="DJ381" s="324"/>
    </row>
    <row r="382" spans="1:114" ht="15.75" thickBot="1" x14ac:dyDescent="0.3">
      <c r="B382" s="93"/>
      <c r="C382" s="94"/>
      <c r="D382" s="95"/>
      <c r="E382" s="96"/>
      <c r="F382" s="62"/>
      <c r="G382" s="96"/>
      <c r="H382" s="96"/>
      <c r="I382" s="96"/>
      <c r="J382" s="96"/>
      <c r="K382" s="95"/>
      <c r="L382" s="163"/>
      <c r="M382" s="163"/>
      <c r="N382" s="295"/>
      <c r="O382" s="234"/>
      <c r="P382" s="234"/>
      <c r="Q382" s="234"/>
      <c r="R382" s="234"/>
      <c r="S382" s="234"/>
      <c r="T382" s="67"/>
      <c r="U382" s="67"/>
      <c r="V382" s="67"/>
    </row>
    <row r="383" spans="1:114" ht="15.75" thickBot="1" x14ac:dyDescent="0.3">
      <c r="A383" s="407" t="s">
        <v>657</v>
      </c>
      <c r="B383" s="414" t="s">
        <v>0</v>
      </c>
      <c r="C383" s="414" t="s">
        <v>1</v>
      </c>
      <c r="D383" s="415" t="s">
        <v>649</v>
      </c>
      <c r="E383" s="416" t="s">
        <v>19</v>
      </c>
      <c r="F383" s="416"/>
      <c r="G383" s="416"/>
      <c r="H383" s="416"/>
      <c r="I383" s="416"/>
      <c r="J383" s="410" t="s">
        <v>21</v>
      </c>
      <c r="K383" s="412" t="s">
        <v>602</v>
      </c>
      <c r="L383" s="295"/>
      <c r="M383" s="295"/>
      <c r="N383" s="403" t="s">
        <v>601</v>
      </c>
      <c r="O383" s="403" t="s">
        <v>924</v>
      </c>
      <c r="P383" s="403"/>
      <c r="Q383" s="403"/>
      <c r="R383" s="403"/>
      <c r="S383" s="403"/>
      <c r="T383" s="403"/>
      <c r="U383" s="403"/>
      <c r="V383" s="403"/>
      <c r="W383" s="403"/>
      <c r="X383" s="403"/>
      <c r="Y383" s="403"/>
      <c r="Z383" s="403"/>
      <c r="AA383" s="403"/>
      <c r="AB383" s="403"/>
      <c r="AC383" s="403"/>
      <c r="AD383" s="403"/>
      <c r="AE383" s="403"/>
      <c r="AF383" s="403"/>
      <c r="AG383" s="403"/>
      <c r="AH383" s="403"/>
      <c r="AI383" s="403"/>
      <c r="AJ383" s="403"/>
      <c r="AK383" s="403"/>
      <c r="AL383" s="403"/>
      <c r="AM383" s="403"/>
      <c r="AN383" s="403"/>
      <c r="AO383" s="403"/>
      <c r="AP383" s="403"/>
      <c r="AQ383" s="403"/>
      <c r="AR383" s="403"/>
      <c r="AS383" s="403"/>
      <c r="AT383" s="403"/>
      <c r="AU383" s="403"/>
      <c r="AV383" s="403"/>
      <c r="AW383" s="403"/>
      <c r="AX383" s="403"/>
      <c r="AY383" s="403"/>
      <c r="AZ383" s="403"/>
      <c r="BA383" s="403"/>
      <c r="BB383" s="403"/>
      <c r="BC383" s="403"/>
      <c r="BD383" s="403"/>
      <c r="BE383" s="403"/>
      <c r="BF383" s="403"/>
      <c r="BG383" s="403"/>
      <c r="BH383" s="403"/>
      <c r="BI383" s="403"/>
      <c r="BJ383" s="403"/>
      <c r="BK383" s="403"/>
      <c r="BL383" s="403"/>
      <c r="BM383" s="403"/>
      <c r="BN383" s="403"/>
      <c r="BO383" s="403"/>
      <c r="BP383" s="403"/>
      <c r="BQ383" s="403"/>
      <c r="BR383" s="403"/>
      <c r="BS383" s="403"/>
      <c r="BT383" s="403"/>
      <c r="BU383" s="403"/>
      <c r="BV383" s="403"/>
      <c r="BW383" s="403"/>
      <c r="BX383" s="403"/>
      <c r="BY383" s="403"/>
      <c r="BZ383" s="403"/>
      <c r="CA383" s="403"/>
      <c r="CB383" s="403"/>
      <c r="CC383" s="403"/>
      <c r="CD383" s="403"/>
      <c r="CE383" s="403"/>
      <c r="CF383" s="403"/>
      <c r="CG383" s="403"/>
      <c r="CH383" s="403"/>
      <c r="CI383" s="403"/>
      <c r="CJ383" s="403"/>
      <c r="CK383" s="403"/>
      <c r="CL383" s="403"/>
      <c r="CM383" s="403"/>
      <c r="CN383" s="403"/>
      <c r="CO383" s="403"/>
      <c r="CP383" s="403"/>
      <c r="CQ383" s="403"/>
      <c r="CR383" s="403"/>
      <c r="CS383" s="403"/>
      <c r="CT383" s="403"/>
      <c r="CU383" s="403"/>
      <c r="CV383" s="403"/>
      <c r="CW383" s="403"/>
      <c r="CX383" s="403"/>
      <c r="CY383" s="403"/>
      <c r="CZ383" s="403"/>
      <c r="DA383" s="403"/>
      <c r="DB383" s="403"/>
      <c r="DC383" s="403"/>
      <c r="DD383" s="403"/>
      <c r="DE383" s="403"/>
      <c r="DF383" s="403"/>
      <c r="DG383" s="403"/>
      <c r="DH383" s="403"/>
      <c r="DI383" s="403"/>
      <c r="DJ383" s="403"/>
    </row>
    <row r="384" spans="1:114" ht="15.75" thickBot="1" x14ac:dyDescent="0.3">
      <c r="A384" s="408"/>
      <c r="B384" s="414"/>
      <c r="C384" s="414"/>
      <c r="D384" s="415"/>
      <c r="E384" s="68" t="s">
        <v>22</v>
      </c>
      <c r="F384" s="68" t="s">
        <v>600</v>
      </c>
      <c r="G384" s="68" t="s">
        <v>601</v>
      </c>
      <c r="H384" s="68" t="s">
        <v>589</v>
      </c>
      <c r="I384" s="68" t="s">
        <v>601</v>
      </c>
      <c r="J384" s="411"/>
      <c r="K384" s="413"/>
      <c r="L384" s="295"/>
      <c r="M384" s="295"/>
      <c r="N384" s="403"/>
      <c r="O384" s="400" t="s">
        <v>925</v>
      </c>
      <c r="P384" s="400" t="s">
        <v>926</v>
      </c>
      <c r="Q384" s="400"/>
      <c r="R384" s="400"/>
      <c r="S384" s="400"/>
      <c r="T384" s="398"/>
      <c r="U384" s="398"/>
      <c r="V384" s="398"/>
      <c r="W384" s="398"/>
      <c r="X384" s="398"/>
      <c r="Y384" s="398"/>
      <c r="Z384" s="398"/>
      <c r="AA384" s="398"/>
      <c r="AB384" s="398"/>
      <c r="AC384" s="398"/>
      <c r="AD384" s="398"/>
      <c r="AE384" s="398"/>
      <c r="AF384" s="398"/>
      <c r="AG384" s="398"/>
      <c r="AH384" s="398"/>
      <c r="AI384" s="398"/>
      <c r="AJ384" s="398"/>
      <c r="AK384" s="398"/>
      <c r="AL384" s="398"/>
      <c r="AM384" s="398"/>
      <c r="AN384" s="398"/>
      <c r="AO384" s="398"/>
      <c r="AP384" s="398"/>
      <c r="AQ384" s="398"/>
      <c r="AR384" s="398"/>
      <c r="AS384" s="398"/>
      <c r="AT384" s="398"/>
      <c r="AU384" s="398"/>
      <c r="AV384" s="398"/>
      <c r="AW384" s="398"/>
      <c r="AX384" s="398"/>
      <c r="AY384" s="398"/>
      <c r="AZ384" s="398"/>
      <c r="BA384" s="398"/>
      <c r="BB384" s="398"/>
      <c r="BC384" s="398"/>
      <c r="BD384" s="398"/>
      <c r="BE384" s="398"/>
      <c r="BF384" s="398"/>
      <c r="BG384" s="398"/>
      <c r="BH384" s="398"/>
      <c r="BI384" s="398"/>
      <c r="BJ384" s="398"/>
      <c r="BK384" s="398"/>
      <c r="BL384" s="398"/>
      <c r="BM384" s="398"/>
      <c r="BN384" s="398"/>
      <c r="BO384" s="398"/>
      <c r="BP384" s="398"/>
      <c r="BQ384" s="398"/>
      <c r="BR384" s="398"/>
      <c r="BS384" s="398"/>
      <c r="BT384" s="398"/>
      <c r="BU384" s="398"/>
      <c r="BV384" s="398"/>
      <c r="BW384" s="398"/>
      <c r="BX384" s="398"/>
      <c r="BY384" s="398"/>
      <c r="BZ384" s="398"/>
      <c r="CA384" s="398"/>
      <c r="CB384" s="398"/>
      <c r="CC384" s="398"/>
      <c r="CD384" s="398"/>
      <c r="CE384" s="398"/>
      <c r="CF384" s="398"/>
      <c r="CG384" s="398"/>
      <c r="CH384" s="398"/>
      <c r="CI384" s="398"/>
      <c r="CJ384" s="398"/>
      <c r="CK384" s="398"/>
      <c r="CL384" s="398"/>
      <c r="CM384" s="398"/>
      <c r="CN384" s="398"/>
      <c r="CO384" s="398"/>
      <c r="CP384" s="398"/>
      <c r="CQ384" s="398"/>
      <c r="CR384" s="398"/>
      <c r="CS384" s="398"/>
      <c r="CT384" s="398"/>
      <c r="CU384" s="398"/>
      <c r="CV384" s="398"/>
      <c r="CW384" s="398"/>
      <c r="CX384" s="398"/>
      <c r="CY384" s="398"/>
      <c r="CZ384" s="398"/>
      <c r="DA384" s="398"/>
      <c r="DB384" s="398"/>
      <c r="DC384" s="398"/>
      <c r="DD384" s="398"/>
      <c r="DE384" s="398"/>
      <c r="DF384" s="398"/>
      <c r="DG384" s="398"/>
      <c r="DH384" s="398"/>
      <c r="DI384" s="398"/>
      <c r="DJ384" s="398"/>
    </row>
    <row r="385" spans="1:114" ht="15.75" thickBot="1" x14ac:dyDescent="0.3">
      <c r="A385" s="409"/>
      <c r="B385" s="69">
        <v>1</v>
      </c>
      <c r="C385" s="69">
        <v>2</v>
      </c>
      <c r="D385" s="69">
        <v>3</v>
      </c>
      <c r="E385" s="70">
        <v>4</v>
      </c>
      <c r="F385" s="70">
        <f>+E385+1</f>
        <v>5</v>
      </c>
      <c r="G385" s="70" t="s">
        <v>652</v>
      </c>
      <c r="H385" s="70">
        <v>7</v>
      </c>
      <c r="I385" s="71" t="s">
        <v>651</v>
      </c>
      <c r="J385" s="42" t="s">
        <v>650</v>
      </c>
      <c r="K385" s="303" t="s">
        <v>653</v>
      </c>
      <c r="L385" s="296"/>
      <c r="M385" s="296"/>
      <c r="N385" s="403"/>
      <c r="O385" s="402"/>
      <c r="P385" s="402"/>
      <c r="Q385" s="402"/>
      <c r="R385" s="402"/>
      <c r="S385" s="402"/>
      <c r="T385" s="399"/>
      <c r="U385" s="399"/>
      <c r="V385" s="399"/>
      <c r="W385" s="399"/>
      <c r="X385" s="399"/>
      <c r="Y385" s="399"/>
      <c r="Z385" s="399"/>
      <c r="AA385" s="399"/>
      <c r="AB385" s="399"/>
      <c r="AC385" s="399"/>
      <c r="AD385" s="399"/>
      <c r="AE385" s="399"/>
      <c r="AF385" s="399"/>
      <c r="AG385" s="399"/>
      <c r="AH385" s="399"/>
      <c r="AI385" s="399"/>
      <c r="AJ385" s="399"/>
      <c r="AK385" s="399"/>
      <c r="AL385" s="399"/>
      <c r="AM385" s="399"/>
      <c r="AN385" s="399"/>
      <c r="AO385" s="399"/>
      <c r="AP385" s="399"/>
      <c r="AQ385" s="399"/>
      <c r="AR385" s="399"/>
      <c r="AS385" s="399"/>
      <c r="AT385" s="399"/>
      <c r="AU385" s="399"/>
      <c r="AV385" s="399"/>
      <c r="AW385" s="399"/>
      <c r="AX385" s="399"/>
      <c r="AY385" s="399"/>
      <c r="AZ385" s="399"/>
      <c r="BA385" s="399"/>
      <c r="BB385" s="399"/>
      <c r="BC385" s="399"/>
      <c r="BD385" s="399"/>
      <c r="BE385" s="399"/>
      <c r="BF385" s="399"/>
      <c r="BG385" s="399"/>
      <c r="BH385" s="399"/>
      <c r="BI385" s="399"/>
      <c r="BJ385" s="399"/>
      <c r="BK385" s="399"/>
      <c r="BL385" s="399"/>
      <c r="BM385" s="399"/>
      <c r="BN385" s="399"/>
      <c r="BO385" s="399"/>
      <c r="BP385" s="399"/>
      <c r="BQ385" s="399"/>
      <c r="BR385" s="399"/>
      <c r="BS385" s="399"/>
      <c r="BT385" s="399"/>
      <c r="BU385" s="399"/>
      <c r="BV385" s="399"/>
      <c r="BW385" s="399"/>
      <c r="BX385" s="399"/>
      <c r="BY385" s="399"/>
      <c r="BZ385" s="399"/>
      <c r="CA385" s="399"/>
      <c r="CB385" s="399"/>
      <c r="CC385" s="399"/>
      <c r="CD385" s="399"/>
      <c r="CE385" s="399"/>
      <c r="CF385" s="399"/>
      <c r="CG385" s="399"/>
      <c r="CH385" s="399"/>
      <c r="CI385" s="399"/>
      <c r="CJ385" s="399"/>
      <c r="CK385" s="399"/>
      <c r="CL385" s="399"/>
      <c r="CM385" s="399"/>
      <c r="CN385" s="399"/>
      <c r="CO385" s="399"/>
      <c r="CP385" s="399"/>
      <c r="CQ385" s="399"/>
      <c r="CR385" s="399"/>
      <c r="CS385" s="399"/>
      <c r="CT385" s="399"/>
      <c r="CU385" s="399"/>
      <c r="CV385" s="399"/>
      <c r="CW385" s="399"/>
      <c r="CX385" s="399"/>
      <c r="CY385" s="399"/>
      <c r="CZ385" s="399"/>
      <c r="DA385" s="399"/>
      <c r="DB385" s="399"/>
      <c r="DC385" s="399"/>
      <c r="DD385" s="399"/>
      <c r="DE385" s="399"/>
      <c r="DF385" s="399"/>
      <c r="DG385" s="399"/>
      <c r="DH385" s="399"/>
      <c r="DI385" s="399"/>
      <c r="DJ385" s="399"/>
    </row>
    <row r="386" spans="1:114" x14ac:dyDescent="0.25">
      <c r="A386" s="72"/>
      <c r="B386" s="72" t="s">
        <v>677</v>
      </c>
      <c r="C386" s="54"/>
      <c r="D386" s="54"/>
      <c r="E386" s="54"/>
      <c r="F386" s="54"/>
      <c r="G386" s="54"/>
      <c r="H386" s="54"/>
      <c r="I386" s="54"/>
      <c r="J386" s="54"/>
      <c r="K386" s="54"/>
      <c r="L386" s="234"/>
      <c r="M386" s="234"/>
      <c r="N386" s="314">
        <f t="shared" ref="N386:N396" si="166">SUM(O386:DK386)</f>
        <v>0</v>
      </c>
      <c r="O386" s="310"/>
      <c r="P386" s="315"/>
      <c r="Q386" s="315"/>
      <c r="R386" s="315"/>
      <c r="S386" s="315"/>
      <c r="T386" s="55"/>
      <c r="U386" s="55"/>
      <c r="V386" s="55"/>
      <c r="W386" s="55"/>
      <c r="X386" s="55"/>
      <c r="Y386" s="55"/>
      <c r="Z386" s="55"/>
      <c r="AA386" s="55"/>
      <c r="AB386" s="55"/>
      <c r="AC386" s="55"/>
      <c r="AD386" s="55"/>
      <c r="AE386" s="55"/>
      <c r="AF386" s="55"/>
      <c r="AG386" s="55"/>
      <c r="AH386" s="55"/>
      <c r="AI386" s="55"/>
      <c r="AJ386" s="55"/>
      <c r="AK386" s="55"/>
      <c r="AL386" s="55"/>
      <c r="AM386" s="55"/>
      <c r="AN386" s="55"/>
      <c r="AO386" s="55"/>
      <c r="AP386" s="55"/>
      <c r="AQ386" s="55"/>
      <c r="AR386" s="55"/>
      <c r="AS386" s="55"/>
      <c r="AT386" s="55"/>
      <c r="AU386" s="55"/>
      <c r="AV386" s="55"/>
      <c r="AW386" s="55"/>
      <c r="AX386" s="55"/>
      <c r="AY386" s="55"/>
      <c r="AZ386" s="55"/>
      <c r="BA386" s="55"/>
      <c r="BB386" s="55"/>
      <c r="BC386" s="55"/>
      <c r="BD386" s="55"/>
      <c r="BE386" s="55"/>
      <c r="BF386" s="55"/>
      <c r="BG386" s="55"/>
      <c r="BH386" s="55"/>
      <c r="BI386" s="55"/>
      <c r="BJ386" s="55"/>
      <c r="BK386" s="55"/>
      <c r="BL386" s="55"/>
      <c r="BM386" s="55"/>
      <c r="BN386" s="55"/>
      <c r="BO386" s="55"/>
      <c r="BP386" s="55"/>
      <c r="BQ386" s="55"/>
      <c r="BR386" s="55"/>
      <c r="BS386" s="55"/>
      <c r="BT386" s="55"/>
      <c r="BU386" s="55"/>
      <c r="BV386" s="55"/>
      <c r="BW386" s="55"/>
      <c r="BX386" s="55"/>
      <c r="BY386" s="55"/>
      <c r="BZ386" s="55"/>
      <c r="CA386" s="55"/>
      <c r="CB386" s="55"/>
      <c r="CC386" s="55"/>
      <c r="CD386" s="55"/>
      <c r="CE386" s="55"/>
      <c r="CF386" s="55"/>
      <c r="CG386" s="55"/>
      <c r="CH386" s="55"/>
      <c r="CI386" s="55"/>
      <c r="CJ386" s="55"/>
      <c r="CK386" s="55"/>
      <c r="CL386" s="55"/>
      <c r="CM386" s="55"/>
      <c r="CN386" s="55"/>
      <c r="CO386" s="55"/>
      <c r="CP386" s="55"/>
      <c r="CQ386" s="55"/>
      <c r="CR386" s="55"/>
      <c r="CS386" s="55"/>
      <c r="CT386" s="55"/>
      <c r="CU386" s="55"/>
      <c r="CV386" s="55"/>
      <c r="CW386" s="55"/>
      <c r="CX386" s="55"/>
      <c r="CY386" s="55"/>
      <c r="CZ386" s="55"/>
      <c r="DA386" s="55"/>
      <c r="DB386" s="55"/>
      <c r="DC386" s="55"/>
      <c r="DD386" s="55"/>
      <c r="DE386" s="55"/>
      <c r="DF386" s="55"/>
      <c r="DG386" s="55"/>
      <c r="DH386" s="55"/>
      <c r="DI386" s="55"/>
      <c r="DJ386" s="55"/>
    </row>
    <row r="387" spans="1:114" x14ac:dyDescent="0.25">
      <c r="A387" s="120">
        <v>1</v>
      </c>
      <c r="B387" s="79" t="s">
        <v>678</v>
      </c>
      <c r="C387" s="80">
        <v>2500</v>
      </c>
      <c r="D387" s="101">
        <v>100.97</v>
      </c>
      <c r="E387" s="43">
        <v>36224</v>
      </c>
      <c r="F387" s="60"/>
      <c r="G387" s="56">
        <f t="shared" ref="G387:G409" si="167">+E387+F387</f>
        <v>36224</v>
      </c>
      <c r="H387" s="55">
        <f>72448-72448</f>
        <v>0</v>
      </c>
      <c r="I387" s="56">
        <f t="shared" ref="I387:I409" si="168">+G387-H387</f>
        <v>36224</v>
      </c>
      <c r="J387" s="56">
        <f t="shared" ref="J387:J409" si="169">I387*C387</f>
        <v>90560000</v>
      </c>
      <c r="K387" s="57">
        <f t="shared" ref="K387:K409" si="170">+D387*I387</f>
        <v>3657537.28</v>
      </c>
      <c r="L387" s="297"/>
      <c r="M387" s="297"/>
      <c r="N387" s="314">
        <f t="shared" si="166"/>
        <v>0</v>
      </c>
      <c r="O387" s="310"/>
      <c r="P387" s="315"/>
      <c r="Q387" s="315"/>
      <c r="R387" s="315"/>
      <c r="S387" s="315"/>
      <c r="T387" s="55"/>
      <c r="U387" s="55"/>
      <c r="V387" s="55"/>
      <c r="W387" s="55"/>
      <c r="X387" s="55"/>
      <c r="Y387" s="55"/>
      <c r="Z387" s="55"/>
      <c r="AA387" s="55"/>
      <c r="AB387" s="55"/>
      <c r="AC387" s="55"/>
      <c r="AD387" s="55"/>
      <c r="AE387" s="55"/>
      <c r="AF387" s="55"/>
      <c r="AG387" s="55"/>
      <c r="AH387" s="55"/>
      <c r="AI387" s="55"/>
      <c r="AJ387" s="55"/>
      <c r="AK387" s="55"/>
      <c r="AL387" s="55"/>
      <c r="AM387" s="55"/>
      <c r="AN387" s="55"/>
      <c r="AO387" s="55"/>
      <c r="AP387" s="55"/>
      <c r="AQ387" s="55"/>
      <c r="AR387" s="55"/>
      <c r="AS387" s="55"/>
      <c r="AT387" s="55"/>
      <c r="AU387" s="55"/>
      <c r="AV387" s="55"/>
      <c r="AW387" s="55"/>
      <c r="AX387" s="55"/>
      <c r="AY387" s="55"/>
      <c r="AZ387" s="55"/>
      <c r="BA387" s="55"/>
      <c r="BB387" s="55"/>
      <c r="BC387" s="55"/>
      <c r="BD387" s="55"/>
      <c r="BE387" s="55"/>
      <c r="BF387" s="55"/>
      <c r="BG387" s="55"/>
      <c r="BH387" s="55"/>
      <c r="BI387" s="55"/>
      <c r="BJ387" s="55"/>
      <c r="BK387" s="55"/>
      <c r="BL387" s="55"/>
      <c r="BM387" s="55"/>
      <c r="BN387" s="55"/>
      <c r="BO387" s="55"/>
      <c r="BP387" s="55"/>
      <c r="BQ387" s="55"/>
      <c r="BR387" s="55"/>
      <c r="BS387" s="55"/>
      <c r="BT387" s="55"/>
      <c r="BU387" s="55"/>
      <c r="BV387" s="55"/>
      <c r="BW387" s="55"/>
      <c r="BX387" s="55"/>
      <c r="BY387" s="55"/>
      <c r="BZ387" s="55"/>
      <c r="CA387" s="55"/>
      <c r="CB387" s="55"/>
      <c r="CC387" s="55"/>
      <c r="CD387" s="55"/>
      <c r="CE387" s="55"/>
      <c r="CF387" s="55"/>
      <c r="CG387" s="55"/>
      <c r="CH387" s="55"/>
      <c r="CI387" s="55"/>
      <c r="CJ387" s="55"/>
      <c r="CK387" s="55"/>
      <c r="CL387" s="55"/>
      <c r="CM387" s="55"/>
      <c r="CN387" s="55"/>
      <c r="CO387" s="55"/>
      <c r="CP387" s="55"/>
      <c r="CQ387" s="55"/>
      <c r="CR387" s="55"/>
      <c r="CS387" s="55"/>
      <c r="CT387" s="55"/>
      <c r="CU387" s="55"/>
      <c r="CV387" s="55"/>
      <c r="CW387" s="55"/>
      <c r="CX387" s="55"/>
      <c r="CY387" s="55"/>
      <c r="CZ387" s="55"/>
      <c r="DA387" s="55"/>
      <c r="DB387" s="55"/>
      <c r="DC387" s="55"/>
      <c r="DD387" s="55"/>
      <c r="DE387" s="55"/>
      <c r="DF387" s="55"/>
      <c r="DG387" s="55"/>
      <c r="DH387" s="55"/>
      <c r="DI387" s="55"/>
      <c r="DJ387" s="55"/>
    </row>
    <row r="388" spans="1:114" x14ac:dyDescent="0.25">
      <c r="A388" s="120">
        <v>2</v>
      </c>
      <c r="B388" s="79" t="s">
        <v>678</v>
      </c>
      <c r="C388" s="80">
        <v>5000</v>
      </c>
      <c r="D388" s="101">
        <v>100.97</v>
      </c>
      <c r="E388" s="43">
        <v>36224</v>
      </c>
      <c r="F388" s="60"/>
      <c r="G388" s="56">
        <f t="shared" si="167"/>
        <v>36224</v>
      </c>
      <c r="H388" s="55">
        <f>72448-72448</f>
        <v>0</v>
      </c>
      <c r="I388" s="56">
        <f t="shared" si="168"/>
        <v>36224</v>
      </c>
      <c r="J388" s="56">
        <f t="shared" si="169"/>
        <v>181120000</v>
      </c>
      <c r="K388" s="57">
        <f t="shared" si="170"/>
        <v>3657537.28</v>
      </c>
      <c r="L388" s="297"/>
      <c r="M388" s="297"/>
      <c r="N388" s="314">
        <f t="shared" si="166"/>
        <v>0</v>
      </c>
      <c r="O388" s="310"/>
      <c r="P388" s="315"/>
      <c r="Q388" s="315"/>
      <c r="R388" s="315"/>
      <c r="S388" s="315"/>
      <c r="T388" s="55"/>
      <c r="U388" s="55"/>
      <c r="V388" s="55"/>
      <c r="W388" s="55"/>
      <c r="X388" s="55"/>
      <c r="Y388" s="55"/>
      <c r="Z388" s="55"/>
      <c r="AA388" s="55"/>
      <c r="AB388" s="55"/>
      <c r="AC388" s="55"/>
      <c r="AD388" s="55"/>
      <c r="AE388" s="55"/>
      <c r="AF388" s="55"/>
      <c r="AG388" s="55"/>
      <c r="AH388" s="55"/>
      <c r="AI388" s="55"/>
      <c r="AJ388" s="55"/>
      <c r="AK388" s="55"/>
      <c r="AL388" s="55"/>
      <c r="AM388" s="55"/>
      <c r="AN388" s="55"/>
      <c r="AO388" s="55"/>
      <c r="AP388" s="55"/>
      <c r="AQ388" s="55"/>
      <c r="AR388" s="55"/>
      <c r="AS388" s="55"/>
      <c r="AT388" s="55"/>
      <c r="AU388" s="55"/>
      <c r="AV388" s="55"/>
      <c r="AW388" s="55"/>
      <c r="AX388" s="55"/>
      <c r="AY388" s="55"/>
      <c r="AZ388" s="55"/>
      <c r="BA388" s="55"/>
      <c r="BB388" s="55"/>
      <c r="BC388" s="55"/>
      <c r="BD388" s="55"/>
      <c r="BE388" s="55"/>
      <c r="BF388" s="55"/>
      <c r="BG388" s="55"/>
      <c r="BH388" s="55"/>
      <c r="BI388" s="55"/>
      <c r="BJ388" s="55"/>
      <c r="BK388" s="55"/>
      <c r="BL388" s="55"/>
      <c r="BM388" s="55"/>
      <c r="BN388" s="55"/>
      <c r="BO388" s="55"/>
      <c r="BP388" s="55"/>
      <c r="BQ388" s="55"/>
      <c r="BR388" s="55"/>
      <c r="BS388" s="55"/>
      <c r="BT388" s="55"/>
      <c r="BU388" s="55"/>
      <c r="BV388" s="55"/>
      <c r="BW388" s="55"/>
      <c r="BX388" s="55"/>
      <c r="BY388" s="55"/>
      <c r="BZ388" s="55"/>
      <c r="CA388" s="55"/>
      <c r="CB388" s="55"/>
      <c r="CC388" s="55"/>
      <c r="CD388" s="55"/>
      <c r="CE388" s="55"/>
      <c r="CF388" s="55"/>
      <c r="CG388" s="55"/>
      <c r="CH388" s="55"/>
      <c r="CI388" s="55"/>
      <c r="CJ388" s="55"/>
      <c r="CK388" s="55"/>
      <c r="CL388" s="55"/>
      <c r="CM388" s="55"/>
      <c r="CN388" s="55"/>
      <c r="CO388" s="55"/>
      <c r="CP388" s="55"/>
      <c r="CQ388" s="55"/>
      <c r="CR388" s="55"/>
      <c r="CS388" s="55"/>
      <c r="CT388" s="55"/>
      <c r="CU388" s="55"/>
      <c r="CV388" s="55"/>
      <c r="CW388" s="55"/>
      <c r="CX388" s="55"/>
      <c r="CY388" s="55"/>
      <c r="CZ388" s="55"/>
      <c r="DA388" s="55"/>
      <c r="DB388" s="55"/>
      <c r="DC388" s="55"/>
      <c r="DD388" s="55"/>
      <c r="DE388" s="55"/>
      <c r="DF388" s="55"/>
      <c r="DG388" s="55"/>
      <c r="DH388" s="55"/>
      <c r="DI388" s="55"/>
      <c r="DJ388" s="55"/>
    </row>
    <row r="389" spans="1:114" x14ac:dyDescent="0.25">
      <c r="A389" s="120">
        <v>3</v>
      </c>
      <c r="B389" s="79" t="s">
        <v>678</v>
      </c>
      <c r="C389" s="80">
        <v>7500</v>
      </c>
      <c r="D389" s="101">
        <v>100.97</v>
      </c>
      <c r="E389" s="43">
        <v>36224</v>
      </c>
      <c r="F389" s="60"/>
      <c r="G389" s="56">
        <f t="shared" si="167"/>
        <v>36224</v>
      </c>
      <c r="H389" s="55">
        <f>72448-72448</f>
        <v>0</v>
      </c>
      <c r="I389" s="56">
        <f t="shared" si="168"/>
        <v>36224</v>
      </c>
      <c r="J389" s="56">
        <f t="shared" si="169"/>
        <v>271680000</v>
      </c>
      <c r="K389" s="57">
        <f t="shared" si="170"/>
        <v>3657537.28</v>
      </c>
      <c r="L389" s="297"/>
      <c r="M389" s="297"/>
      <c r="N389" s="314">
        <f t="shared" si="166"/>
        <v>0</v>
      </c>
      <c r="O389" s="310"/>
      <c r="P389" s="315"/>
      <c r="Q389" s="315"/>
      <c r="R389" s="315"/>
      <c r="S389" s="315"/>
      <c r="T389" s="55"/>
      <c r="U389" s="55"/>
      <c r="V389" s="55"/>
      <c r="W389" s="55"/>
      <c r="X389" s="55"/>
      <c r="Y389" s="55"/>
      <c r="Z389" s="55"/>
      <c r="AA389" s="55"/>
      <c r="AB389" s="55"/>
      <c r="AC389" s="55"/>
      <c r="AD389" s="55"/>
      <c r="AE389" s="55"/>
      <c r="AF389" s="55"/>
      <c r="AG389" s="55"/>
      <c r="AH389" s="55"/>
      <c r="AI389" s="55"/>
      <c r="AJ389" s="55"/>
      <c r="AK389" s="55"/>
      <c r="AL389" s="55"/>
      <c r="AM389" s="55"/>
      <c r="AN389" s="55"/>
      <c r="AO389" s="55"/>
      <c r="AP389" s="55"/>
      <c r="AQ389" s="55"/>
      <c r="AR389" s="55"/>
      <c r="AS389" s="55"/>
      <c r="AT389" s="55"/>
      <c r="AU389" s="55"/>
      <c r="AV389" s="55"/>
      <c r="AW389" s="55"/>
      <c r="AX389" s="55"/>
      <c r="AY389" s="55"/>
      <c r="AZ389" s="55"/>
      <c r="BA389" s="55"/>
      <c r="BB389" s="55"/>
      <c r="BC389" s="55"/>
      <c r="BD389" s="55"/>
      <c r="BE389" s="55"/>
      <c r="BF389" s="55"/>
      <c r="BG389" s="55"/>
      <c r="BH389" s="55"/>
      <c r="BI389" s="55"/>
      <c r="BJ389" s="55"/>
      <c r="BK389" s="55"/>
      <c r="BL389" s="55"/>
      <c r="BM389" s="55"/>
      <c r="BN389" s="55"/>
      <c r="BO389" s="55"/>
      <c r="BP389" s="55"/>
      <c r="BQ389" s="55"/>
      <c r="BR389" s="55"/>
      <c r="BS389" s="55"/>
      <c r="BT389" s="55"/>
      <c r="BU389" s="55"/>
      <c r="BV389" s="55"/>
      <c r="BW389" s="55"/>
      <c r="BX389" s="55"/>
      <c r="BY389" s="55"/>
      <c r="BZ389" s="55"/>
      <c r="CA389" s="55"/>
      <c r="CB389" s="55"/>
      <c r="CC389" s="55"/>
      <c r="CD389" s="55"/>
      <c r="CE389" s="55"/>
      <c r="CF389" s="55"/>
      <c r="CG389" s="55"/>
      <c r="CH389" s="55"/>
      <c r="CI389" s="55"/>
      <c r="CJ389" s="55"/>
      <c r="CK389" s="55"/>
      <c r="CL389" s="55"/>
      <c r="CM389" s="55"/>
      <c r="CN389" s="55"/>
      <c r="CO389" s="55"/>
      <c r="CP389" s="55"/>
      <c r="CQ389" s="55"/>
      <c r="CR389" s="55"/>
      <c r="CS389" s="55"/>
      <c r="CT389" s="55"/>
      <c r="CU389" s="55"/>
      <c r="CV389" s="55"/>
      <c r="CW389" s="55"/>
      <c r="CX389" s="55"/>
      <c r="CY389" s="55"/>
      <c r="CZ389" s="55"/>
      <c r="DA389" s="55"/>
      <c r="DB389" s="55"/>
      <c r="DC389" s="55"/>
      <c r="DD389" s="55"/>
      <c r="DE389" s="55"/>
      <c r="DF389" s="55"/>
      <c r="DG389" s="55"/>
      <c r="DH389" s="55"/>
      <c r="DI389" s="55"/>
      <c r="DJ389" s="55"/>
    </row>
    <row r="390" spans="1:114" x14ac:dyDescent="0.25">
      <c r="A390" s="339"/>
      <c r="B390" s="340"/>
      <c r="C390" s="341"/>
      <c r="D390" s="373"/>
      <c r="E390" s="344"/>
      <c r="F390" s="350"/>
      <c r="G390" s="345"/>
      <c r="H390" s="346"/>
      <c r="I390" s="345"/>
      <c r="J390" s="345"/>
      <c r="K390" s="347"/>
      <c r="L390" s="297"/>
      <c r="M390" s="297"/>
      <c r="N390" s="348"/>
      <c r="O390" s="310" t="s">
        <v>935</v>
      </c>
      <c r="P390" s="349" t="s">
        <v>951</v>
      </c>
      <c r="Q390" s="349" t="s">
        <v>991</v>
      </c>
      <c r="R390" s="349" t="s">
        <v>961</v>
      </c>
      <c r="S390" s="349"/>
      <c r="T390" s="346"/>
      <c r="U390" s="346"/>
      <c r="V390" s="346"/>
      <c r="W390" s="346"/>
      <c r="X390" s="346"/>
      <c r="Y390" s="346"/>
      <c r="Z390" s="346"/>
      <c r="AA390" s="346"/>
      <c r="AB390" s="346"/>
      <c r="AC390" s="346"/>
      <c r="AD390" s="346"/>
      <c r="AE390" s="346"/>
      <c r="AF390" s="346"/>
      <c r="AG390" s="346"/>
      <c r="AH390" s="346"/>
      <c r="AI390" s="346"/>
      <c r="AJ390" s="346"/>
      <c r="AK390" s="346"/>
      <c r="AL390" s="346"/>
      <c r="AM390" s="346"/>
      <c r="AN390" s="346"/>
      <c r="AO390" s="346"/>
      <c r="AP390" s="346"/>
      <c r="AQ390" s="346"/>
      <c r="AR390" s="346"/>
      <c r="AS390" s="346"/>
      <c r="AT390" s="346"/>
      <c r="AU390" s="346"/>
      <c r="AV390" s="346"/>
      <c r="AW390" s="346"/>
      <c r="AX390" s="346"/>
      <c r="AY390" s="346"/>
      <c r="AZ390" s="346"/>
      <c r="BA390" s="346"/>
      <c r="BB390" s="346"/>
      <c r="BC390" s="346"/>
      <c r="BD390" s="346"/>
      <c r="BE390" s="346"/>
      <c r="BF390" s="346"/>
      <c r="BG390" s="346"/>
      <c r="BH390" s="346"/>
      <c r="BI390" s="346"/>
      <c r="BJ390" s="346"/>
      <c r="BK390" s="346"/>
      <c r="BL390" s="346"/>
      <c r="BM390" s="346"/>
      <c r="BN390" s="346"/>
      <c r="BO390" s="346"/>
      <c r="BP390" s="346"/>
      <c r="BQ390" s="346"/>
      <c r="BR390" s="346"/>
      <c r="BS390" s="346"/>
      <c r="BT390" s="346"/>
      <c r="BU390" s="346"/>
      <c r="BV390" s="346"/>
      <c r="BW390" s="346"/>
      <c r="BX390" s="346"/>
      <c r="BY390" s="346"/>
      <c r="BZ390" s="346"/>
      <c r="CA390" s="346"/>
      <c r="CB390" s="346"/>
      <c r="CC390" s="346"/>
      <c r="CD390" s="346"/>
      <c r="CE390" s="346"/>
      <c r="CF390" s="346"/>
      <c r="CG390" s="346"/>
      <c r="CH390" s="346"/>
      <c r="CI390" s="346"/>
      <c r="CJ390" s="346"/>
      <c r="CK390" s="346"/>
      <c r="CL390" s="346"/>
      <c r="CM390" s="346"/>
      <c r="CN390" s="346"/>
      <c r="CO390" s="346"/>
      <c r="CP390" s="346"/>
      <c r="CQ390" s="346"/>
      <c r="CR390" s="346"/>
      <c r="CS390" s="346"/>
      <c r="CT390" s="346"/>
      <c r="CU390" s="346"/>
      <c r="CV390" s="346"/>
      <c r="CW390" s="346"/>
      <c r="CX390" s="346"/>
      <c r="CY390" s="346"/>
      <c r="CZ390" s="346"/>
      <c r="DA390" s="346"/>
      <c r="DB390" s="346"/>
      <c r="DC390" s="346"/>
      <c r="DD390" s="346"/>
      <c r="DE390" s="346"/>
      <c r="DF390" s="346"/>
      <c r="DG390" s="346"/>
      <c r="DH390" s="346"/>
      <c r="DI390" s="346"/>
      <c r="DJ390" s="346"/>
    </row>
    <row r="391" spans="1:114" x14ac:dyDescent="0.25">
      <c r="A391" s="227">
        <v>4</v>
      </c>
      <c r="B391" s="79" t="s">
        <v>779</v>
      </c>
      <c r="C391" s="80">
        <f>5000-2500</f>
        <v>2500</v>
      </c>
      <c r="D391" s="101">
        <f>2*130.08</f>
        <v>260.16000000000003</v>
      </c>
      <c r="E391" s="43">
        <v>0</v>
      </c>
      <c r="F391" s="60"/>
      <c r="G391" s="56">
        <f t="shared" si="167"/>
        <v>0</v>
      </c>
      <c r="H391" s="55">
        <f>3980-3980+10000-10000</f>
        <v>0</v>
      </c>
      <c r="I391" s="56">
        <f t="shared" si="168"/>
        <v>0</v>
      </c>
      <c r="J391" s="56">
        <f t="shared" si="169"/>
        <v>0</v>
      </c>
      <c r="K391" s="57">
        <f t="shared" si="170"/>
        <v>0</v>
      </c>
      <c r="L391" s="297"/>
      <c r="M391" s="297">
        <v>22910</v>
      </c>
      <c r="N391" s="314">
        <f t="shared" si="166"/>
        <v>13756</v>
      </c>
      <c r="O391" s="310">
        <v>2000</v>
      </c>
      <c r="P391" s="315">
        <v>4000</v>
      </c>
      <c r="Q391" s="315">
        <v>1796</v>
      </c>
      <c r="R391" s="315">
        <v>5960</v>
      </c>
      <c r="S391" s="315"/>
      <c r="T391" s="55"/>
      <c r="U391" s="55"/>
      <c r="V391" s="55"/>
      <c r="W391" s="55"/>
      <c r="X391" s="55"/>
      <c r="Y391" s="55"/>
      <c r="Z391" s="55"/>
      <c r="AA391" s="55"/>
      <c r="AB391" s="55"/>
      <c r="AC391" s="55"/>
      <c r="AD391" s="55"/>
      <c r="AE391" s="55"/>
      <c r="AF391" s="55"/>
      <c r="AG391" s="55"/>
      <c r="AH391" s="55"/>
      <c r="AI391" s="55"/>
      <c r="AJ391" s="55"/>
      <c r="AK391" s="55"/>
      <c r="AL391" s="55"/>
      <c r="AM391" s="55"/>
      <c r="AN391" s="55"/>
      <c r="AO391" s="55"/>
      <c r="AP391" s="55"/>
      <c r="AQ391" s="55"/>
      <c r="AR391" s="55"/>
      <c r="AS391" s="55"/>
      <c r="AT391" s="55"/>
      <c r="AU391" s="55"/>
      <c r="AV391" s="55"/>
      <c r="AW391" s="55"/>
      <c r="AX391" s="55"/>
      <c r="AY391" s="55"/>
      <c r="AZ391" s="55"/>
      <c r="BA391" s="55"/>
      <c r="BB391" s="55"/>
      <c r="BC391" s="55"/>
      <c r="BD391" s="55"/>
      <c r="BE391" s="55"/>
      <c r="BF391" s="55"/>
      <c r="BG391" s="55"/>
      <c r="BH391" s="55"/>
      <c r="BI391" s="55"/>
      <c r="BJ391" s="55"/>
      <c r="BK391" s="55"/>
      <c r="BL391" s="55"/>
      <c r="BM391" s="55"/>
      <c r="BN391" s="55"/>
      <c r="BO391" s="55"/>
      <c r="BP391" s="55"/>
      <c r="BQ391" s="55"/>
      <c r="BR391" s="55"/>
      <c r="BS391" s="55"/>
      <c r="BT391" s="55"/>
      <c r="BU391" s="55"/>
      <c r="BV391" s="55"/>
      <c r="BW391" s="55"/>
      <c r="BX391" s="55"/>
      <c r="BY391" s="55"/>
      <c r="BZ391" s="55"/>
      <c r="CA391" s="55"/>
      <c r="CB391" s="55"/>
      <c r="CC391" s="55"/>
      <c r="CD391" s="55"/>
      <c r="CE391" s="55"/>
      <c r="CF391" s="55"/>
      <c r="CG391" s="55"/>
      <c r="CH391" s="55"/>
      <c r="CI391" s="55"/>
      <c r="CJ391" s="55"/>
      <c r="CK391" s="55"/>
      <c r="CL391" s="55"/>
      <c r="CM391" s="55"/>
      <c r="CN391" s="55"/>
      <c r="CO391" s="55"/>
      <c r="CP391" s="55"/>
      <c r="CQ391" s="55"/>
      <c r="CR391" s="55"/>
      <c r="CS391" s="55"/>
      <c r="CT391" s="55"/>
      <c r="CU391" s="55"/>
      <c r="CV391" s="55"/>
      <c r="CW391" s="55"/>
      <c r="CX391" s="55"/>
      <c r="CY391" s="55"/>
      <c r="CZ391" s="55"/>
      <c r="DA391" s="55"/>
      <c r="DB391" s="55"/>
      <c r="DC391" s="55"/>
      <c r="DD391" s="55"/>
      <c r="DE391" s="55"/>
      <c r="DF391" s="55"/>
      <c r="DG391" s="55"/>
      <c r="DH391" s="55"/>
      <c r="DI391" s="55"/>
      <c r="DJ391" s="55"/>
    </row>
    <row r="392" spans="1:114" x14ac:dyDescent="0.25">
      <c r="A392" s="227">
        <v>5</v>
      </c>
      <c r="B392" s="79" t="s">
        <v>679</v>
      </c>
      <c r="C392" s="80">
        <f>+'[1]KEL A-2'!$H$5</f>
        <v>8000</v>
      </c>
      <c r="D392" s="81">
        <f>+'[2]Prangko Filateli '!$D$196</f>
        <v>226.62</v>
      </c>
      <c r="E392" s="43">
        <v>12000</v>
      </c>
      <c r="F392" s="60"/>
      <c r="G392" s="56">
        <f t="shared" si="167"/>
        <v>12000</v>
      </c>
      <c r="H392" s="55">
        <v>12000</v>
      </c>
      <c r="I392" s="56">
        <f t="shared" si="168"/>
        <v>0</v>
      </c>
      <c r="J392" s="56">
        <f t="shared" si="169"/>
        <v>0</v>
      </c>
      <c r="K392" s="57">
        <f t="shared" si="170"/>
        <v>0</v>
      </c>
      <c r="L392" s="297"/>
      <c r="M392" s="297"/>
      <c r="N392" s="314">
        <f t="shared" si="166"/>
        <v>0</v>
      </c>
      <c r="O392" s="310"/>
      <c r="P392" s="315"/>
      <c r="Q392" s="315"/>
      <c r="R392" s="315"/>
      <c r="S392" s="315"/>
      <c r="T392" s="55"/>
      <c r="U392" s="55"/>
      <c r="V392" s="55"/>
      <c r="W392" s="55"/>
      <c r="X392" s="55"/>
      <c r="Y392" s="55"/>
      <c r="Z392" s="55"/>
      <c r="AA392" s="55"/>
      <c r="AB392" s="55"/>
      <c r="AC392" s="55"/>
      <c r="AD392" s="55"/>
      <c r="AE392" s="55"/>
      <c r="AF392" s="55"/>
      <c r="AG392" s="55"/>
      <c r="AH392" s="55"/>
      <c r="AI392" s="55"/>
      <c r="AJ392" s="55"/>
      <c r="AK392" s="55"/>
      <c r="AL392" s="55"/>
      <c r="AM392" s="55"/>
      <c r="AN392" s="55"/>
      <c r="AO392" s="55"/>
      <c r="AP392" s="55"/>
      <c r="AQ392" s="55"/>
      <c r="AR392" s="55"/>
      <c r="AS392" s="55"/>
      <c r="AT392" s="55"/>
      <c r="AU392" s="55"/>
      <c r="AV392" s="55"/>
      <c r="AW392" s="55"/>
      <c r="AX392" s="55"/>
      <c r="AY392" s="55"/>
      <c r="AZ392" s="55"/>
      <c r="BA392" s="55"/>
      <c r="BB392" s="55"/>
      <c r="BC392" s="55"/>
      <c r="BD392" s="55"/>
      <c r="BE392" s="55"/>
      <c r="BF392" s="55"/>
      <c r="BG392" s="55"/>
      <c r="BH392" s="55"/>
      <c r="BI392" s="55"/>
      <c r="BJ392" s="55"/>
      <c r="BK392" s="55"/>
      <c r="BL392" s="55"/>
      <c r="BM392" s="55"/>
      <c r="BN392" s="55"/>
      <c r="BO392" s="55"/>
      <c r="BP392" s="55"/>
      <c r="BQ392" s="55"/>
      <c r="BR392" s="55"/>
      <c r="BS392" s="55"/>
      <c r="BT392" s="55"/>
      <c r="BU392" s="55"/>
      <c r="BV392" s="55"/>
      <c r="BW392" s="55"/>
      <c r="BX392" s="55"/>
      <c r="BY392" s="55"/>
      <c r="BZ392" s="55"/>
      <c r="CA392" s="55"/>
      <c r="CB392" s="55"/>
      <c r="CC392" s="55"/>
      <c r="CD392" s="55"/>
      <c r="CE392" s="55"/>
      <c r="CF392" s="55"/>
      <c r="CG392" s="55"/>
      <c r="CH392" s="55"/>
      <c r="CI392" s="55"/>
      <c r="CJ392" s="55"/>
      <c r="CK392" s="55"/>
      <c r="CL392" s="55"/>
      <c r="CM392" s="55"/>
      <c r="CN392" s="55"/>
      <c r="CO392" s="55"/>
      <c r="CP392" s="55"/>
      <c r="CQ392" s="55"/>
      <c r="CR392" s="55"/>
      <c r="CS392" s="55"/>
      <c r="CT392" s="55"/>
      <c r="CU392" s="55"/>
      <c r="CV392" s="55"/>
      <c r="CW392" s="55"/>
      <c r="CX392" s="55"/>
      <c r="CY392" s="55"/>
      <c r="CZ392" s="55"/>
      <c r="DA392" s="55"/>
      <c r="DB392" s="55"/>
      <c r="DC392" s="55"/>
      <c r="DD392" s="55"/>
      <c r="DE392" s="55"/>
      <c r="DF392" s="55"/>
      <c r="DG392" s="55"/>
      <c r="DH392" s="55"/>
      <c r="DI392" s="55"/>
      <c r="DJ392" s="55"/>
    </row>
    <row r="393" spans="1:114" x14ac:dyDescent="0.25">
      <c r="A393" s="355"/>
      <c r="B393" s="340"/>
      <c r="C393" s="341"/>
      <c r="D393" s="342"/>
      <c r="E393" s="344"/>
      <c r="F393" s="350"/>
      <c r="G393" s="345"/>
      <c r="H393" s="346"/>
      <c r="I393" s="345"/>
      <c r="J393" s="345"/>
      <c r="K393" s="347"/>
      <c r="L393" s="297"/>
      <c r="M393" s="297"/>
      <c r="N393" s="348"/>
      <c r="O393" s="310" t="s">
        <v>997</v>
      </c>
      <c r="P393" s="310" t="s">
        <v>997</v>
      </c>
      <c r="Q393" s="310" t="s">
        <v>997</v>
      </c>
      <c r="R393" s="310" t="s">
        <v>997</v>
      </c>
      <c r="S393" s="310" t="s">
        <v>997</v>
      </c>
      <c r="T393" s="310" t="s">
        <v>997</v>
      </c>
      <c r="U393" s="346" t="s">
        <v>1000</v>
      </c>
      <c r="V393" s="346" t="s">
        <v>1000</v>
      </c>
      <c r="W393" s="346" t="s">
        <v>1000</v>
      </c>
      <c r="X393" s="346" t="s">
        <v>1000</v>
      </c>
      <c r="Y393" s="346" t="s">
        <v>996</v>
      </c>
      <c r="Z393" s="346" t="s">
        <v>996</v>
      </c>
      <c r="AA393" s="346" t="s">
        <v>996</v>
      </c>
      <c r="AB393" s="346" t="s">
        <v>999</v>
      </c>
      <c r="AC393" s="346" t="s">
        <v>999</v>
      </c>
      <c r="AD393" s="346" t="s">
        <v>999</v>
      </c>
      <c r="AE393" s="346" t="s">
        <v>999</v>
      </c>
      <c r="AF393" s="346" t="s">
        <v>999</v>
      </c>
      <c r="AG393" s="346" t="s">
        <v>999</v>
      </c>
      <c r="AH393" s="346" t="s">
        <v>999</v>
      </c>
      <c r="AI393" s="346" t="s">
        <v>999</v>
      </c>
      <c r="AJ393" s="346" t="s">
        <v>999</v>
      </c>
      <c r="AK393" s="346" t="s">
        <v>999</v>
      </c>
      <c r="AL393" s="346" t="s">
        <v>987</v>
      </c>
      <c r="AM393" s="346" t="s">
        <v>961</v>
      </c>
      <c r="AN393" s="346" t="s">
        <v>936</v>
      </c>
      <c r="AO393" s="346" t="s">
        <v>983</v>
      </c>
      <c r="AP393" s="346" t="s">
        <v>965</v>
      </c>
      <c r="AQ393" s="346" t="s">
        <v>1001</v>
      </c>
      <c r="AR393" s="346" t="s">
        <v>998</v>
      </c>
      <c r="AS393" s="346" t="s">
        <v>1002</v>
      </c>
      <c r="AT393" s="346" t="s">
        <v>1002</v>
      </c>
      <c r="AU393" s="346" t="s">
        <v>1002</v>
      </c>
      <c r="AV393" s="346" t="s">
        <v>1002</v>
      </c>
      <c r="AW393" s="346" t="s">
        <v>1002</v>
      </c>
      <c r="AX393" s="346" t="s">
        <v>1002</v>
      </c>
      <c r="AY393" s="346" t="s">
        <v>1002</v>
      </c>
      <c r="AZ393" s="346" t="s">
        <v>1002</v>
      </c>
      <c r="BA393" s="346" t="s">
        <v>1002</v>
      </c>
      <c r="BB393" s="346" t="s">
        <v>1002</v>
      </c>
      <c r="BC393" s="346" t="s">
        <v>998</v>
      </c>
      <c r="BD393" s="346" t="s">
        <v>998</v>
      </c>
      <c r="BE393" s="346" t="s">
        <v>998</v>
      </c>
      <c r="BF393" s="346" t="s">
        <v>998</v>
      </c>
      <c r="BG393" s="346" t="s">
        <v>990</v>
      </c>
      <c r="BH393" s="346" t="s">
        <v>935</v>
      </c>
      <c r="BI393" s="346"/>
      <c r="BJ393" s="346"/>
      <c r="BK393" s="346"/>
      <c r="BL393" s="346"/>
      <c r="BM393" s="346"/>
      <c r="BN393" s="346"/>
      <c r="BO393" s="346"/>
      <c r="BP393" s="346"/>
      <c r="BQ393" s="346"/>
      <c r="BR393" s="346"/>
      <c r="BS393" s="346"/>
      <c r="BT393" s="346"/>
      <c r="BU393" s="346"/>
      <c r="BV393" s="346"/>
      <c r="BW393" s="346"/>
      <c r="BX393" s="346"/>
      <c r="BY393" s="346"/>
      <c r="BZ393" s="346"/>
      <c r="CA393" s="346"/>
      <c r="CB393" s="346"/>
      <c r="CC393" s="346"/>
      <c r="CD393" s="346"/>
      <c r="CE393" s="346"/>
      <c r="CF393" s="346"/>
      <c r="CG393" s="346"/>
      <c r="CH393" s="346"/>
      <c r="CI393" s="346"/>
      <c r="CJ393" s="346"/>
      <c r="CK393" s="346"/>
      <c r="CL393" s="346"/>
      <c r="CM393" s="346"/>
      <c r="CN393" s="346"/>
      <c r="CO393" s="346"/>
      <c r="CP393" s="346"/>
      <c r="CQ393" s="346"/>
      <c r="CR393" s="346"/>
      <c r="CS393" s="346"/>
      <c r="CT393" s="346"/>
      <c r="CU393" s="346"/>
      <c r="CV393" s="346"/>
      <c r="CW393" s="346"/>
      <c r="CX393" s="346"/>
      <c r="CY393" s="346"/>
      <c r="CZ393" s="346"/>
      <c r="DA393" s="346"/>
      <c r="DB393" s="346"/>
      <c r="DC393" s="346"/>
      <c r="DD393" s="346"/>
      <c r="DE393" s="346"/>
      <c r="DF393" s="346"/>
      <c r="DG393" s="346"/>
      <c r="DH393" s="346"/>
      <c r="DI393" s="346"/>
      <c r="DJ393" s="346"/>
    </row>
    <row r="394" spans="1:114" x14ac:dyDescent="0.25">
      <c r="A394" s="120">
        <v>6</v>
      </c>
      <c r="B394" s="79" t="s">
        <v>142</v>
      </c>
      <c r="C394" s="80">
        <f>+'[3]KEL A-2'!$I$5</f>
        <v>30000</v>
      </c>
      <c r="D394" s="81">
        <f>118.67*11</f>
        <v>1305.3700000000001</v>
      </c>
      <c r="E394" s="43">
        <v>0</v>
      </c>
      <c r="F394" s="60"/>
      <c r="G394" s="56">
        <f t="shared" si="167"/>
        <v>0</v>
      </c>
      <c r="H394" s="166">
        <f>18800-18800</f>
        <v>0</v>
      </c>
      <c r="I394" s="56">
        <f t="shared" si="168"/>
        <v>0</v>
      </c>
      <c r="J394" s="56">
        <f t="shared" si="169"/>
        <v>0</v>
      </c>
      <c r="K394" s="57">
        <f t="shared" si="170"/>
        <v>0</v>
      </c>
      <c r="L394" s="297"/>
      <c r="M394" s="297">
        <v>363297</v>
      </c>
      <c r="N394" s="314">
        <f t="shared" si="166"/>
        <v>916894</v>
      </c>
      <c r="O394" s="310">
        <v>22000</v>
      </c>
      <c r="P394" s="310">
        <v>22000</v>
      </c>
      <c r="Q394" s="310">
        <v>22000</v>
      </c>
      <c r="R394" s="310">
        <v>22000</v>
      </c>
      <c r="S394" s="315">
        <v>19800</v>
      </c>
      <c r="T394" s="55">
        <v>2024</v>
      </c>
      <c r="U394" s="55">
        <v>22000</v>
      </c>
      <c r="V394" s="55">
        <v>22000</v>
      </c>
      <c r="W394" s="55">
        <v>22000</v>
      </c>
      <c r="X394" s="55">
        <v>22000</v>
      </c>
      <c r="Y394" s="55">
        <v>22000</v>
      </c>
      <c r="Z394" s="55">
        <v>22000</v>
      </c>
      <c r="AA394" s="55">
        <v>11000</v>
      </c>
      <c r="AB394" s="55">
        <v>22000</v>
      </c>
      <c r="AC394" s="55">
        <v>22000</v>
      </c>
      <c r="AD394" s="55">
        <v>22000</v>
      </c>
      <c r="AE394" s="55">
        <v>22000</v>
      </c>
      <c r="AF394" s="55">
        <v>22000</v>
      </c>
      <c r="AG394" s="55">
        <v>22000</v>
      </c>
      <c r="AH394" s="55">
        <v>22000</v>
      </c>
      <c r="AI394" s="55">
        <v>22000</v>
      </c>
      <c r="AJ394" s="55">
        <v>22000</v>
      </c>
      <c r="AK394" s="55">
        <v>22000</v>
      </c>
      <c r="AL394" s="55">
        <v>1925</v>
      </c>
      <c r="AM394" s="55">
        <v>21560</v>
      </c>
      <c r="AN394" s="55">
        <v>19344</v>
      </c>
      <c r="AO394" s="55">
        <v>24002</v>
      </c>
      <c r="AP394" s="55">
        <v>10230</v>
      </c>
      <c r="AQ394" s="55">
        <v>6578</v>
      </c>
      <c r="AR394" s="55">
        <v>28000</v>
      </c>
      <c r="AS394" s="55">
        <v>22000</v>
      </c>
      <c r="AT394" s="55">
        <v>22000</v>
      </c>
      <c r="AU394" s="55">
        <v>22000</v>
      </c>
      <c r="AV394" s="55">
        <v>22000</v>
      </c>
      <c r="AW394" s="55">
        <v>22000</v>
      </c>
      <c r="AX394" s="55">
        <v>22000</v>
      </c>
      <c r="AY394" s="55">
        <v>22000</v>
      </c>
      <c r="AZ394" s="55">
        <v>22000</v>
      </c>
      <c r="BA394" s="55">
        <v>22000</v>
      </c>
      <c r="BB394" s="55">
        <v>19800</v>
      </c>
      <c r="BC394" s="55">
        <v>22000</v>
      </c>
      <c r="BD394" s="55">
        <v>22000</v>
      </c>
      <c r="BE394" s="55">
        <v>22000</v>
      </c>
      <c r="BF394" s="55">
        <v>26730</v>
      </c>
      <c r="BG394" s="55">
        <v>10901</v>
      </c>
      <c r="BH394" s="55">
        <v>11000</v>
      </c>
      <c r="BI394" s="55"/>
      <c r="BJ394" s="55"/>
      <c r="BK394" s="55"/>
      <c r="BL394" s="55"/>
      <c r="BM394" s="55"/>
      <c r="BN394" s="55"/>
      <c r="BO394" s="55"/>
      <c r="BP394" s="55"/>
      <c r="BQ394" s="55"/>
      <c r="BR394" s="55"/>
      <c r="BS394" s="55"/>
      <c r="BT394" s="55"/>
      <c r="BU394" s="55"/>
      <c r="BV394" s="55"/>
      <c r="BW394" s="55"/>
      <c r="BX394" s="55"/>
      <c r="BY394" s="55"/>
      <c r="BZ394" s="55"/>
      <c r="CA394" s="55"/>
      <c r="CB394" s="55"/>
      <c r="CC394" s="55"/>
      <c r="CD394" s="55"/>
      <c r="CE394" s="55"/>
      <c r="CF394" s="55"/>
      <c r="CG394" s="55"/>
      <c r="CH394" s="55"/>
      <c r="CI394" s="55"/>
      <c r="CJ394" s="55"/>
      <c r="CK394" s="55"/>
      <c r="CL394" s="55"/>
      <c r="CM394" s="55"/>
      <c r="CN394" s="55"/>
      <c r="CO394" s="55"/>
      <c r="CP394" s="55"/>
      <c r="CQ394" s="55"/>
      <c r="CR394" s="55"/>
      <c r="CS394" s="55"/>
      <c r="CT394" s="55"/>
      <c r="CU394" s="55"/>
      <c r="CV394" s="55"/>
      <c r="CW394" s="55"/>
      <c r="CX394" s="55"/>
      <c r="CY394" s="55"/>
      <c r="CZ394" s="55"/>
      <c r="DA394" s="55"/>
      <c r="DB394" s="55"/>
      <c r="DC394" s="55"/>
      <c r="DD394" s="55"/>
      <c r="DE394" s="55"/>
      <c r="DF394" s="55"/>
      <c r="DG394" s="55"/>
      <c r="DH394" s="55"/>
      <c r="DI394" s="55"/>
      <c r="DJ394" s="55"/>
    </row>
    <row r="395" spans="1:114" x14ac:dyDescent="0.25">
      <c r="A395" s="339"/>
      <c r="B395" s="340"/>
      <c r="C395" s="341"/>
      <c r="D395" s="342"/>
      <c r="E395" s="344"/>
      <c r="F395" s="350"/>
      <c r="G395" s="345"/>
      <c r="H395" s="370"/>
      <c r="I395" s="345"/>
      <c r="J395" s="345"/>
      <c r="K395" s="347"/>
      <c r="L395" s="297"/>
      <c r="M395" s="297"/>
      <c r="N395" s="348"/>
      <c r="O395" s="310" t="s">
        <v>935</v>
      </c>
      <c r="P395" s="349" t="s">
        <v>984</v>
      </c>
      <c r="Q395" s="349" t="s">
        <v>985</v>
      </c>
      <c r="R395" s="349" t="s">
        <v>986</v>
      </c>
      <c r="S395" s="349" t="s">
        <v>987</v>
      </c>
      <c r="T395" s="346"/>
      <c r="U395" s="346"/>
      <c r="V395" s="346"/>
      <c r="W395" s="346"/>
      <c r="X395" s="346"/>
      <c r="Y395" s="346"/>
      <c r="Z395" s="346"/>
      <c r="AA395" s="346"/>
      <c r="AB395" s="346"/>
      <c r="AC395" s="346"/>
      <c r="AD395" s="346"/>
      <c r="AE395" s="346"/>
      <c r="AF395" s="346"/>
      <c r="AG395" s="346"/>
      <c r="AH395" s="346"/>
      <c r="AI395" s="346"/>
      <c r="AJ395" s="346"/>
      <c r="AK395" s="346"/>
      <c r="AL395" s="346"/>
      <c r="AM395" s="346"/>
      <c r="AN395" s="346"/>
      <c r="AO395" s="346"/>
      <c r="AP395" s="346"/>
      <c r="AQ395" s="346"/>
      <c r="AR395" s="346"/>
      <c r="AS395" s="346"/>
      <c r="AT395" s="346"/>
      <c r="AU395" s="346"/>
      <c r="AV395" s="346"/>
      <c r="AW395" s="346"/>
      <c r="AX395" s="346"/>
      <c r="AY395" s="346"/>
      <c r="AZ395" s="346"/>
      <c r="BA395" s="346"/>
      <c r="BB395" s="346"/>
      <c r="BC395" s="346"/>
      <c r="BD395" s="346"/>
      <c r="BE395" s="346"/>
      <c r="BF395" s="346"/>
      <c r="BG395" s="346"/>
      <c r="BH395" s="346"/>
      <c r="BI395" s="346"/>
      <c r="BJ395" s="346"/>
      <c r="BK395" s="346"/>
      <c r="BL395" s="346"/>
      <c r="BM395" s="346"/>
      <c r="BN395" s="346"/>
      <c r="BO395" s="346"/>
      <c r="BP395" s="346"/>
      <c r="BQ395" s="346"/>
      <c r="BR395" s="346"/>
      <c r="BS395" s="346"/>
      <c r="BT395" s="346"/>
      <c r="BU395" s="346"/>
      <c r="BV395" s="346"/>
      <c r="BW395" s="346"/>
      <c r="BX395" s="346"/>
      <c r="BY395" s="346"/>
      <c r="BZ395" s="346"/>
      <c r="CA395" s="346"/>
      <c r="CB395" s="346"/>
      <c r="CC395" s="346"/>
      <c r="CD395" s="346"/>
      <c r="CE395" s="346"/>
      <c r="CF395" s="346"/>
      <c r="CG395" s="346"/>
      <c r="CH395" s="346"/>
      <c r="CI395" s="346"/>
      <c r="CJ395" s="346"/>
      <c r="CK395" s="346"/>
      <c r="CL395" s="346"/>
      <c r="CM395" s="346"/>
      <c r="CN395" s="346"/>
      <c r="CO395" s="346"/>
      <c r="CP395" s="346"/>
      <c r="CQ395" s="346"/>
      <c r="CR395" s="346"/>
      <c r="CS395" s="346"/>
      <c r="CT395" s="346"/>
      <c r="CU395" s="346"/>
      <c r="CV395" s="346"/>
      <c r="CW395" s="346"/>
      <c r="CX395" s="346"/>
      <c r="CY395" s="346"/>
      <c r="CZ395" s="346"/>
      <c r="DA395" s="346"/>
      <c r="DB395" s="346"/>
      <c r="DC395" s="346"/>
      <c r="DD395" s="346"/>
      <c r="DE395" s="346"/>
      <c r="DF395" s="346"/>
      <c r="DG395" s="346"/>
      <c r="DH395" s="346"/>
      <c r="DI395" s="346"/>
      <c r="DJ395" s="346"/>
    </row>
    <row r="396" spans="1:114" x14ac:dyDescent="0.25">
      <c r="A396" s="120">
        <v>7</v>
      </c>
      <c r="B396" s="79" t="s">
        <v>680</v>
      </c>
      <c r="C396" s="80">
        <v>2500</v>
      </c>
      <c r="D396" s="81">
        <f>+'[2]Prangko Filateli '!$D$201</f>
        <v>109.83</v>
      </c>
      <c r="E396" s="43">
        <v>0</v>
      </c>
      <c r="F396" s="60"/>
      <c r="G396" s="56">
        <f t="shared" si="167"/>
        <v>0</v>
      </c>
      <c r="H396" s="55">
        <f>3600-3600</f>
        <v>0</v>
      </c>
      <c r="I396" s="56">
        <f t="shared" si="168"/>
        <v>0</v>
      </c>
      <c r="J396" s="56">
        <f t="shared" si="169"/>
        <v>0</v>
      </c>
      <c r="K396" s="57">
        <f t="shared" si="170"/>
        <v>0</v>
      </c>
      <c r="L396" s="297"/>
      <c r="M396" s="297">
        <v>16405</v>
      </c>
      <c r="N396" s="314">
        <f t="shared" si="166"/>
        <v>31856</v>
      </c>
      <c r="O396" s="310">
        <v>1000</v>
      </c>
      <c r="P396" s="315">
        <v>7962</v>
      </c>
      <c r="Q396" s="315">
        <v>4800</v>
      </c>
      <c r="R396" s="315">
        <v>15840</v>
      </c>
      <c r="S396" s="315">
        <v>2254</v>
      </c>
      <c r="T396" s="55"/>
      <c r="U396" s="55"/>
      <c r="V396" s="55"/>
      <c r="W396" s="55"/>
      <c r="X396" s="55"/>
      <c r="Y396" s="55"/>
      <c r="Z396" s="55"/>
      <c r="AA396" s="55"/>
      <c r="AB396" s="55"/>
      <c r="AC396" s="55"/>
      <c r="AD396" s="55"/>
      <c r="AE396" s="55"/>
      <c r="AF396" s="55"/>
      <c r="AG396" s="55"/>
      <c r="AH396" s="55"/>
      <c r="AI396" s="55"/>
      <c r="AJ396" s="55"/>
      <c r="AK396" s="55"/>
      <c r="AL396" s="55"/>
      <c r="AM396" s="55"/>
      <c r="AN396" s="55"/>
      <c r="AO396" s="55"/>
      <c r="AP396" s="55"/>
      <c r="AQ396" s="55"/>
      <c r="AR396" s="55"/>
      <c r="AS396" s="55"/>
      <c r="AT396" s="55"/>
      <c r="AU396" s="55"/>
      <c r="AV396" s="55"/>
      <c r="AW396" s="55"/>
      <c r="AX396" s="55"/>
      <c r="AY396" s="55"/>
      <c r="AZ396" s="55"/>
      <c r="BA396" s="55"/>
      <c r="BB396" s="55"/>
      <c r="BC396" s="55"/>
      <c r="BD396" s="55"/>
      <c r="BE396" s="55"/>
      <c r="BF396" s="55"/>
      <c r="BG396" s="55"/>
      <c r="BH396" s="55"/>
      <c r="BI396" s="55"/>
      <c r="BJ396" s="55"/>
      <c r="BK396" s="55"/>
      <c r="BL396" s="55"/>
      <c r="BM396" s="55"/>
      <c r="BN396" s="55"/>
      <c r="BO396" s="55"/>
      <c r="BP396" s="55"/>
      <c r="BQ396" s="55"/>
      <c r="BR396" s="55"/>
      <c r="BS396" s="55"/>
      <c r="BT396" s="55"/>
      <c r="BU396" s="55"/>
      <c r="BV396" s="55"/>
      <c r="BW396" s="55"/>
      <c r="BX396" s="55"/>
      <c r="BY396" s="55"/>
      <c r="BZ396" s="55"/>
      <c r="CA396" s="55"/>
      <c r="CB396" s="55"/>
      <c r="CC396" s="55"/>
      <c r="CD396" s="55"/>
      <c r="CE396" s="55"/>
      <c r="CF396" s="55"/>
      <c r="CG396" s="55"/>
      <c r="CH396" s="55"/>
      <c r="CI396" s="55"/>
      <c r="CJ396" s="55"/>
      <c r="CK396" s="55"/>
      <c r="CL396" s="55"/>
      <c r="CM396" s="55"/>
      <c r="CN396" s="55"/>
      <c r="CO396" s="55"/>
      <c r="CP396" s="55"/>
      <c r="CQ396" s="55"/>
      <c r="CR396" s="55"/>
      <c r="CS396" s="55"/>
      <c r="CT396" s="55"/>
      <c r="CU396" s="55"/>
      <c r="CV396" s="55"/>
      <c r="CW396" s="55"/>
      <c r="CX396" s="55"/>
      <c r="CY396" s="55"/>
      <c r="CZ396" s="55"/>
      <c r="DA396" s="55"/>
      <c r="DB396" s="55"/>
      <c r="DC396" s="55"/>
      <c r="DD396" s="55"/>
      <c r="DE396" s="55"/>
      <c r="DF396" s="55"/>
      <c r="DG396" s="55"/>
      <c r="DH396" s="55"/>
      <c r="DI396" s="55"/>
      <c r="DJ396" s="55"/>
    </row>
    <row r="397" spans="1:114" x14ac:dyDescent="0.25">
      <c r="A397" s="339"/>
      <c r="B397" s="340"/>
      <c r="C397" s="341"/>
      <c r="D397" s="342"/>
      <c r="E397" s="344"/>
      <c r="F397" s="350"/>
      <c r="G397" s="345"/>
      <c r="H397" s="346"/>
      <c r="I397" s="345"/>
      <c r="J397" s="345"/>
      <c r="K397" s="347"/>
      <c r="L397" s="297"/>
      <c r="M397" s="297"/>
      <c r="N397" s="348"/>
      <c r="O397" s="310" t="s">
        <v>985</v>
      </c>
      <c r="P397" s="349" t="s">
        <v>961</v>
      </c>
      <c r="Q397" s="349" t="s">
        <v>944</v>
      </c>
      <c r="R397" s="349" t="s">
        <v>990</v>
      </c>
      <c r="S397" s="349" t="s">
        <v>935</v>
      </c>
      <c r="T397" s="349" t="s">
        <v>995</v>
      </c>
      <c r="U397" s="346" t="s">
        <v>987</v>
      </c>
      <c r="V397" s="346" t="s">
        <v>996</v>
      </c>
      <c r="W397" s="346" t="s">
        <v>996</v>
      </c>
      <c r="X397" s="346" t="s">
        <v>995</v>
      </c>
      <c r="Y397" s="346"/>
      <c r="Z397" s="346"/>
      <c r="AA397" s="346"/>
      <c r="AB397" s="346"/>
      <c r="AC397" s="346"/>
      <c r="AD397" s="346"/>
      <c r="AE397" s="346"/>
      <c r="AF397" s="346"/>
      <c r="AG397" s="346"/>
      <c r="AH397" s="346"/>
      <c r="AI397" s="346"/>
      <c r="AJ397" s="346"/>
      <c r="AK397" s="346"/>
      <c r="AL397" s="346"/>
      <c r="AM397" s="346"/>
      <c r="AN397" s="346"/>
      <c r="AO397" s="346"/>
      <c r="AP397" s="346"/>
      <c r="AQ397" s="346"/>
      <c r="AR397" s="346"/>
      <c r="AS397" s="346"/>
      <c r="AT397" s="346"/>
      <c r="AU397" s="346"/>
      <c r="AV397" s="346"/>
      <c r="AW397" s="346"/>
      <c r="AX397" s="346"/>
      <c r="AY397" s="346"/>
      <c r="AZ397" s="346"/>
      <c r="BA397" s="346"/>
      <c r="BB397" s="346"/>
      <c r="BC397" s="346"/>
      <c r="BD397" s="346"/>
      <c r="BE397" s="346"/>
      <c r="BF397" s="346"/>
      <c r="BG397" s="346"/>
      <c r="BH397" s="346"/>
      <c r="BI397" s="346"/>
      <c r="BJ397" s="346"/>
      <c r="BK397" s="346"/>
      <c r="BL397" s="346"/>
      <c r="BM397" s="346"/>
      <c r="BN397" s="346"/>
      <c r="BO397" s="346"/>
      <c r="BP397" s="346"/>
      <c r="BQ397" s="346"/>
      <c r="BR397" s="346"/>
      <c r="BS397" s="346"/>
      <c r="BT397" s="346"/>
      <c r="BU397" s="346"/>
      <c r="BV397" s="346"/>
      <c r="BW397" s="346"/>
      <c r="BX397" s="346"/>
      <c r="BY397" s="346"/>
      <c r="BZ397" s="346"/>
      <c r="CA397" s="346"/>
      <c r="CB397" s="346"/>
      <c r="CC397" s="346"/>
      <c r="CD397" s="346"/>
      <c r="CE397" s="346"/>
      <c r="CF397" s="346"/>
      <c r="CG397" s="346"/>
      <c r="CH397" s="346"/>
      <c r="CI397" s="346"/>
      <c r="CJ397" s="346"/>
      <c r="CK397" s="346"/>
      <c r="CL397" s="346"/>
      <c r="CM397" s="346"/>
      <c r="CN397" s="346"/>
      <c r="CO397" s="346"/>
      <c r="CP397" s="346"/>
      <c r="CQ397" s="346"/>
      <c r="CR397" s="346"/>
      <c r="CS397" s="346"/>
      <c r="CT397" s="346"/>
      <c r="CU397" s="346"/>
      <c r="CV397" s="346"/>
      <c r="CW397" s="346"/>
      <c r="CX397" s="346"/>
      <c r="CY397" s="346"/>
      <c r="CZ397" s="346"/>
      <c r="DA397" s="346"/>
      <c r="DB397" s="346"/>
      <c r="DC397" s="346"/>
      <c r="DD397" s="346"/>
      <c r="DE397" s="346"/>
      <c r="DF397" s="346"/>
      <c r="DG397" s="346"/>
      <c r="DH397" s="346"/>
      <c r="DI397" s="346"/>
      <c r="DJ397" s="346"/>
    </row>
    <row r="398" spans="1:114" x14ac:dyDescent="0.25">
      <c r="A398" s="120">
        <v>8</v>
      </c>
      <c r="B398" s="215" t="s">
        <v>780</v>
      </c>
      <c r="C398" s="80">
        <f>7500-5000</f>
        <v>2500</v>
      </c>
      <c r="D398" s="81">
        <f>109.83*3</f>
        <v>329.49</v>
      </c>
      <c r="E398" s="43">
        <v>0</v>
      </c>
      <c r="F398" s="60"/>
      <c r="G398" s="56">
        <f t="shared" si="167"/>
        <v>0</v>
      </c>
      <c r="H398" s="55">
        <f>2400*3-7200+2400-2400</f>
        <v>0</v>
      </c>
      <c r="I398" s="56">
        <f t="shared" si="168"/>
        <v>0</v>
      </c>
      <c r="J398" s="56">
        <f t="shared" si="169"/>
        <v>0</v>
      </c>
      <c r="K398" s="57">
        <f t="shared" si="170"/>
        <v>0</v>
      </c>
      <c r="L398" s="297"/>
      <c r="M398" s="297">
        <v>177795</v>
      </c>
      <c r="N398" s="314">
        <f t="shared" ref="N398:N412" si="171">SUM(O398:DK398)</f>
        <v>107922</v>
      </c>
      <c r="O398" s="310">
        <v>4800</v>
      </c>
      <c r="P398" s="315">
        <v>6720</v>
      </c>
      <c r="Q398" s="315">
        <v>2400</v>
      </c>
      <c r="R398" s="315">
        <v>2445</v>
      </c>
      <c r="S398" s="315">
        <v>3000</v>
      </c>
      <c r="T398" s="315">
        <v>19200</v>
      </c>
      <c r="U398" s="55">
        <v>2157</v>
      </c>
      <c r="V398" s="55">
        <v>19200</v>
      </c>
      <c r="W398" s="55">
        <v>24000</v>
      </c>
      <c r="X398" s="55">
        <v>24000</v>
      </c>
      <c r="Y398" s="55"/>
      <c r="Z398" s="55"/>
      <c r="AA398" s="55"/>
      <c r="AB398" s="55"/>
      <c r="AC398" s="55"/>
      <c r="AD398" s="55"/>
      <c r="AE398" s="55"/>
      <c r="AF398" s="55"/>
      <c r="AG398" s="55"/>
      <c r="AH398" s="55"/>
      <c r="AI398" s="55"/>
      <c r="AJ398" s="55"/>
      <c r="AK398" s="55"/>
      <c r="AL398" s="55"/>
      <c r="AM398" s="55"/>
      <c r="AN398" s="55"/>
      <c r="AO398" s="55"/>
      <c r="AP398" s="55"/>
      <c r="AQ398" s="55"/>
      <c r="AR398" s="55"/>
      <c r="AS398" s="55"/>
      <c r="AT398" s="55"/>
      <c r="AU398" s="55"/>
      <c r="AV398" s="55"/>
      <c r="AW398" s="55"/>
      <c r="AX398" s="55"/>
      <c r="AY398" s="55"/>
      <c r="AZ398" s="55"/>
      <c r="BA398" s="55"/>
      <c r="BB398" s="55"/>
      <c r="BC398" s="55"/>
      <c r="BD398" s="55"/>
      <c r="BE398" s="55"/>
      <c r="BF398" s="55"/>
      <c r="BG398" s="55"/>
      <c r="BH398" s="55"/>
      <c r="BI398" s="55"/>
      <c r="BJ398" s="55"/>
      <c r="BK398" s="55"/>
      <c r="BL398" s="55"/>
      <c r="BM398" s="55"/>
      <c r="BN398" s="55"/>
      <c r="BO398" s="55"/>
      <c r="BP398" s="55"/>
      <c r="BQ398" s="55"/>
      <c r="BR398" s="55"/>
      <c r="BS398" s="55"/>
      <c r="BT398" s="55"/>
      <c r="BU398" s="55"/>
      <c r="BV398" s="55"/>
      <c r="BW398" s="55"/>
      <c r="BX398" s="55"/>
      <c r="BY398" s="55"/>
      <c r="BZ398" s="55"/>
      <c r="CA398" s="55"/>
      <c r="CB398" s="55"/>
      <c r="CC398" s="55"/>
      <c r="CD398" s="55"/>
      <c r="CE398" s="55"/>
      <c r="CF398" s="55"/>
      <c r="CG398" s="55"/>
      <c r="CH398" s="55"/>
      <c r="CI398" s="55"/>
      <c r="CJ398" s="55"/>
      <c r="CK398" s="55"/>
      <c r="CL398" s="55"/>
      <c r="CM398" s="55"/>
      <c r="CN398" s="55"/>
      <c r="CO398" s="55"/>
      <c r="CP398" s="55"/>
      <c r="CQ398" s="55"/>
      <c r="CR398" s="55"/>
      <c r="CS398" s="55"/>
      <c r="CT398" s="55"/>
      <c r="CU398" s="55"/>
      <c r="CV398" s="55"/>
      <c r="CW398" s="55"/>
      <c r="CX398" s="55"/>
      <c r="CY398" s="55"/>
      <c r="CZ398" s="55"/>
      <c r="DA398" s="55"/>
      <c r="DB398" s="55"/>
      <c r="DC398" s="55"/>
      <c r="DD398" s="55"/>
      <c r="DE398" s="55"/>
      <c r="DF398" s="55"/>
      <c r="DG398" s="55"/>
      <c r="DH398" s="55"/>
      <c r="DI398" s="55"/>
      <c r="DJ398" s="55"/>
    </row>
    <row r="399" spans="1:114" x14ac:dyDescent="0.25">
      <c r="A399" s="339"/>
      <c r="B399" s="371"/>
      <c r="C399" s="341"/>
      <c r="D399" s="342"/>
      <c r="E399" s="344"/>
      <c r="F399" s="350"/>
      <c r="G399" s="345"/>
      <c r="H399" s="346"/>
      <c r="I399" s="345"/>
      <c r="J399" s="345"/>
      <c r="K399" s="347"/>
      <c r="L399" s="297"/>
      <c r="M399" s="297"/>
      <c r="N399" s="348"/>
      <c r="O399" s="310" t="s">
        <v>988</v>
      </c>
      <c r="P399" s="349" t="s">
        <v>985</v>
      </c>
      <c r="Q399" s="349" t="s">
        <v>937</v>
      </c>
      <c r="R399" s="349" t="s">
        <v>935</v>
      </c>
      <c r="X399" s="346"/>
      <c r="Y399" s="346"/>
      <c r="Z399" s="346"/>
      <c r="AA399" s="346"/>
      <c r="AB399" s="346"/>
      <c r="AC399" s="346"/>
      <c r="AD399" s="346"/>
      <c r="AE399" s="346"/>
      <c r="AF399" s="346"/>
      <c r="AG399" s="346"/>
      <c r="AH399" s="346"/>
      <c r="AI399" s="346"/>
      <c r="AJ399" s="346"/>
      <c r="AK399" s="346"/>
      <c r="AL399" s="346"/>
      <c r="AM399" s="346"/>
      <c r="AN399" s="346"/>
      <c r="AO399" s="346"/>
      <c r="AP399" s="346"/>
      <c r="AQ399" s="346"/>
      <c r="AR399" s="346"/>
      <c r="AS399" s="346"/>
      <c r="AT399" s="346"/>
      <c r="AU399" s="346"/>
      <c r="AV399" s="346"/>
      <c r="AW399" s="346"/>
      <c r="AX399" s="346"/>
      <c r="AY399" s="346"/>
      <c r="AZ399" s="346"/>
      <c r="BA399" s="346"/>
      <c r="BB399" s="346"/>
      <c r="BC399" s="346"/>
      <c r="BD399" s="346"/>
      <c r="BE399" s="346"/>
      <c r="BF399" s="346"/>
      <c r="BG399" s="346"/>
      <c r="BH399" s="346"/>
      <c r="BI399" s="346"/>
      <c r="BJ399" s="346"/>
      <c r="BK399" s="346"/>
      <c r="BL399" s="346"/>
      <c r="BM399" s="346"/>
      <c r="BN399" s="346"/>
      <c r="BO399" s="346"/>
      <c r="BP399" s="346"/>
      <c r="BQ399" s="346"/>
      <c r="BR399" s="346"/>
      <c r="BS399" s="346"/>
      <c r="BT399" s="346"/>
      <c r="BU399" s="346"/>
      <c r="BV399" s="346"/>
      <c r="BW399" s="346"/>
      <c r="BX399" s="346"/>
      <c r="BY399" s="346"/>
      <c r="BZ399" s="346"/>
      <c r="CA399" s="346"/>
      <c r="CB399" s="346"/>
      <c r="CC399" s="346"/>
      <c r="CD399" s="346"/>
      <c r="CE399" s="346"/>
      <c r="CF399" s="346"/>
      <c r="CG399" s="346"/>
      <c r="CH399" s="346"/>
      <c r="CI399" s="346"/>
      <c r="CJ399" s="346"/>
      <c r="CK399" s="346"/>
      <c r="CL399" s="346"/>
      <c r="CM399" s="346"/>
      <c r="CN399" s="346"/>
      <c r="CO399" s="346"/>
      <c r="CP399" s="346"/>
      <c r="CQ399" s="346"/>
      <c r="CR399" s="346"/>
      <c r="CS399" s="346"/>
      <c r="CT399" s="346"/>
      <c r="CU399" s="346"/>
      <c r="CV399" s="346"/>
      <c r="CW399" s="346"/>
      <c r="CX399" s="346"/>
      <c r="CY399" s="346"/>
      <c r="CZ399" s="346"/>
      <c r="DA399" s="346"/>
      <c r="DB399" s="346"/>
      <c r="DC399" s="346"/>
      <c r="DD399" s="346"/>
      <c r="DE399" s="346"/>
      <c r="DF399" s="346"/>
      <c r="DG399" s="346"/>
      <c r="DH399" s="346"/>
      <c r="DI399" s="346"/>
      <c r="DJ399" s="346"/>
    </row>
    <row r="400" spans="1:114" x14ac:dyDescent="0.25">
      <c r="A400" s="120">
        <v>9</v>
      </c>
      <c r="B400" s="79" t="s">
        <v>681</v>
      </c>
      <c r="C400" s="80">
        <f>5000-2500</f>
        <v>2500</v>
      </c>
      <c r="D400" s="81">
        <f>142.22*2</f>
        <v>284.44</v>
      </c>
      <c r="E400" s="43">
        <v>0</v>
      </c>
      <c r="F400" s="60"/>
      <c r="G400" s="56">
        <f t="shared" si="167"/>
        <v>0</v>
      </c>
      <c r="H400" s="55">
        <f>78926-78926</f>
        <v>0</v>
      </c>
      <c r="I400" s="56">
        <f t="shared" si="168"/>
        <v>0</v>
      </c>
      <c r="J400" s="56">
        <f t="shared" si="169"/>
        <v>0</v>
      </c>
      <c r="K400" s="57">
        <f t="shared" si="170"/>
        <v>0</v>
      </c>
      <c r="L400" s="297"/>
      <c r="M400" s="297">
        <v>50974</v>
      </c>
      <c r="N400" s="314">
        <f t="shared" si="171"/>
        <v>21836</v>
      </c>
      <c r="O400" s="310">
        <v>3492</v>
      </c>
      <c r="P400" s="315">
        <v>3600</v>
      </c>
      <c r="Q400" s="315">
        <v>12744</v>
      </c>
      <c r="R400" s="315">
        <v>2000</v>
      </c>
      <c r="X400" s="55"/>
      <c r="Y400" s="55"/>
      <c r="Z400" s="55"/>
      <c r="AA400" s="55"/>
      <c r="AB400" s="55"/>
      <c r="AC400" s="55"/>
      <c r="AD400" s="55"/>
      <c r="AE400" s="55"/>
      <c r="AF400" s="55"/>
      <c r="AG400" s="55"/>
      <c r="AH400" s="55"/>
      <c r="AI400" s="55"/>
      <c r="AJ400" s="55"/>
      <c r="AK400" s="55"/>
      <c r="AL400" s="55"/>
      <c r="AM400" s="55"/>
      <c r="AN400" s="55"/>
      <c r="AO400" s="55"/>
      <c r="AP400" s="55"/>
      <c r="AQ400" s="55"/>
      <c r="AR400" s="55"/>
      <c r="AS400" s="55"/>
      <c r="AT400" s="55"/>
      <c r="AU400" s="55"/>
      <c r="AV400" s="55"/>
      <c r="AW400" s="55"/>
      <c r="AX400" s="55"/>
      <c r="AY400" s="55"/>
      <c r="AZ400" s="55"/>
      <c r="BA400" s="55"/>
      <c r="BB400" s="55"/>
      <c r="BC400" s="55"/>
      <c r="BD400" s="55"/>
      <c r="BE400" s="55"/>
      <c r="BF400" s="55"/>
      <c r="BG400" s="55"/>
      <c r="BH400" s="55"/>
      <c r="BI400" s="55"/>
      <c r="BJ400" s="55"/>
      <c r="BK400" s="55"/>
      <c r="BL400" s="55"/>
      <c r="BM400" s="55"/>
      <c r="BN400" s="55"/>
      <c r="BO400" s="55"/>
      <c r="BP400" s="55"/>
      <c r="BQ400" s="55"/>
      <c r="BR400" s="55"/>
      <c r="BS400" s="55"/>
      <c r="BT400" s="55"/>
      <c r="BU400" s="55"/>
      <c r="BV400" s="55"/>
      <c r="BW400" s="55"/>
      <c r="BX400" s="55"/>
      <c r="BY400" s="55"/>
      <c r="BZ400" s="55"/>
      <c r="CA400" s="55"/>
      <c r="CB400" s="55"/>
      <c r="CC400" s="55"/>
      <c r="CD400" s="55"/>
      <c r="CE400" s="55"/>
      <c r="CF400" s="55"/>
      <c r="CG400" s="55"/>
      <c r="CH400" s="55"/>
      <c r="CI400" s="55"/>
      <c r="CJ400" s="55"/>
      <c r="CK400" s="55"/>
      <c r="CL400" s="55"/>
      <c r="CM400" s="55"/>
      <c r="CN400" s="55"/>
      <c r="CO400" s="55"/>
      <c r="CP400" s="55"/>
      <c r="CQ400" s="55"/>
      <c r="CR400" s="55"/>
      <c r="CS400" s="55"/>
      <c r="CT400" s="55"/>
      <c r="CU400" s="55"/>
      <c r="CV400" s="55"/>
      <c r="CW400" s="55"/>
      <c r="CX400" s="55"/>
      <c r="CY400" s="55"/>
      <c r="CZ400" s="55"/>
      <c r="DA400" s="55"/>
      <c r="DB400" s="55"/>
      <c r="DC400" s="55"/>
      <c r="DD400" s="55"/>
      <c r="DE400" s="55"/>
      <c r="DF400" s="55"/>
      <c r="DG400" s="55"/>
      <c r="DH400" s="55"/>
      <c r="DI400" s="55"/>
      <c r="DJ400" s="55"/>
    </row>
    <row r="401" spans="1:114" x14ac:dyDescent="0.25">
      <c r="A401" s="339"/>
      <c r="B401" s="340"/>
      <c r="C401" s="341"/>
      <c r="D401" s="342"/>
      <c r="E401" s="344"/>
      <c r="F401" s="350"/>
      <c r="G401" s="345"/>
      <c r="H401" s="346"/>
      <c r="I401" s="345"/>
      <c r="J401" s="345"/>
      <c r="K401" s="347"/>
      <c r="L401" s="297"/>
      <c r="M401" s="297"/>
      <c r="N401" s="348"/>
      <c r="O401" s="310" t="s">
        <v>988</v>
      </c>
      <c r="P401" s="349" t="s">
        <v>983</v>
      </c>
      <c r="Q401" s="349" t="s">
        <v>989</v>
      </c>
      <c r="R401" s="349" t="s">
        <v>985</v>
      </c>
      <c r="S401" s="349" t="s">
        <v>944</v>
      </c>
      <c r="T401" s="346" t="s">
        <v>990</v>
      </c>
      <c r="U401" s="346" t="s">
        <v>935</v>
      </c>
      <c r="V401" s="346"/>
      <c r="W401" s="346"/>
      <c r="X401" s="346"/>
      <c r="Y401" s="346"/>
      <c r="Z401" s="346"/>
      <c r="AA401" s="346"/>
      <c r="AB401" s="346"/>
      <c r="AC401" s="346"/>
      <c r="AD401" s="346"/>
      <c r="AE401" s="346"/>
      <c r="AF401" s="346"/>
      <c r="AG401" s="346"/>
      <c r="AH401" s="346"/>
      <c r="AI401" s="346"/>
      <c r="AJ401" s="346"/>
      <c r="AK401" s="346"/>
      <c r="AL401" s="346"/>
      <c r="AM401" s="346"/>
      <c r="AN401" s="346"/>
      <c r="AO401" s="346"/>
      <c r="AP401" s="346"/>
      <c r="AQ401" s="346"/>
      <c r="AR401" s="346"/>
      <c r="AS401" s="346"/>
      <c r="AT401" s="346"/>
      <c r="AU401" s="346"/>
      <c r="AV401" s="346"/>
      <c r="AW401" s="346"/>
      <c r="AX401" s="346"/>
      <c r="AY401" s="346"/>
      <c r="AZ401" s="346"/>
      <c r="BA401" s="346"/>
      <c r="BB401" s="346"/>
      <c r="BC401" s="346"/>
      <c r="BD401" s="346"/>
      <c r="BE401" s="346"/>
      <c r="BF401" s="346"/>
      <c r="BG401" s="346"/>
      <c r="BH401" s="346"/>
      <c r="BI401" s="346"/>
      <c r="BJ401" s="346"/>
      <c r="BK401" s="346"/>
      <c r="BL401" s="346"/>
      <c r="BM401" s="346"/>
      <c r="BN401" s="346"/>
      <c r="BO401" s="346"/>
      <c r="BP401" s="346"/>
      <c r="BQ401" s="346"/>
      <c r="BR401" s="346"/>
      <c r="BS401" s="346"/>
      <c r="BT401" s="346"/>
      <c r="BU401" s="346"/>
      <c r="BV401" s="346"/>
      <c r="BW401" s="346"/>
      <c r="BX401" s="346"/>
      <c r="BY401" s="346"/>
      <c r="BZ401" s="346"/>
      <c r="CA401" s="346"/>
      <c r="CB401" s="346"/>
      <c r="CC401" s="346"/>
      <c r="CD401" s="346"/>
      <c r="CE401" s="346"/>
      <c r="CF401" s="346"/>
      <c r="CG401" s="346"/>
      <c r="CH401" s="346"/>
      <c r="CI401" s="346"/>
      <c r="CJ401" s="346"/>
      <c r="CK401" s="346"/>
      <c r="CL401" s="346"/>
      <c r="CM401" s="346"/>
      <c r="CN401" s="346"/>
      <c r="CO401" s="346"/>
      <c r="CP401" s="346"/>
      <c r="CQ401" s="346"/>
      <c r="CR401" s="346"/>
      <c r="CS401" s="346"/>
      <c r="CT401" s="346"/>
      <c r="CU401" s="346"/>
      <c r="CV401" s="346"/>
      <c r="CW401" s="346"/>
      <c r="CX401" s="346"/>
      <c r="CY401" s="346"/>
      <c r="CZ401" s="346"/>
      <c r="DA401" s="346"/>
      <c r="DB401" s="346"/>
      <c r="DC401" s="346"/>
      <c r="DD401" s="346"/>
      <c r="DE401" s="346"/>
      <c r="DF401" s="346"/>
      <c r="DG401" s="346"/>
      <c r="DH401" s="346"/>
      <c r="DI401" s="346"/>
      <c r="DJ401" s="346"/>
    </row>
    <row r="402" spans="1:114" x14ac:dyDescent="0.25">
      <c r="A402" s="120">
        <v>10</v>
      </c>
      <c r="B402" s="79" t="s">
        <v>682</v>
      </c>
      <c r="C402" s="80">
        <f>5000-2500</f>
        <v>2500</v>
      </c>
      <c r="D402" s="81">
        <f>129.27*2</f>
        <v>258.54000000000002</v>
      </c>
      <c r="E402" s="43">
        <v>0</v>
      </c>
      <c r="F402" s="60"/>
      <c r="G402" s="56">
        <f t="shared" si="167"/>
        <v>0</v>
      </c>
      <c r="H402" s="55">
        <f>9000-9000</f>
        <v>0</v>
      </c>
      <c r="I402" s="56">
        <f t="shared" si="168"/>
        <v>0</v>
      </c>
      <c r="J402" s="56">
        <f t="shared" si="169"/>
        <v>0</v>
      </c>
      <c r="K402" s="57">
        <f t="shared" si="170"/>
        <v>0</v>
      </c>
      <c r="L402" s="297"/>
      <c r="M402" s="297">
        <v>21666</v>
      </c>
      <c r="N402" s="314">
        <f t="shared" si="171"/>
        <v>14430</v>
      </c>
      <c r="O402" s="310">
        <v>3500</v>
      </c>
      <c r="P402" s="315">
        <v>120</v>
      </c>
      <c r="Q402" s="315">
        <v>1796</v>
      </c>
      <c r="R402" s="315">
        <v>3980</v>
      </c>
      <c r="S402" s="315">
        <v>1100</v>
      </c>
      <c r="T402" s="55">
        <v>1934</v>
      </c>
      <c r="U402" s="55">
        <v>2000</v>
      </c>
      <c r="V402" s="55"/>
      <c r="W402" s="55"/>
      <c r="X402" s="55"/>
      <c r="Y402" s="55"/>
      <c r="Z402" s="55"/>
      <c r="AA402" s="55"/>
      <c r="AB402" s="55"/>
      <c r="AC402" s="55"/>
      <c r="AD402" s="55"/>
      <c r="AE402" s="55"/>
      <c r="AF402" s="55"/>
      <c r="AG402" s="55"/>
      <c r="AH402" s="55"/>
      <c r="AI402" s="55"/>
      <c r="AJ402" s="55"/>
      <c r="AK402" s="55"/>
      <c r="AL402" s="55"/>
      <c r="AM402" s="55"/>
      <c r="AN402" s="55"/>
      <c r="AO402" s="55"/>
      <c r="AP402" s="55"/>
      <c r="AQ402" s="55"/>
      <c r="AR402" s="55"/>
      <c r="AS402" s="55"/>
      <c r="AT402" s="55"/>
      <c r="AU402" s="55"/>
      <c r="AV402" s="55"/>
      <c r="AW402" s="55"/>
      <c r="AX402" s="55"/>
      <c r="AY402" s="55"/>
      <c r="AZ402" s="55"/>
      <c r="BA402" s="55"/>
      <c r="BB402" s="55"/>
      <c r="BC402" s="55"/>
      <c r="BD402" s="55"/>
      <c r="BE402" s="55"/>
      <c r="BF402" s="55"/>
      <c r="BG402" s="55"/>
      <c r="BH402" s="55"/>
      <c r="BI402" s="55"/>
      <c r="BJ402" s="55"/>
      <c r="BK402" s="55"/>
      <c r="BL402" s="55"/>
      <c r="BM402" s="55"/>
      <c r="BN402" s="55"/>
      <c r="BO402" s="55"/>
      <c r="BP402" s="55"/>
      <c r="BQ402" s="55"/>
      <c r="BR402" s="55"/>
      <c r="BS402" s="55"/>
      <c r="BT402" s="55"/>
      <c r="BU402" s="55"/>
      <c r="BV402" s="55"/>
      <c r="BW402" s="55"/>
      <c r="BX402" s="55"/>
      <c r="BY402" s="55"/>
      <c r="BZ402" s="55"/>
      <c r="CA402" s="55"/>
      <c r="CB402" s="55"/>
      <c r="CC402" s="55"/>
      <c r="CD402" s="55"/>
      <c r="CE402" s="55"/>
      <c r="CF402" s="55"/>
      <c r="CG402" s="55"/>
      <c r="CH402" s="55"/>
      <c r="CI402" s="55"/>
      <c r="CJ402" s="55"/>
      <c r="CK402" s="55"/>
      <c r="CL402" s="55"/>
      <c r="CM402" s="55"/>
      <c r="CN402" s="55"/>
      <c r="CO402" s="55"/>
      <c r="CP402" s="55"/>
      <c r="CQ402" s="55"/>
      <c r="CR402" s="55"/>
      <c r="CS402" s="55"/>
      <c r="CT402" s="55"/>
      <c r="CU402" s="55"/>
      <c r="CV402" s="55"/>
      <c r="CW402" s="55"/>
      <c r="CX402" s="55"/>
      <c r="CY402" s="55"/>
      <c r="CZ402" s="55"/>
      <c r="DA402" s="55"/>
      <c r="DB402" s="55"/>
      <c r="DC402" s="55"/>
      <c r="DD402" s="55"/>
      <c r="DE402" s="55"/>
      <c r="DF402" s="55"/>
      <c r="DG402" s="55"/>
      <c r="DH402" s="55"/>
      <c r="DI402" s="55"/>
      <c r="DJ402" s="55"/>
    </row>
    <row r="403" spans="1:114" x14ac:dyDescent="0.25">
      <c r="A403" s="339"/>
      <c r="B403" s="340"/>
      <c r="C403" s="341"/>
      <c r="D403" s="342"/>
      <c r="E403" s="344"/>
      <c r="F403" s="350"/>
      <c r="G403" s="345"/>
      <c r="H403" s="346"/>
      <c r="I403" s="345"/>
      <c r="J403" s="345"/>
      <c r="K403" s="347"/>
      <c r="L403" s="297"/>
      <c r="M403" s="297"/>
      <c r="N403" s="348"/>
      <c r="O403" s="310" t="s">
        <v>944</v>
      </c>
      <c r="P403" s="349" t="s">
        <v>990</v>
      </c>
      <c r="Q403" s="349" t="s">
        <v>984</v>
      </c>
      <c r="R403" s="349" t="s">
        <v>955</v>
      </c>
      <c r="S403" s="349" t="s">
        <v>952</v>
      </c>
      <c r="T403" s="346" t="s">
        <v>984</v>
      </c>
      <c r="U403" s="346" t="s">
        <v>984</v>
      </c>
      <c r="V403" s="346" t="s">
        <v>984</v>
      </c>
      <c r="W403" s="346" t="s">
        <v>984</v>
      </c>
      <c r="X403" s="346" t="s">
        <v>984</v>
      </c>
      <c r="Y403" s="346"/>
      <c r="Z403" s="346"/>
      <c r="AA403" s="346"/>
      <c r="AB403" s="346"/>
      <c r="AC403" s="346"/>
      <c r="AD403" s="346"/>
      <c r="AE403" s="346"/>
      <c r="AF403" s="346"/>
      <c r="AG403" s="346"/>
      <c r="AH403" s="346"/>
      <c r="AI403" s="346"/>
      <c r="AJ403" s="346"/>
      <c r="AK403" s="346"/>
      <c r="AL403" s="346"/>
      <c r="AM403" s="346"/>
      <c r="AN403" s="346"/>
      <c r="AO403" s="346"/>
      <c r="AP403" s="346"/>
      <c r="AQ403" s="346"/>
      <c r="AR403" s="346"/>
      <c r="AS403" s="346"/>
      <c r="AT403" s="346"/>
      <c r="AU403" s="346"/>
      <c r="AV403" s="346"/>
      <c r="AW403" s="346"/>
      <c r="AX403" s="346"/>
      <c r="AY403" s="346"/>
      <c r="AZ403" s="346"/>
      <c r="BA403" s="346"/>
      <c r="BB403" s="346"/>
      <c r="BC403" s="346"/>
      <c r="BD403" s="346"/>
      <c r="BE403" s="346"/>
      <c r="BF403" s="346"/>
      <c r="BG403" s="346"/>
      <c r="BH403" s="346"/>
      <c r="BI403" s="346"/>
      <c r="BJ403" s="346"/>
      <c r="BK403" s="346"/>
      <c r="BL403" s="346"/>
      <c r="BM403" s="346"/>
      <c r="BN403" s="346"/>
      <c r="BO403" s="346"/>
      <c r="BP403" s="346"/>
      <c r="BQ403" s="346"/>
      <c r="BR403" s="346"/>
      <c r="BS403" s="346"/>
      <c r="BT403" s="346"/>
      <c r="BU403" s="346"/>
      <c r="BV403" s="346"/>
      <c r="BW403" s="346"/>
      <c r="BX403" s="346"/>
      <c r="BY403" s="346"/>
      <c r="BZ403" s="346"/>
      <c r="CA403" s="346"/>
      <c r="CB403" s="346"/>
      <c r="CC403" s="346"/>
      <c r="CD403" s="346"/>
      <c r="CE403" s="346"/>
      <c r="CF403" s="346"/>
      <c r="CG403" s="346"/>
      <c r="CH403" s="346"/>
      <c r="CI403" s="346"/>
      <c r="CJ403" s="346"/>
      <c r="CK403" s="346"/>
      <c r="CL403" s="346"/>
      <c r="CM403" s="346"/>
      <c r="CN403" s="346"/>
      <c r="CO403" s="346"/>
      <c r="CP403" s="346"/>
      <c r="CQ403" s="346"/>
      <c r="CR403" s="346"/>
      <c r="CS403" s="346"/>
      <c r="CT403" s="346"/>
      <c r="CU403" s="346"/>
      <c r="CV403" s="346"/>
      <c r="CW403" s="346"/>
      <c r="CX403" s="346"/>
      <c r="CY403" s="346"/>
      <c r="CZ403" s="346"/>
      <c r="DA403" s="346"/>
      <c r="DB403" s="346"/>
      <c r="DC403" s="346"/>
      <c r="DD403" s="346"/>
      <c r="DE403" s="346"/>
      <c r="DF403" s="346"/>
      <c r="DG403" s="346"/>
      <c r="DH403" s="346"/>
      <c r="DI403" s="346"/>
      <c r="DJ403" s="346"/>
    </row>
    <row r="404" spans="1:114" x14ac:dyDescent="0.25">
      <c r="A404" s="120">
        <v>11</v>
      </c>
      <c r="B404" s="79" t="s">
        <v>683</v>
      </c>
      <c r="C404" s="80">
        <f>6000-3000</f>
        <v>3000</v>
      </c>
      <c r="D404" s="81">
        <f>120.4*2</f>
        <v>240.8</v>
      </c>
      <c r="E404" s="43">
        <v>0</v>
      </c>
      <c r="F404" s="60"/>
      <c r="G404" s="56">
        <f t="shared" si="167"/>
        <v>0</v>
      </c>
      <c r="H404" s="55"/>
      <c r="I404" s="56">
        <f t="shared" si="168"/>
        <v>0</v>
      </c>
      <c r="J404" s="56">
        <f t="shared" si="169"/>
        <v>0</v>
      </c>
      <c r="K404" s="57">
        <f t="shared" si="170"/>
        <v>0</v>
      </c>
      <c r="L404" s="297"/>
      <c r="M404" s="297">
        <v>14000</v>
      </c>
      <c r="N404" s="314">
        <f t="shared" si="171"/>
        <v>124046</v>
      </c>
      <c r="O404" s="310">
        <v>500</v>
      </c>
      <c r="P404" s="315">
        <v>1936</v>
      </c>
      <c r="Q404" s="315">
        <v>1800</v>
      </c>
      <c r="R404" s="315">
        <v>9810</v>
      </c>
      <c r="S404" s="315">
        <v>10000</v>
      </c>
      <c r="T404" s="55">
        <v>20000</v>
      </c>
      <c r="U404" s="55">
        <v>20000</v>
      </c>
      <c r="V404" s="55">
        <v>20000</v>
      </c>
      <c r="W404" s="55">
        <v>20000</v>
      </c>
      <c r="X404" s="55">
        <v>20000</v>
      </c>
      <c r="Y404" s="55"/>
      <c r="Z404" s="55"/>
      <c r="AA404" s="55"/>
      <c r="AB404" s="55"/>
      <c r="AC404" s="55"/>
      <c r="AD404" s="55"/>
      <c r="AE404" s="55"/>
      <c r="AF404" s="55"/>
      <c r="AG404" s="55"/>
      <c r="AH404" s="55"/>
      <c r="AI404" s="55"/>
      <c r="AJ404" s="55"/>
      <c r="AK404" s="55"/>
      <c r="AL404" s="55"/>
      <c r="AM404" s="55"/>
      <c r="AN404" s="55"/>
      <c r="AO404" s="55"/>
      <c r="AP404" s="55"/>
      <c r="AQ404" s="55"/>
      <c r="AR404" s="55"/>
      <c r="AS404" s="55"/>
      <c r="AT404" s="55"/>
      <c r="AU404" s="55"/>
      <c r="AV404" s="55"/>
      <c r="AW404" s="55"/>
      <c r="AX404" s="55"/>
      <c r="AY404" s="55"/>
      <c r="AZ404" s="55"/>
      <c r="BA404" s="55"/>
      <c r="BB404" s="55"/>
      <c r="BC404" s="55"/>
      <c r="BD404" s="55"/>
      <c r="BE404" s="55"/>
      <c r="BF404" s="55"/>
      <c r="BG404" s="55"/>
      <c r="BH404" s="55"/>
      <c r="BI404" s="55"/>
      <c r="BJ404" s="55"/>
      <c r="BK404" s="55"/>
      <c r="BL404" s="55"/>
      <c r="BM404" s="55"/>
      <c r="BN404" s="55"/>
      <c r="BO404" s="55"/>
      <c r="BP404" s="55"/>
      <c r="BQ404" s="55"/>
      <c r="BR404" s="55"/>
      <c r="BS404" s="55"/>
      <c r="BT404" s="55"/>
      <c r="BU404" s="55"/>
      <c r="BV404" s="55"/>
      <c r="BW404" s="55"/>
      <c r="BX404" s="55"/>
      <c r="BY404" s="55"/>
      <c r="BZ404" s="55"/>
      <c r="CA404" s="55"/>
      <c r="CB404" s="55"/>
      <c r="CC404" s="55"/>
      <c r="CD404" s="55"/>
      <c r="CE404" s="55"/>
      <c r="CF404" s="55"/>
      <c r="CG404" s="55"/>
      <c r="CH404" s="55"/>
      <c r="CI404" s="55"/>
      <c r="CJ404" s="55"/>
      <c r="CK404" s="55"/>
      <c r="CL404" s="55"/>
      <c r="CM404" s="55"/>
      <c r="CN404" s="55"/>
      <c r="CO404" s="55"/>
      <c r="CP404" s="55"/>
      <c r="CQ404" s="55"/>
      <c r="CR404" s="55"/>
      <c r="CS404" s="55"/>
      <c r="CT404" s="55"/>
      <c r="CU404" s="55"/>
      <c r="CV404" s="55"/>
      <c r="CW404" s="55"/>
      <c r="CX404" s="55"/>
      <c r="CY404" s="55"/>
      <c r="CZ404" s="55"/>
      <c r="DA404" s="55"/>
      <c r="DB404" s="55"/>
      <c r="DC404" s="55"/>
      <c r="DD404" s="55"/>
      <c r="DE404" s="55"/>
      <c r="DF404" s="55"/>
      <c r="DG404" s="55"/>
      <c r="DH404" s="55"/>
      <c r="DI404" s="55"/>
      <c r="DJ404" s="55"/>
    </row>
    <row r="405" spans="1:114" x14ac:dyDescent="0.25">
      <c r="A405" s="339"/>
      <c r="B405" s="340"/>
      <c r="C405" s="341"/>
      <c r="D405" s="342"/>
      <c r="E405" s="344"/>
      <c r="F405" s="350"/>
      <c r="G405" s="345"/>
      <c r="H405" s="346"/>
      <c r="I405" s="345"/>
      <c r="J405" s="345"/>
      <c r="K405" s="347"/>
      <c r="L405" s="297"/>
      <c r="M405" s="297"/>
      <c r="N405" s="348"/>
      <c r="O405" s="310" t="s">
        <v>988</v>
      </c>
      <c r="P405" s="349" t="s">
        <v>955</v>
      </c>
      <c r="Q405" s="349" t="s">
        <v>933</v>
      </c>
      <c r="R405" s="349" t="s">
        <v>928</v>
      </c>
      <c r="S405" s="349" t="s">
        <v>952</v>
      </c>
      <c r="T405" s="346" t="s">
        <v>970</v>
      </c>
      <c r="U405" s="346" t="s">
        <v>931</v>
      </c>
      <c r="V405" s="346" t="s">
        <v>935</v>
      </c>
      <c r="W405" s="346" t="s">
        <v>944</v>
      </c>
      <c r="X405" s="346" t="s">
        <v>948</v>
      </c>
      <c r="Y405" s="346" t="s">
        <v>985</v>
      </c>
      <c r="Z405" s="346" t="s">
        <v>994</v>
      </c>
      <c r="AA405" s="346" t="s">
        <v>979</v>
      </c>
      <c r="AB405" s="346"/>
      <c r="AC405" s="346"/>
      <c r="AD405" s="346"/>
      <c r="AE405" s="346"/>
      <c r="AF405" s="346"/>
      <c r="AG405" s="346"/>
      <c r="AH405" s="346"/>
      <c r="AI405" s="346"/>
      <c r="AJ405" s="346"/>
      <c r="AK405" s="346"/>
      <c r="AL405" s="346"/>
      <c r="AM405" s="346"/>
      <c r="AN405" s="346"/>
      <c r="AO405" s="346"/>
      <c r="AP405" s="346"/>
      <c r="AQ405" s="346"/>
      <c r="AR405" s="346"/>
      <c r="AS405" s="346"/>
      <c r="AT405" s="346"/>
      <c r="AU405" s="346"/>
      <c r="AV405" s="346"/>
      <c r="AW405" s="346"/>
      <c r="AX405" s="346"/>
      <c r="AY405" s="346"/>
      <c r="AZ405" s="346"/>
      <c r="BA405" s="346"/>
      <c r="BB405" s="346"/>
      <c r="BC405" s="346"/>
      <c r="BD405" s="346"/>
      <c r="BE405" s="346"/>
      <c r="BF405" s="346"/>
      <c r="BG405" s="346"/>
      <c r="BH405" s="346"/>
      <c r="BI405" s="346"/>
      <c r="BJ405" s="346"/>
      <c r="BK405" s="346"/>
      <c r="BL405" s="346"/>
      <c r="BM405" s="346"/>
      <c r="BN405" s="346"/>
      <c r="BO405" s="346"/>
      <c r="BP405" s="346"/>
      <c r="BQ405" s="346"/>
      <c r="BR405" s="346"/>
      <c r="BS405" s="346"/>
      <c r="BT405" s="346"/>
      <c r="BU405" s="346"/>
      <c r="BV405" s="346"/>
      <c r="BW405" s="346"/>
      <c r="BX405" s="346"/>
      <c r="BY405" s="346"/>
      <c r="BZ405" s="346"/>
      <c r="CA405" s="346"/>
      <c r="CB405" s="346"/>
      <c r="CC405" s="346"/>
      <c r="CD405" s="346"/>
      <c r="CE405" s="346"/>
      <c r="CF405" s="346"/>
      <c r="CG405" s="346"/>
      <c r="CH405" s="346"/>
      <c r="CI405" s="346"/>
      <c r="CJ405" s="346"/>
      <c r="CK405" s="346"/>
      <c r="CL405" s="346"/>
      <c r="CM405" s="346"/>
      <c r="CN405" s="346"/>
      <c r="CO405" s="346"/>
      <c r="CP405" s="346"/>
      <c r="CQ405" s="346"/>
      <c r="CR405" s="346"/>
      <c r="CS405" s="346"/>
      <c r="CT405" s="346"/>
      <c r="CU405" s="346"/>
      <c r="CV405" s="346"/>
      <c r="CW405" s="346"/>
      <c r="CX405" s="346"/>
      <c r="CY405" s="346"/>
      <c r="CZ405" s="346"/>
      <c r="DA405" s="346"/>
      <c r="DB405" s="346"/>
      <c r="DC405" s="346"/>
      <c r="DD405" s="346"/>
      <c r="DE405" s="346"/>
      <c r="DF405" s="346"/>
      <c r="DG405" s="346"/>
      <c r="DH405" s="346"/>
      <c r="DI405" s="346"/>
      <c r="DJ405" s="346"/>
    </row>
    <row r="406" spans="1:114" x14ac:dyDescent="0.25">
      <c r="A406" s="120">
        <v>12</v>
      </c>
      <c r="B406" s="79" t="s">
        <v>138</v>
      </c>
      <c r="C406" s="377">
        <v>2500</v>
      </c>
      <c r="D406" s="101">
        <v>130.53</v>
      </c>
      <c r="E406" s="43">
        <v>0</v>
      </c>
      <c r="F406" s="60"/>
      <c r="G406" s="56">
        <f t="shared" si="167"/>
        <v>0</v>
      </c>
      <c r="H406" s="55">
        <f>9000-9000</f>
        <v>0</v>
      </c>
      <c r="I406" s="56">
        <f t="shared" si="168"/>
        <v>0</v>
      </c>
      <c r="J406" s="56">
        <f t="shared" si="169"/>
        <v>0</v>
      </c>
      <c r="K406" s="57">
        <f t="shared" si="170"/>
        <v>0</v>
      </c>
      <c r="L406" s="297"/>
      <c r="M406" s="297" t="s">
        <v>977</v>
      </c>
      <c r="N406" s="314">
        <f t="shared" si="171"/>
        <v>59430</v>
      </c>
      <c r="O406" s="310">
        <v>3780</v>
      </c>
      <c r="P406" s="315">
        <v>4000</v>
      </c>
      <c r="Q406" s="315">
        <v>4000</v>
      </c>
      <c r="R406" s="315">
        <v>2000</v>
      </c>
      <c r="S406" s="315">
        <v>10000</v>
      </c>
      <c r="T406" s="55">
        <v>1890</v>
      </c>
      <c r="U406" s="55">
        <v>3900</v>
      </c>
      <c r="V406" s="55">
        <v>1960</v>
      </c>
      <c r="W406" s="55">
        <v>2000</v>
      </c>
      <c r="X406" s="55">
        <v>3900</v>
      </c>
      <c r="Y406" s="55">
        <v>10000</v>
      </c>
      <c r="Z406" s="55">
        <v>8000</v>
      </c>
      <c r="AA406" s="55">
        <v>4000</v>
      </c>
      <c r="AB406" s="55"/>
      <c r="AC406" s="55"/>
      <c r="AD406" s="55"/>
      <c r="AE406" s="55"/>
      <c r="AF406" s="55"/>
      <c r="AG406" s="55"/>
      <c r="AH406" s="55"/>
      <c r="AI406" s="55"/>
      <c r="AJ406" s="55"/>
      <c r="AK406" s="55"/>
      <c r="AL406" s="55"/>
      <c r="AM406" s="55"/>
      <c r="AN406" s="55"/>
      <c r="AO406" s="55"/>
      <c r="AP406" s="55"/>
      <c r="AQ406" s="55"/>
      <c r="AR406" s="55"/>
      <c r="AS406" s="55"/>
      <c r="AT406" s="55"/>
      <c r="AU406" s="55"/>
      <c r="AV406" s="55"/>
      <c r="AW406" s="55"/>
      <c r="AX406" s="55"/>
      <c r="AY406" s="55"/>
      <c r="AZ406" s="55"/>
      <c r="BA406" s="55"/>
      <c r="BB406" s="55"/>
      <c r="BC406" s="55"/>
      <c r="BD406" s="55"/>
      <c r="BE406" s="55"/>
      <c r="BF406" s="55"/>
      <c r="BG406" s="55"/>
      <c r="BH406" s="55"/>
      <c r="BI406" s="55"/>
      <c r="BJ406" s="55"/>
      <c r="BK406" s="55"/>
      <c r="BL406" s="55"/>
      <c r="BM406" s="55"/>
      <c r="BN406" s="55"/>
      <c r="BO406" s="55"/>
      <c r="BP406" s="55"/>
      <c r="BQ406" s="55"/>
      <c r="BR406" s="55"/>
      <c r="BS406" s="55"/>
      <c r="BT406" s="55"/>
      <c r="BU406" s="55"/>
      <c r="BV406" s="55"/>
      <c r="BW406" s="55"/>
      <c r="BX406" s="55"/>
      <c r="BY406" s="55"/>
      <c r="BZ406" s="55"/>
      <c r="CA406" s="55"/>
      <c r="CB406" s="55"/>
      <c r="CC406" s="55"/>
      <c r="CD406" s="55"/>
      <c r="CE406" s="55"/>
      <c r="CF406" s="55"/>
      <c r="CG406" s="55"/>
      <c r="CH406" s="55"/>
      <c r="CI406" s="55"/>
      <c r="CJ406" s="55"/>
      <c r="CK406" s="55"/>
      <c r="CL406" s="55"/>
      <c r="CM406" s="55"/>
      <c r="CN406" s="55"/>
      <c r="CO406" s="55"/>
      <c r="CP406" s="55"/>
      <c r="CQ406" s="55"/>
      <c r="CR406" s="55"/>
      <c r="CS406" s="55"/>
      <c r="CT406" s="55"/>
      <c r="CU406" s="55"/>
      <c r="CV406" s="55"/>
      <c r="CW406" s="55"/>
      <c r="CX406" s="55"/>
      <c r="CY406" s="55"/>
      <c r="CZ406" s="55"/>
      <c r="DA406" s="55"/>
      <c r="DB406" s="55"/>
      <c r="DC406" s="55"/>
      <c r="DD406" s="55"/>
      <c r="DE406" s="55"/>
      <c r="DF406" s="55"/>
      <c r="DG406" s="55"/>
      <c r="DH406" s="55"/>
      <c r="DI406" s="55"/>
      <c r="DJ406" s="55"/>
    </row>
    <row r="407" spans="1:114" x14ac:dyDescent="0.25">
      <c r="A407" s="120">
        <v>13</v>
      </c>
      <c r="B407" s="60" t="s">
        <v>139</v>
      </c>
      <c r="C407" s="377">
        <v>2500</v>
      </c>
      <c r="D407" s="101">
        <v>130.53</v>
      </c>
      <c r="E407" s="43">
        <v>0</v>
      </c>
      <c r="F407" s="60"/>
      <c r="G407" s="56">
        <f t="shared" si="167"/>
        <v>0</v>
      </c>
      <c r="H407" s="55">
        <f>9000-9000</f>
        <v>0</v>
      </c>
      <c r="I407" s="56">
        <f t="shared" si="168"/>
        <v>0</v>
      </c>
      <c r="J407" s="56">
        <f t="shared" si="169"/>
        <v>0</v>
      </c>
      <c r="K407" s="57">
        <f t="shared" si="170"/>
        <v>0</v>
      </c>
      <c r="L407" s="297"/>
      <c r="M407" s="297"/>
      <c r="N407" s="314">
        <f t="shared" si="171"/>
        <v>0</v>
      </c>
      <c r="O407" s="310"/>
      <c r="P407" s="315"/>
      <c r="Q407" s="315"/>
      <c r="R407" s="315"/>
      <c r="S407" s="315"/>
      <c r="T407" s="55"/>
      <c r="U407" s="55"/>
      <c r="V407" s="55"/>
      <c r="W407" s="55"/>
      <c r="X407" s="55"/>
      <c r="Y407" s="55"/>
      <c r="Z407" s="55"/>
      <c r="AA407" s="55"/>
      <c r="AB407" s="55"/>
      <c r="AC407" s="55"/>
      <c r="AD407" s="55"/>
      <c r="AE407" s="55"/>
      <c r="AF407" s="55"/>
      <c r="AG407" s="55"/>
      <c r="AH407" s="55"/>
      <c r="AI407" s="55"/>
      <c r="AJ407" s="55"/>
      <c r="AK407" s="55"/>
      <c r="AL407" s="55"/>
      <c r="AM407" s="55"/>
      <c r="AN407" s="55"/>
      <c r="AO407" s="55"/>
      <c r="AP407" s="55"/>
      <c r="AQ407" s="55"/>
      <c r="AR407" s="55"/>
      <c r="AS407" s="55"/>
      <c r="AT407" s="55"/>
      <c r="AU407" s="55"/>
      <c r="AV407" s="55"/>
      <c r="AW407" s="55"/>
      <c r="AX407" s="55"/>
      <c r="AY407" s="55"/>
      <c r="AZ407" s="55"/>
      <c r="BA407" s="55"/>
      <c r="BB407" s="55"/>
      <c r="BC407" s="55"/>
      <c r="BD407" s="55"/>
      <c r="BE407" s="55"/>
      <c r="BF407" s="55"/>
      <c r="BG407" s="55"/>
      <c r="BH407" s="55"/>
      <c r="BI407" s="55"/>
      <c r="BJ407" s="55"/>
      <c r="BK407" s="55"/>
      <c r="BL407" s="55"/>
      <c r="BM407" s="55"/>
      <c r="BN407" s="55"/>
      <c r="BO407" s="55"/>
      <c r="BP407" s="55"/>
      <c r="BQ407" s="55"/>
      <c r="BR407" s="55"/>
      <c r="BS407" s="55"/>
      <c r="BT407" s="55"/>
      <c r="BU407" s="55"/>
      <c r="BV407" s="55"/>
      <c r="BW407" s="55"/>
      <c r="BX407" s="55"/>
      <c r="BY407" s="55"/>
      <c r="BZ407" s="55"/>
      <c r="CA407" s="55"/>
      <c r="CB407" s="55"/>
      <c r="CC407" s="55"/>
      <c r="CD407" s="55"/>
      <c r="CE407" s="55"/>
      <c r="CF407" s="55"/>
      <c r="CG407" s="55"/>
      <c r="CH407" s="55"/>
      <c r="CI407" s="55"/>
      <c r="CJ407" s="55"/>
      <c r="CK407" s="55"/>
      <c r="CL407" s="55"/>
      <c r="CM407" s="55"/>
      <c r="CN407" s="55"/>
      <c r="CO407" s="55"/>
      <c r="CP407" s="55"/>
      <c r="CQ407" s="55"/>
      <c r="CR407" s="55"/>
      <c r="CS407" s="55"/>
      <c r="CT407" s="55"/>
      <c r="CU407" s="55"/>
      <c r="CV407" s="55"/>
      <c r="CW407" s="55"/>
      <c r="CX407" s="55"/>
      <c r="CY407" s="55"/>
      <c r="CZ407" s="55"/>
      <c r="DA407" s="55"/>
      <c r="DB407" s="55"/>
      <c r="DC407" s="55"/>
      <c r="DD407" s="55"/>
      <c r="DE407" s="55"/>
      <c r="DF407" s="55"/>
      <c r="DG407" s="55"/>
      <c r="DH407" s="55"/>
      <c r="DI407" s="55"/>
      <c r="DJ407" s="55"/>
    </row>
    <row r="408" spans="1:114" x14ac:dyDescent="0.25">
      <c r="A408" s="339"/>
      <c r="B408" s="361"/>
      <c r="C408" s="362"/>
      <c r="D408" s="363"/>
      <c r="E408" s="364"/>
      <c r="F408" s="361"/>
      <c r="G408" s="365"/>
      <c r="H408" s="366"/>
      <c r="I408" s="365"/>
      <c r="J408" s="365"/>
      <c r="K408" s="367"/>
      <c r="L408" s="297"/>
      <c r="M408" s="297"/>
      <c r="N408" s="368"/>
      <c r="O408" s="354" t="s">
        <v>951</v>
      </c>
      <c r="P408" s="369" t="s">
        <v>955</v>
      </c>
      <c r="Q408" s="369" t="s">
        <v>931</v>
      </c>
      <c r="R408" s="369" t="s">
        <v>944</v>
      </c>
      <c r="S408" s="369" t="s">
        <v>935</v>
      </c>
      <c r="T408" s="366" t="s">
        <v>952</v>
      </c>
      <c r="U408" s="366" t="s">
        <v>960</v>
      </c>
      <c r="V408" s="366" t="s">
        <v>948</v>
      </c>
      <c r="W408" s="366" t="s">
        <v>951</v>
      </c>
      <c r="X408" s="366" t="s">
        <v>979</v>
      </c>
      <c r="Y408" s="366" t="s">
        <v>982</v>
      </c>
      <c r="Z408" s="366" t="s">
        <v>928</v>
      </c>
      <c r="AA408" s="366" t="s">
        <v>983</v>
      </c>
      <c r="AB408" s="366" t="s">
        <v>933</v>
      </c>
      <c r="AC408" s="366"/>
      <c r="AD408" s="366"/>
      <c r="AE408" s="366"/>
      <c r="AF408" s="366"/>
      <c r="AG408" s="366"/>
      <c r="AH408" s="366"/>
      <c r="AI408" s="366"/>
      <c r="AJ408" s="366"/>
      <c r="AK408" s="366"/>
      <c r="AL408" s="366"/>
      <c r="AM408" s="366"/>
      <c r="AN408" s="366"/>
      <c r="AO408" s="366"/>
      <c r="AP408" s="366"/>
      <c r="AQ408" s="366"/>
      <c r="AR408" s="366"/>
      <c r="AS408" s="366"/>
      <c r="AT408" s="366"/>
      <c r="AU408" s="366"/>
      <c r="AV408" s="366"/>
      <c r="AW408" s="366"/>
      <c r="AX408" s="366"/>
      <c r="AY408" s="366"/>
      <c r="AZ408" s="366"/>
      <c r="BA408" s="366"/>
      <c r="BB408" s="366"/>
      <c r="BC408" s="366"/>
      <c r="BD408" s="366"/>
      <c r="BE408" s="366"/>
      <c r="BF408" s="366"/>
      <c r="BG408" s="366"/>
      <c r="BH408" s="366"/>
      <c r="BI408" s="366"/>
      <c r="BJ408" s="366"/>
      <c r="BK408" s="366"/>
      <c r="BL408" s="366"/>
      <c r="BM408" s="366"/>
      <c r="BN408" s="366"/>
      <c r="BO408" s="366"/>
      <c r="BP408" s="366"/>
      <c r="BQ408" s="366"/>
      <c r="BR408" s="366"/>
      <c r="BS408" s="366"/>
      <c r="BT408" s="366"/>
      <c r="BU408" s="366"/>
      <c r="BV408" s="366"/>
      <c r="BW408" s="366"/>
      <c r="BX408" s="366"/>
      <c r="BY408" s="366"/>
      <c r="BZ408" s="366"/>
      <c r="CA408" s="366"/>
      <c r="CB408" s="366"/>
      <c r="CC408" s="366"/>
      <c r="CD408" s="366"/>
      <c r="CE408" s="366"/>
      <c r="CF408" s="366"/>
      <c r="CG408" s="366"/>
      <c r="CH408" s="366"/>
      <c r="CI408" s="366"/>
      <c r="CJ408" s="366"/>
      <c r="CK408" s="366"/>
      <c r="CL408" s="366"/>
      <c r="CM408" s="366"/>
      <c r="CN408" s="366"/>
      <c r="CO408" s="366"/>
      <c r="CP408" s="366"/>
      <c r="CQ408" s="366"/>
      <c r="CR408" s="366"/>
      <c r="CS408" s="366"/>
      <c r="CT408" s="366"/>
      <c r="CU408" s="366"/>
      <c r="CV408" s="366"/>
      <c r="CW408" s="366"/>
      <c r="CX408" s="366"/>
      <c r="CY408" s="366"/>
      <c r="CZ408" s="366"/>
      <c r="DA408" s="366"/>
      <c r="DB408" s="366"/>
      <c r="DC408" s="366"/>
      <c r="DD408" s="366"/>
      <c r="DE408" s="366"/>
      <c r="DF408" s="366"/>
      <c r="DG408" s="366"/>
      <c r="DH408" s="366"/>
      <c r="DI408" s="366"/>
      <c r="DJ408" s="366"/>
    </row>
    <row r="409" spans="1:114" x14ac:dyDescent="0.25">
      <c r="A409" s="120">
        <v>14</v>
      </c>
      <c r="B409" s="231" t="s">
        <v>828</v>
      </c>
      <c r="C409" s="372">
        <f>5000-2500</f>
        <v>2500</v>
      </c>
      <c r="D409" s="125">
        <f>2*109.83</f>
        <v>219.66</v>
      </c>
      <c r="E409" s="122">
        <v>0</v>
      </c>
      <c r="F409" s="121">
        <f>1200-1200+200-200</f>
        <v>0</v>
      </c>
      <c r="G409" s="109">
        <f t="shared" si="167"/>
        <v>0</v>
      </c>
      <c r="H409" s="108">
        <f>1200-1200+200-200</f>
        <v>0</v>
      </c>
      <c r="I409" s="109">
        <f t="shared" si="168"/>
        <v>0</v>
      </c>
      <c r="J409" s="109">
        <f t="shared" si="169"/>
        <v>0</v>
      </c>
      <c r="K409" s="110">
        <f t="shared" si="170"/>
        <v>0</v>
      </c>
      <c r="L409" s="297"/>
      <c r="M409" s="297">
        <v>72100</v>
      </c>
      <c r="N409" s="321">
        <f t="shared" si="171"/>
        <v>49652</v>
      </c>
      <c r="O409" s="312">
        <v>2400</v>
      </c>
      <c r="P409" s="318">
        <v>2376</v>
      </c>
      <c r="Q409" s="318">
        <v>2300</v>
      </c>
      <c r="R409" s="318">
        <v>2400</v>
      </c>
      <c r="S409" s="318">
        <v>2352</v>
      </c>
      <c r="T409" s="108">
        <v>4800</v>
      </c>
      <c r="U409" s="108">
        <v>4752</v>
      </c>
      <c r="V409" s="108">
        <v>4728</v>
      </c>
      <c r="W409" s="108">
        <v>7200</v>
      </c>
      <c r="X409" s="108">
        <v>2400</v>
      </c>
      <c r="Y409" s="108">
        <v>4440</v>
      </c>
      <c r="Z409" s="108">
        <v>2400</v>
      </c>
      <c r="AA409" s="108">
        <v>2328</v>
      </c>
      <c r="AB409" s="108">
        <v>4776</v>
      </c>
      <c r="AC409" s="108"/>
      <c r="AD409" s="108"/>
      <c r="AE409" s="108"/>
      <c r="AF409" s="108"/>
      <c r="AG409" s="108"/>
      <c r="AH409" s="108"/>
      <c r="AI409" s="108"/>
      <c r="AJ409" s="108"/>
      <c r="AK409" s="108"/>
      <c r="AL409" s="108"/>
      <c r="AM409" s="108"/>
      <c r="AN409" s="108"/>
      <c r="AO409" s="108"/>
      <c r="AP409" s="108"/>
      <c r="AQ409" s="108"/>
      <c r="AR409" s="108"/>
      <c r="AS409" s="108"/>
      <c r="AT409" s="108"/>
      <c r="AU409" s="108"/>
      <c r="AV409" s="108"/>
      <c r="AW409" s="108"/>
      <c r="AX409" s="108"/>
      <c r="AY409" s="108"/>
      <c r="AZ409" s="108"/>
      <c r="BA409" s="108"/>
      <c r="BB409" s="108"/>
      <c r="BC409" s="108"/>
      <c r="BD409" s="108"/>
      <c r="BE409" s="108"/>
      <c r="BF409" s="108"/>
      <c r="BG409" s="108"/>
      <c r="BH409" s="108"/>
      <c r="BI409" s="108"/>
      <c r="BJ409" s="108"/>
      <c r="BK409" s="108"/>
      <c r="BL409" s="108"/>
      <c r="BM409" s="108"/>
      <c r="BN409" s="108"/>
      <c r="BO409" s="108"/>
      <c r="BP409" s="108"/>
      <c r="BQ409" s="108"/>
      <c r="BR409" s="108"/>
      <c r="BS409" s="108"/>
      <c r="BT409" s="108"/>
      <c r="BU409" s="108"/>
      <c r="BV409" s="108"/>
      <c r="BW409" s="108"/>
      <c r="BX409" s="108"/>
      <c r="BY409" s="108"/>
      <c r="BZ409" s="108"/>
      <c r="CA409" s="108"/>
      <c r="CB409" s="108"/>
      <c r="CC409" s="108"/>
      <c r="CD409" s="108"/>
      <c r="CE409" s="108"/>
      <c r="CF409" s="108"/>
      <c r="CG409" s="108"/>
      <c r="CH409" s="108"/>
      <c r="CI409" s="108"/>
      <c r="CJ409" s="108"/>
      <c r="CK409" s="108"/>
      <c r="CL409" s="108"/>
      <c r="CM409" s="108"/>
      <c r="CN409" s="108"/>
      <c r="CO409" s="108"/>
      <c r="CP409" s="108"/>
      <c r="CQ409" s="108"/>
      <c r="CR409" s="108"/>
      <c r="CS409" s="108"/>
      <c r="CT409" s="108"/>
      <c r="CU409" s="108"/>
      <c r="CV409" s="108"/>
      <c r="CW409" s="108"/>
      <c r="CX409" s="108"/>
      <c r="CY409" s="108"/>
      <c r="CZ409" s="108"/>
      <c r="DA409" s="108"/>
      <c r="DB409" s="108"/>
      <c r="DC409" s="108"/>
      <c r="DD409" s="108"/>
      <c r="DE409" s="108"/>
      <c r="DF409" s="108"/>
      <c r="DG409" s="108"/>
      <c r="DH409" s="108"/>
      <c r="DI409" s="108"/>
      <c r="DJ409" s="108"/>
    </row>
    <row r="410" spans="1:114" x14ac:dyDescent="0.25">
      <c r="A410" s="328"/>
      <c r="B410" s="374"/>
      <c r="C410" s="330"/>
      <c r="D410" s="375"/>
      <c r="E410" s="376"/>
      <c r="F410" s="333"/>
      <c r="G410" s="334"/>
      <c r="H410" s="316"/>
      <c r="I410" s="334"/>
      <c r="J410" s="334"/>
      <c r="K410" s="335"/>
      <c r="L410" s="297"/>
      <c r="M410" s="297"/>
      <c r="N410" s="314"/>
      <c r="O410" s="310" t="s">
        <v>948</v>
      </c>
      <c r="P410" s="315" t="s">
        <v>960</v>
      </c>
      <c r="Q410" s="315" t="s">
        <v>988</v>
      </c>
      <c r="R410" s="315" t="s">
        <v>979</v>
      </c>
      <c r="S410" s="315" t="s">
        <v>951</v>
      </c>
      <c r="T410" s="55" t="s">
        <v>936</v>
      </c>
      <c r="U410" s="55" t="s">
        <v>955</v>
      </c>
      <c r="V410" s="55" t="s">
        <v>948</v>
      </c>
      <c r="W410" s="55" t="s">
        <v>935</v>
      </c>
      <c r="X410" s="55" t="s">
        <v>933</v>
      </c>
      <c r="Y410" s="55" t="s">
        <v>983</v>
      </c>
      <c r="Z410" s="55" t="s">
        <v>993</v>
      </c>
      <c r="AA410" s="55" t="s">
        <v>931</v>
      </c>
      <c r="AB410" s="55" t="s">
        <v>928</v>
      </c>
      <c r="AC410" s="55" t="s">
        <v>986</v>
      </c>
      <c r="AD410" s="55"/>
      <c r="AE410" s="55"/>
      <c r="AF410" s="55"/>
      <c r="AG410" s="55"/>
      <c r="AH410" s="55"/>
      <c r="AI410" s="55"/>
      <c r="AJ410" s="55"/>
      <c r="AK410" s="55"/>
      <c r="AL410" s="55"/>
      <c r="AM410" s="55"/>
      <c r="AN410" s="55"/>
      <c r="AO410" s="55"/>
      <c r="AP410" s="55"/>
      <c r="AQ410" s="55"/>
      <c r="AR410" s="55"/>
      <c r="AS410" s="55"/>
      <c r="AT410" s="55"/>
      <c r="AU410" s="55"/>
      <c r="AV410" s="55"/>
      <c r="AW410" s="55"/>
      <c r="AX410" s="55"/>
      <c r="AY410" s="55"/>
      <c r="AZ410" s="55"/>
      <c r="BA410" s="55"/>
      <c r="BB410" s="55"/>
      <c r="BC410" s="55"/>
      <c r="BD410" s="55"/>
      <c r="BE410" s="55"/>
      <c r="BF410" s="55"/>
      <c r="BG410" s="55"/>
      <c r="BH410" s="55"/>
      <c r="BI410" s="55"/>
      <c r="BJ410" s="55"/>
      <c r="BK410" s="55"/>
      <c r="BL410" s="55"/>
      <c r="BM410" s="55"/>
      <c r="BN410" s="55"/>
      <c r="BO410" s="55"/>
      <c r="BP410" s="55"/>
      <c r="BQ410" s="55"/>
      <c r="BR410" s="55"/>
      <c r="BS410" s="55"/>
      <c r="BT410" s="55"/>
      <c r="BU410" s="55"/>
      <c r="BV410" s="55"/>
      <c r="BW410" s="55"/>
      <c r="BX410" s="55"/>
      <c r="BY410" s="55"/>
      <c r="BZ410" s="55"/>
      <c r="CA410" s="55"/>
      <c r="CB410" s="55"/>
      <c r="CC410" s="55"/>
      <c r="CD410" s="55"/>
      <c r="CE410" s="55"/>
      <c r="CF410" s="55"/>
      <c r="CG410" s="55"/>
      <c r="CH410" s="55"/>
      <c r="CI410" s="55"/>
      <c r="CJ410" s="55"/>
      <c r="CK410" s="55"/>
      <c r="CL410" s="55"/>
      <c r="CM410" s="55"/>
      <c r="CN410" s="55"/>
      <c r="CO410" s="55"/>
      <c r="CP410" s="55"/>
      <c r="CQ410" s="55"/>
      <c r="CR410" s="55"/>
      <c r="CS410" s="55"/>
      <c r="CT410" s="55"/>
      <c r="CU410" s="55"/>
      <c r="CV410" s="55"/>
      <c r="CW410" s="55"/>
      <c r="CX410" s="55"/>
      <c r="CY410" s="55"/>
      <c r="CZ410" s="55"/>
      <c r="DA410" s="55"/>
      <c r="DB410" s="55"/>
      <c r="DC410" s="55"/>
      <c r="DD410" s="55"/>
      <c r="DE410" s="55"/>
      <c r="DF410" s="55"/>
      <c r="DG410" s="55"/>
      <c r="DH410" s="55"/>
      <c r="DI410" s="55"/>
      <c r="DJ410" s="55"/>
    </row>
    <row r="411" spans="1:114" ht="15.75" thickBot="1" x14ac:dyDescent="0.3">
      <c r="A411" s="328">
        <v>15</v>
      </c>
      <c r="B411" s="374" t="s">
        <v>992</v>
      </c>
      <c r="C411" s="330">
        <v>2500</v>
      </c>
      <c r="D411" s="375"/>
      <c r="E411" s="376"/>
      <c r="F411" s="333"/>
      <c r="G411" s="334"/>
      <c r="H411" s="316"/>
      <c r="I411" s="334"/>
      <c r="J411" s="334"/>
      <c r="K411" s="335"/>
      <c r="L411" s="297"/>
      <c r="M411" s="297">
        <v>204996</v>
      </c>
      <c r="N411" s="314">
        <f t="shared" ref="N411" si="172">SUM(O411:DK411)</f>
        <v>105590</v>
      </c>
      <c r="O411" s="310">
        <v>10000</v>
      </c>
      <c r="P411" s="315">
        <v>16000</v>
      </c>
      <c r="Q411" s="315">
        <v>7720</v>
      </c>
      <c r="R411" s="315">
        <v>4000</v>
      </c>
      <c r="S411" s="315">
        <v>10000</v>
      </c>
      <c r="T411" s="55">
        <v>4000</v>
      </c>
      <c r="U411" s="55">
        <v>8000</v>
      </c>
      <c r="V411" s="55">
        <v>7900</v>
      </c>
      <c r="W411" s="55">
        <v>7960</v>
      </c>
      <c r="X411" s="55">
        <v>8000</v>
      </c>
      <c r="Y411" s="55">
        <v>4260</v>
      </c>
      <c r="Z411" s="55">
        <v>400</v>
      </c>
      <c r="AA411" s="55">
        <v>7950</v>
      </c>
      <c r="AB411" s="55">
        <v>3400</v>
      </c>
      <c r="AC411" s="55">
        <v>6000</v>
      </c>
      <c r="AD411" s="55"/>
      <c r="AE411" s="55"/>
      <c r="AF411" s="55"/>
      <c r="AG411" s="55"/>
      <c r="AH411" s="55"/>
      <c r="AI411" s="55"/>
      <c r="AJ411" s="55"/>
      <c r="AK411" s="55"/>
      <c r="AL411" s="55"/>
      <c r="AM411" s="55"/>
      <c r="AN411" s="55"/>
      <c r="AO411" s="55"/>
      <c r="AP411" s="55"/>
      <c r="AQ411" s="55"/>
      <c r="AR411" s="55"/>
      <c r="AS411" s="55"/>
      <c r="AT411" s="55"/>
      <c r="AU411" s="55"/>
      <c r="AV411" s="55"/>
      <c r="AW411" s="55"/>
      <c r="AX411" s="55"/>
      <c r="AY411" s="55"/>
      <c r="AZ411" s="55"/>
      <c r="BA411" s="55"/>
      <c r="BB411" s="55"/>
      <c r="BC411" s="55"/>
      <c r="BD411" s="55"/>
      <c r="BE411" s="55"/>
      <c r="BF411" s="55"/>
      <c r="BG411" s="55"/>
      <c r="BH411" s="55"/>
      <c r="BI411" s="55"/>
      <c r="BJ411" s="55"/>
      <c r="BK411" s="55"/>
      <c r="BL411" s="55"/>
      <c r="BM411" s="55"/>
      <c r="BN411" s="55"/>
      <c r="BO411" s="55"/>
      <c r="BP411" s="55"/>
      <c r="BQ411" s="55"/>
      <c r="BR411" s="55"/>
      <c r="BS411" s="55"/>
      <c r="BT411" s="55"/>
      <c r="BU411" s="55"/>
      <c r="BV411" s="55"/>
      <c r="BW411" s="55"/>
      <c r="BX411" s="55"/>
      <c r="BY411" s="55"/>
      <c r="BZ411" s="55"/>
      <c r="CA411" s="55"/>
      <c r="CB411" s="55"/>
      <c r="CC411" s="55"/>
      <c r="CD411" s="55"/>
      <c r="CE411" s="55"/>
      <c r="CF411" s="55"/>
      <c r="CG411" s="55"/>
      <c r="CH411" s="55"/>
      <c r="CI411" s="55"/>
      <c r="CJ411" s="55"/>
      <c r="CK411" s="55"/>
      <c r="CL411" s="55"/>
      <c r="CM411" s="55"/>
      <c r="CN411" s="55"/>
      <c r="CO411" s="55"/>
      <c r="CP411" s="55"/>
      <c r="CQ411" s="55"/>
      <c r="CR411" s="55"/>
      <c r="CS411" s="55"/>
      <c r="CT411" s="55"/>
      <c r="CU411" s="55"/>
      <c r="CV411" s="55"/>
      <c r="CW411" s="55"/>
      <c r="CX411" s="55"/>
      <c r="CY411" s="55"/>
      <c r="CZ411" s="55"/>
      <c r="DA411" s="55"/>
      <c r="DB411" s="55"/>
      <c r="DC411" s="55"/>
      <c r="DD411" s="55"/>
      <c r="DE411" s="55"/>
      <c r="DF411" s="55"/>
      <c r="DG411" s="55"/>
      <c r="DH411" s="55"/>
      <c r="DI411" s="55"/>
      <c r="DJ411" s="55"/>
    </row>
    <row r="412" spans="1:114" ht="15.75" thickBot="1" x14ac:dyDescent="0.3">
      <c r="A412" s="83"/>
      <c r="B412" s="119" t="s">
        <v>684</v>
      </c>
      <c r="C412" s="36"/>
      <c r="D412" s="35"/>
      <c r="E412" s="35">
        <f t="shared" ref="E412:K412" si="173">SUM(E387:E409)</f>
        <v>120672</v>
      </c>
      <c r="F412" s="35">
        <f t="shared" si="173"/>
        <v>0</v>
      </c>
      <c r="G412" s="35">
        <f t="shared" si="173"/>
        <v>120672</v>
      </c>
      <c r="H412" s="35">
        <f t="shared" si="173"/>
        <v>12000</v>
      </c>
      <c r="I412" s="35">
        <f t="shared" si="173"/>
        <v>108672</v>
      </c>
      <c r="J412" s="35">
        <f t="shared" si="173"/>
        <v>543360000</v>
      </c>
      <c r="K412" s="198">
        <f t="shared" si="173"/>
        <v>10972611.84</v>
      </c>
      <c r="L412" s="297"/>
      <c r="M412" s="297"/>
      <c r="N412" s="322">
        <f t="shared" si="171"/>
        <v>0</v>
      </c>
      <c r="O412" s="325"/>
      <c r="P412" s="325"/>
      <c r="Q412" s="325"/>
      <c r="R412" s="325"/>
      <c r="S412" s="325"/>
      <c r="T412" s="324"/>
      <c r="U412" s="324"/>
      <c r="V412" s="324"/>
      <c r="W412" s="324"/>
      <c r="X412" s="324"/>
      <c r="Y412" s="324"/>
      <c r="Z412" s="324"/>
      <c r="AA412" s="324"/>
      <c r="AB412" s="324"/>
      <c r="AC412" s="324"/>
      <c r="AD412" s="324"/>
      <c r="AE412" s="324"/>
      <c r="AF412" s="324"/>
      <c r="AG412" s="324"/>
      <c r="AH412" s="324"/>
      <c r="AI412" s="324"/>
      <c r="AJ412" s="324"/>
      <c r="AK412" s="324"/>
      <c r="AL412" s="324"/>
      <c r="AM412" s="324"/>
      <c r="AN412" s="324"/>
      <c r="AO412" s="324"/>
      <c r="AP412" s="324"/>
      <c r="AQ412" s="324"/>
      <c r="AR412" s="324"/>
      <c r="AS412" s="324"/>
      <c r="AT412" s="324"/>
      <c r="AU412" s="324"/>
      <c r="AV412" s="324"/>
      <c r="AW412" s="324"/>
      <c r="AX412" s="324"/>
      <c r="AY412" s="324"/>
      <c r="AZ412" s="324"/>
      <c r="BA412" s="324"/>
      <c r="BB412" s="324"/>
      <c r="BC412" s="324"/>
      <c r="BD412" s="324"/>
      <c r="BE412" s="324"/>
      <c r="BF412" s="324"/>
      <c r="BG412" s="324"/>
      <c r="BH412" s="324"/>
      <c r="BI412" s="324"/>
      <c r="BJ412" s="324"/>
      <c r="BK412" s="324"/>
      <c r="BL412" s="324"/>
      <c r="BM412" s="324"/>
      <c r="BN412" s="324"/>
      <c r="BO412" s="324"/>
      <c r="BP412" s="324"/>
      <c r="BQ412" s="324"/>
      <c r="BR412" s="324"/>
      <c r="BS412" s="324"/>
      <c r="BT412" s="324"/>
      <c r="BU412" s="324"/>
      <c r="BV412" s="324"/>
      <c r="BW412" s="324"/>
      <c r="BX412" s="324"/>
      <c r="BY412" s="324"/>
      <c r="BZ412" s="324"/>
      <c r="CA412" s="324"/>
      <c r="CB412" s="324"/>
      <c r="CC412" s="324"/>
      <c r="CD412" s="324"/>
      <c r="CE412" s="324"/>
      <c r="CF412" s="324"/>
      <c r="CG412" s="324"/>
      <c r="CH412" s="324"/>
      <c r="CI412" s="324"/>
      <c r="CJ412" s="324"/>
      <c r="CK412" s="324"/>
      <c r="CL412" s="324"/>
      <c r="CM412" s="324"/>
      <c r="CN412" s="324"/>
      <c r="CO412" s="324"/>
      <c r="CP412" s="324"/>
      <c r="CQ412" s="324"/>
      <c r="CR412" s="324"/>
      <c r="CS412" s="324"/>
      <c r="CT412" s="324"/>
      <c r="CU412" s="324"/>
      <c r="CV412" s="324"/>
      <c r="CW412" s="324"/>
      <c r="CX412" s="324"/>
      <c r="CY412" s="324"/>
      <c r="CZ412" s="324"/>
      <c r="DA412" s="324"/>
      <c r="DB412" s="324"/>
      <c r="DC412" s="324"/>
      <c r="DD412" s="324"/>
      <c r="DE412" s="324"/>
      <c r="DF412" s="324"/>
      <c r="DG412" s="324"/>
      <c r="DH412" s="324"/>
      <c r="DI412" s="324"/>
      <c r="DJ412" s="324"/>
    </row>
    <row r="413" spans="1:114" ht="15.75" thickBot="1" x14ac:dyDescent="0.3">
      <c r="B413" s="93"/>
      <c r="C413" s="94"/>
      <c r="D413" s="95"/>
      <c r="E413" s="96"/>
      <c r="F413" s="62"/>
      <c r="G413" s="96"/>
      <c r="H413" s="96"/>
      <c r="I413" s="96"/>
      <c r="J413" s="96"/>
      <c r="K413" s="95"/>
      <c r="L413" s="163"/>
      <c r="M413" s="163"/>
      <c r="N413" s="295"/>
      <c r="O413" s="234"/>
      <c r="P413" s="234"/>
      <c r="Q413" s="234"/>
      <c r="R413" s="234"/>
      <c r="S413" s="234"/>
      <c r="T413" s="67"/>
      <c r="U413" s="67"/>
      <c r="V413" s="67"/>
    </row>
    <row r="414" spans="1:114" ht="15.75" thickBot="1" x14ac:dyDescent="0.3">
      <c r="A414" s="407" t="s">
        <v>657</v>
      </c>
      <c r="B414" s="414" t="s">
        <v>0</v>
      </c>
      <c r="C414" s="414" t="s">
        <v>1</v>
      </c>
      <c r="D414" s="415" t="s">
        <v>649</v>
      </c>
      <c r="E414" s="416" t="s">
        <v>19</v>
      </c>
      <c r="F414" s="416"/>
      <c r="G414" s="416"/>
      <c r="H414" s="416"/>
      <c r="I414" s="416"/>
      <c r="J414" s="410" t="s">
        <v>21</v>
      </c>
      <c r="K414" s="412" t="s">
        <v>602</v>
      </c>
      <c r="L414" s="295"/>
      <c r="M414" s="295"/>
      <c r="N414" s="403" t="s">
        <v>601</v>
      </c>
      <c r="O414" s="403" t="s">
        <v>924</v>
      </c>
      <c r="P414" s="403"/>
      <c r="Q414" s="403"/>
      <c r="R414" s="403"/>
      <c r="S414" s="403"/>
      <c r="T414" s="403"/>
      <c r="U414" s="403"/>
      <c r="V414" s="403"/>
      <c r="W414" s="403"/>
      <c r="X414" s="403"/>
      <c r="Y414" s="403"/>
      <c r="Z414" s="403"/>
      <c r="AA414" s="403"/>
      <c r="AB414" s="403"/>
      <c r="AC414" s="403"/>
      <c r="AD414" s="403"/>
      <c r="AE414" s="403"/>
      <c r="AF414" s="403"/>
      <c r="AG414" s="403"/>
      <c r="AH414" s="403"/>
      <c r="AI414" s="403"/>
      <c r="AJ414" s="403"/>
      <c r="AK414" s="403"/>
      <c r="AL414" s="403"/>
      <c r="AM414" s="403"/>
      <c r="AN414" s="403"/>
      <c r="AO414" s="403"/>
      <c r="AP414" s="403"/>
      <c r="AQ414" s="403"/>
      <c r="AR414" s="403"/>
      <c r="AS414" s="403"/>
      <c r="AT414" s="403"/>
      <c r="AU414" s="403"/>
      <c r="AV414" s="403"/>
      <c r="AW414" s="403"/>
      <c r="AX414" s="403"/>
      <c r="AY414" s="403"/>
      <c r="AZ414" s="403"/>
      <c r="BA414" s="403"/>
      <c r="BB414" s="403"/>
      <c r="BC414" s="403"/>
      <c r="BD414" s="403"/>
      <c r="BE414" s="403"/>
      <c r="BF414" s="403"/>
      <c r="BG414" s="403"/>
      <c r="BH414" s="403"/>
      <c r="BI414" s="403"/>
      <c r="BJ414" s="403"/>
      <c r="BK414" s="403"/>
      <c r="BL414" s="403"/>
      <c r="BM414" s="403"/>
      <c r="BN414" s="403"/>
      <c r="BO414" s="403"/>
      <c r="BP414" s="403"/>
      <c r="BQ414" s="403"/>
      <c r="BR414" s="403"/>
      <c r="BS414" s="403"/>
      <c r="BT414" s="403"/>
      <c r="BU414" s="403"/>
      <c r="BV414" s="403"/>
      <c r="BW414" s="403"/>
      <c r="BX414" s="403"/>
      <c r="BY414" s="403"/>
      <c r="BZ414" s="403"/>
      <c r="CA414" s="403"/>
      <c r="CB414" s="403"/>
      <c r="CC414" s="403"/>
      <c r="CD414" s="403"/>
      <c r="CE414" s="403"/>
      <c r="CF414" s="403"/>
      <c r="CG414" s="403"/>
      <c r="CH414" s="403"/>
      <c r="CI414" s="403"/>
      <c r="CJ414" s="403"/>
      <c r="CK414" s="403"/>
      <c r="CL414" s="403"/>
      <c r="CM414" s="403"/>
      <c r="CN414" s="403"/>
      <c r="CO414" s="403"/>
      <c r="CP414" s="403"/>
      <c r="CQ414" s="403"/>
      <c r="CR414" s="403"/>
      <c r="CS414" s="403"/>
      <c r="CT414" s="403"/>
      <c r="CU414" s="403"/>
      <c r="CV414" s="403"/>
      <c r="CW414" s="403"/>
      <c r="CX414" s="403"/>
      <c r="CY414" s="403"/>
      <c r="CZ414" s="403"/>
      <c r="DA414" s="403"/>
      <c r="DB414" s="403"/>
      <c r="DC414" s="403"/>
      <c r="DD414" s="403"/>
      <c r="DE414" s="403"/>
      <c r="DF414" s="403"/>
      <c r="DG414" s="403"/>
      <c r="DH414" s="403"/>
      <c r="DI414" s="403"/>
      <c r="DJ414" s="403"/>
    </row>
    <row r="415" spans="1:114" ht="15.75" thickBot="1" x14ac:dyDescent="0.3">
      <c r="A415" s="408"/>
      <c r="B415" s="414"/>
      <c r="C415" s="414"/>
      <c r="D415" s="415"/>
      <c r="E415" s="68" t="s">
        <v>22</v>
      </c>
      <c r="F415" s="68" t="s">
        <v>600</v>
      </c>
      <c r="G415" s="68" t="s">
        <v>601</v>
      </c>
      <c r="H415" s="68" t="s">
        <v>589</v>
      </c>
      <c r="I415" s="68" t="s">
        <v>601</v>
      </c>
      <c r="J415" s="411"/>
      <c r="K415" s="413"/>
      <c r="L415" s="295"/>
      <c r="M415" s="295"/>
      <c r="N415" s="403"/>
      <c r="O415" s="400" t="s">
        <v>925</v>
      </c>
      <c r="P415" s="400" t="s">
        <v>926</v>
      </c>
      <c r="Q415" s="400"/>
      <c r="R415" s="400"/>
      <c r="S415" s="400"/>
      <c r="T415" s="398"/>
      <c r="U415" s="398"/>
      <c r="V415" s="398"/>
      <c r="W415" s="398"/>
      <c r="X415" s="398"/>
      <c r="Y415" s="398"/>
      <c r="Z415" s="398"/>
      <c r="AA415" s="398"/>
      <c r="AB415" s="398"/>
      <c r="AC415" s="398"/>
      <c r="AD415" s="398"/>
      <c r="AE415" s="398"/>
      <c r="AF415" s="398"/>
      <c r="AG415" s="398"/>
      <c r="AH415" s="398"/>
      <c r="AI415" s="398"/>
      <c r="AJ415" s="398"/>
      <c r="AK415" s="398"/>
      <c r="AL415" s="398"/>
      <c r="AM415" s="398"/>
      <c r="AN415" s="398"/>
      <c r="AO415" s="398"/>
      <c r="AP415" s="398"/>
      <c r="AQ415" s="398"/>
      <c r="AR415" s="398"/>
      <c r="AS415" s="398"/>
      <c r="AT415" s="398"/>
      <c r="AU415" s="398"/>
      <c r="AV415" s="398"/>
      <c r="AW415" s="398"/>
      <c r="AX415" s="398"/>
      <c r="AY415" s="398"/>
      <c r="AZ415" s="398"/>
      <c r="BA415" s="398"/>
      <c r="BB415" s="398"/>
      <c r="BC415" s="398"/>
      <c r="BD415" s="398"/>
      <c r="BE415" s="398"/>
      <c r="BF415" s="398"/>
      <c r="BG415" s="398"/>
      <c r="BH415" s="398"/>
      <c r="BI415" s="398"/>
      <c r="BJ415" s="398"/>
      <c r="BK415" s="398"/>
      <c r="BL415" s="398"/>
      <c r="BM415" s="398"/>
      <c r="BN415" s="398"/>
      <c r="BO415" s="398"/>
      <c r="BP415" s="398"/>
      <c r="BQ415" s="398"/>
      <c r="BR415" s="398"/>
      <c r="BS415" s="398"/>
      <c r="BT415" s="398"/>
      <c r="BU415" s="398"/>
      <c r="BV415" s="398"/>
      <c r="BW415" s="398"/>
      <c r="BX415" s="398"/>
      <c r="BY415" s="398"/>
      <c r="BZ415" s="398"/>
      <c r="CA415" s="398"/>
      <c r="CB415" s="398"/>
      <c r="CC415" s="398"/>
      <c r="CD415" s="398"/>
      <c r="CE415" s="398"/>
      <c r="CF415" s="398"/>
      <c r="CG415" s="398"/>
      <c r="CH415" s="398"/>
      <c r="CI415" s="398"/>
      <c r="CJ415" s="398"/>
      <c r="CK415" s="398"/>
      <c r="CL415" s="398"/>
      <c r="CM415" s="398"/>
      <c r="CN415" s="398"/>
      <c r="CO415" s="398"/>
      <c r="CP415" s="398"/>
      <c r="CQ415" s="398"/>
      <c r="CR415" s="398"/>
      <c r="CS415" s="398"/>
      <c r="CT415" s="398"/>
      <c r="CU415" s="398"/>
      <c r="CV415" s="398"/>
      <c r="CW415" s="398"/>
      <c r="CX415" s="398"/>
      <c r="CY415" s="398"/>
      <c r="CZ415" s="398"/>
      <c r="DA415" s="398"/>
      <c r="DB415" s="398"/>
      <c r="DC415" s="398"/>
      <c r="DD415" s="398"/>
      <c r="DE415" s="398"/>
      <c r="DF415" s="398"/>
      <c r="DG415" s="398"/>
      <c r="DH415" s="398"/>
      <c r="DI415" s="398"/>
      <c r="DJ415" s="398"/>
    </row>
    <row r="416" spans="1:114" ht="15.75" thickBot="1" x14ac:dyDescent="0.3">
      <c r="A416" s="409"/>
      <c r="B416" s="69">
        <v>1</v>
      </c>
      <c r="C416" s="69">
        <v>2</v>
      </c>
      <c r="D416" s="69">
        <v>3</v>
      </c>
      <c r="E416" s="70">
        <v>4</v>
      </c>
      <c r="F416" s="70">
        <f>+E416+1</f>
        <v>5</v>
      </c>
      <c r="G416" s="70" t="s">
        <v>652</v>
      </c>
      <c r="H416" s="70">
        <v>7</v>
      </c>
      <c r="I416" s="71" t="s">
        <v>651</v>
      </c>
      <c r="J416" s="42" t="s">
        <v>650</v>
      </c>
      <c r="K416" s="303" t="s">
        <v>653</v>
      </c>
      <c r="L416" s="296"/>
      <c r="M416" s="296"/>
      <c r="N416" s="403"/>
      <c r="O416" s="402"/>
      <c r="P416" s="402"/>
      <c r="Q416" s="402"/>
      <c r="R416" s="402"/>
      <c r="S416" s="402"/>
      <c r="T416" s="399"/>
      <c r="U416" s="399"/>
      <c r="V416" s="399"/>
      <c r="W416" s="399"/>
      <c r="X416" s="399"/>
      <c r="Y416" s="399"/>
      <c r="Z416" s="399"/>
      <c r="AA416" s="399"/>
      <c r="AB416" s="399"/>
      <c r="AC416" s="399"/>
      <c r="AD416" s="399"/>
      <c r="AE416" s="399"/>
      <c r="AF416" s="399"/>
      <c r="AG416" s="399"/>
      <c r="AH416" s="399"/>
      <c r="AI416" s="399"/>
      <c r="AJ416" s="399"/>
      <c r="AK416" s="399"/>
      <c r="AL416" s="399"/>
      <c r="AM416" s="399"/>
      <c r="AN416" s="399"/>
      <c r="AO416" s="399"/>
      <c r="AP416" s="399"/>
      <c r="AQ416" s="399"/>
      <c r="AR416" s="399"/>
      <c r="AS416" s="399"/>
      <c r="AT416" s="399"/>
      <c r="AU416" s="399"/>
      <c r="AV416" s="399"/>
      <c r="AW416" s="399"/>
      <c r="AX416" s="399"/>
      <c r="AY416" s="399"/>
      <c r="AZ416" s="399"/>
      <c r="BA416" s="399"/>
      <c r="BB416" s="399"/>
      <c r="BC416" s="399"/>
      <c r="BD416" s="399"/>
      <c r="BE416" s="399"/>
      <c r="BF416" s="399"/>
      <c r="BG416" s="399"/>
      <c r="BH416" s="399"/>
      <c r="BI416" s="399"/>
      <c r="BJ416" s="399"/>
      <c r="BK416" s="399"/>
      <c r="BL416" s="399"/>
      <c r="BM416" s="399"/>
      <c r="BN416" s="399"/>
      <c r="BO416" s="399"/>
      <c r="BP416" s="399"/>
      <c r="BQ416" s="399"/>
      <c r="BR416" s="399"/>
      <c r="BS416" s="399"/>
      <c r="BT416" s="399"/>
      <c r="BU416" s="399"/>
      <c r="BV416" s="399"/>
      <c r="BW416" s="399"/>
      <c r="BX416" s="399"/>
      <c r="BY416" s="399"/>
      <c r="BZ416" s="399"/>
      <c r="CA416" s="399"/>
      <c r="CB416" s="399"/>
      <c r="CC416" s="399"/>
      <c r="CD416" s="399"/>
      <c r="CE416" s="399"/>
      <c r="CF416" s="399"/>
      <c r="CG416" s="399"/>
      <c r="CH416" s="399"/>
      <c r="CI416" s="399"/>
      <c r="CJ416" s="399"/>
      <c r="CK416" s="399"/>
      <c r="CL416" s="399"/>
      <c r="CM416" s="399"/>
      <c r="CN416" s="399"/>
      <c r="CO416" s="399"/>
      <c r="CP416" s="399"/>
      <c r="CQ416" s="399"/>
      <c r="CR416" s="399"/>
      <c r="CS416" s="399"/>
      <c r="CT416" s="399"/>
      <c r="CU416" s="399"/>
      <c r="CV416" s="399"/>
      <c r="CW416" s="399"/>
      <c r="CX416" s="399"/>
      <c r="CY416" s="399"/>
      <c r="CZ416" s="399"/>
      <c r="DA416" s="399"/>
      <c r="DB416" s="399"/>
      <c r="DC416" s="399"/>
      <c r="DD416" s="399"/>
      <c r="DE416" s="399"/>
      <c r="DF416" s="399"/>
      <c r="DG416" s="399"/>
      <c r="DH416" s="399"/>
      <c r="DI416" s="399"/>
      <c r="DJ416" s="399"/>
    </row>
    <row r="417" spans="1:114" x14ac:dyDescent="0.25">
      <c r="A417" s="72"/>
      <c r="B417" s="72" t="s">
        <v>685</v>
      </c>
      <c r="C417" s="91"/>
      <c r="D417" s="54"/>
      <c r="E417" s="49"/>
      <c r="F417" s="49"/>
      <c r="G417" s="49"/>
      <c r="H417" s="49"/>
      <c r="I417" s="49"/>
      <c r="J417" s="54"/>
      <c r="K417" s="54"/>
      <c r="L417" s="234"/>
      <c r="M417" s="234"/>
      <c r="N417" s="314">
        <f t="shared" ref="N417:N424" si="174">SUM(O417:DK417)</f>
        <v>0</v>
      </c>
      <c r="O417" s="310"/>
      <c r="P417" s="315"/>
      <c r="Q417" s="315"/>
      <c r="R417" s="315"/>
      <c r="S417" s="315"/>
      <c r="T417" s="55"/>
      <c r="U417" s="55"/>
      <c r="V417" s="55"/>
      <c r="W417" s="55"/>
      <c r="X417" s="55"/>
      <c r="Y417" s="55"/>
      <c r="Z417" s="55"/>
      <c r="AA417" s="55"/>
      <c r="AB417" s="55"/>
      <c r="AC417" s="55"/>
      <c r="AD417" s="55"/>
      <c r="AE417" s="55"/>
      <c r="AF417" s="55"/>
      <c r="AG417" s="55"/>
      <c r="AH417" s="55"/>
      <c r="AI417" s="55"/>
      <c r="AJ417" s="55"/>
      <c r="AK417" s="55"/>
      <c r="AL417" s="55"/>
      <c r="AM417" s="55"/>
      <c r="AN417" s="55"/>
      <c r="AO417" s="55"/>
      <c r="AP417" s="55"/>
      <c r="AQ417" s="55"/>
      <c r="AR417" s="55"/>
      <c r="AS417" s="55"/>
      <c r="AT417" s="55"/>
      <c r="AU417" s="55"/>
      <c r="AV417" s="55"/>
      <c r="AW417" s="55"/>
      <c r="AX417" s="55"/>
      <c r="AY417" s="55"/>
      <c r="AZ417" s="55"/>
      <c r="BA417" s="55"/>
      <c r="BB417" s="55"/>
      <c r="BC417" s="55"/>
      <c r="BD417" s="55"/>
      <c r="BE417" s="55"/>
      <c r="BF417" s="55"/>
      <c r="BG417" s="55"/>
      <c r="BH417" s="55"/>
      <c r="BI417" s="55"/>
      <c r="BJ417" s="55"/>
      <c r="BK417" s="55"/>
      <c r="BL417" s="55"/>
      <c r="BM417" s="55"/>
      <c r="BN417" s="55"/>
      <c r="BO417" s="55"/>
      <c r="BP417" s="55"/>
      <c r="BQ417" s="55"/>
      <c r="BR417" s="55"/>
      <c r="BS417" s="55"/>
      <c r="BT417" s="55"/>
      <c r="BU417" s="55"/>
      <c r="BV417" s="55"/>
      <c r="BW417" s="55"/>
      <c r="BX417" s="55"/>
      <c r="BY417" s="55"/>
      <c r="BZ417" s="55"/>
      <c r="CA417" s="55"/>
      <c r="CB417" s="55"/>
      <c r="CC417" s="55"/>
      <c r="CD417" s="55"/>
      <c r="CE417" s="55"/>
      <c r="CF417" s="55"/>
      <c r="CG417" s="55"/>
      <c r="CH417" s="55"/>
      <c r="CI417" s="55"/>
      <c r="CJ417" s="55"/>
      <c r="CK417" s="55"/>
      <c r="CL417" s="55"/>
      <c r="CM417" s="55"/>
      <c r="CN417" s="55"/>
      <c r="CO417" s="55"/>
      <c r="CP417" s="55"/>
      <c r="CQ417" s="55"/>
      <c r="CR417" s="55"/>
      <c r="CS417" s="55"/>
      <c r="CT417" s="55"/>
      <c r="CU417" s="55"/>
      <c r="CV417" s="55"/>
      <c r="CW417" s="55"/>
      <c r="CX417" s="55"/>
      <c r="CY417" s="55"/>
      <c r="CZ417" s="55"/>
      <c r="DA417" s="55"/>
      <c r="DB417" s="55"/>
      <c r="DC417" s="55"/>
      <c r="DD417" s="55"/>
      <c r="DE417" s="55"/>
      <c r="DF417" s="55"/>
      <c r="DG417" s="55"/>
      <c r="DH417" s="55"/>
      <c r="DI417" s="55"/>
      <c r="DJ417" s="55"/>
    </row>
    <row r="418" spans="1:114" x14ac:dyDescent="0.25">
      <c r="A418" s="127">
        <v>1</v>
      </c>
      <c r="B418" s="60" t="s">
        <v>140</v>
      </c>
      <c r="C418" s="80">
        <v>10000</v>
      </c>
      <c r="D418" s="101">
        <f>4*119.91</f>
        <v>479.64</v>
      </c>
      <c r="E418" s="50">
        <v>200</v>
      </c>
      <c r="F418" s="50"/>
      <c r="G418" s="56">
        <f t="shared" ref="G418:G431" si="175">+E418+F418</f>
        <v>200</v>
      </c>
      <c r="H418" s="139"/>
      <c r="I418" s="56">
        <f t="shared" ref="I418:I430" si="176">+G418-H418</f>
        <v>200</v>
      </c>
      <c r="J418" s="56">
        <f t="shared" ref="J418:J431" si="177">I418*C418</f>
        <v>2000000</v>
      </c>
      <c r="K418" s="57">
        <f t="shared" ref="K418:K431" si="178">+D418*I418</f>
        <v>95928</v>
      </c>
      <c r="L418" s="297"/>
      <c r="M418" s="297"/>
      <c r="N418" s="314">
        <f t="shared" si="174"/>
        <v>0</v>
      </c>
      <c r="O418" s="310"/>
      <c r="P418" s="315"/>
      <c r="Q418" s="315"/>
      <c r="R418" s="315"/>
      <c r="S418" s="315"/>
      <c r="T418" s="55"/>
      <c r="U418" s="55"/>
      <c r="V418" s="55"/>
      <c r="W418" s="55"/>
      <c r="X418" s="55"/>
      <c r="Y418" s="55"/>
      <c r="Z418" s="55"/>
      <c r="AA418" s="55"/>
      <c r="AB418" s="55"/>
      <c r="AC418" s="55"/>
      <c r="AD418" s="55"/>
      <c r="AE418" s="55"/>
      <c r="AF418" s="55"/>
      <c r="AG418" s="55"/>
      <c r="AH418" s="55"/>
      <c r="AI418" s="55"/>
      <c r="AJ418" s="55"/>
      <c r="AK418" s="55"/>
      <c r="AL418" s="55"/>
      <c r="AM418" s="55"/>
      <c r="AN418" s="55"/>
      <c r="AO418" s="55"/>
      <c r="AP418" s="55"/>
      <c r="AQ418" s="55"/>
      <c r="AR418" s="55"/>
      <c r="AS418" s="55"/>
      <c r="AT418" s="55"/>
      <c r="AU418" s="55"/>
      <c r="AV418" s="55"/>
      <c r="AW418" s="55"/>
      <c r="AX418" s="55"/>
      <c r="AY418" s="55"/>
      <c r="AZ418" s="55"/>
      <c r="BA418" s="55"/>
      <c r="BB418" s="55"/>
      <c r="BC418" s="55"/>
      <c r="BD418" s="55"/>
      <c r="BE418" s="55"/>
      <c r="BF418" s="55"/>
      <c r="BG418" s="55"/>
      <c r="BH418" s="55"/>
      <c r="BI418" s="55"/>
      <c r="BJ418" s="55"/>
      <c r="BK418" s="55"/>
      <c r="BL418" s="55"/>
      <c r="BM418" s="55"/>
      <c r="BN418" s="55"/>
      <c r="BO418" s="55"/>
      <c r="BP418" s="55"/>
      <c r="BQ418" s="55"/>
      <c r="BR418" s="55"/>
      <c r="BS418" s="55"/>
      <c r="BT418" s="55"/>
      <c r="BU418" s="55"/>
      <c r="BV418" s="55"/>
      <c r="BW418" s="55"/>
      <c r="BX418" s="55"/>
      <c r="BY418" s="55"/>
      <c r="BZ418" s="55"/>
      <c r="CA418" s="55"/>
      <c r="CB418" s="55"/>
      <c r="CC418" s="55"/>
      <c r="CD418" s="55"/>
      <c r="CE418" s="55"/>
      <c r="CF418" s="55"/>
      <c r="CG418" s="55"/>
      <c r="CH418" s="55"/>
      <c r="CI418" s="55"/>
      <c r="CJ418" s="55"/>
      <c r="CK418" s="55"/>
      <c r="CL418" s="55"/>
      <c r="CM418" s="55"/>
      <c r="CN418" s="55"/>
      <c r="CO418" s="55"/>
      <c r="CP418" s="55"/>
      <c r="CQ418" s="55"/>
      <c r="CR418" s="55"/>
      <c r="CS418" s="55"/>
      <c r="CT418" s="55"/>
      <c r="CU418" s="55"/>
      <c r="CV418" s="55"/>
      <c r="CW418" s="55"/>
      <c r="CX418" s="55"/>
      <c r="CY418" s="55"/>
      <c r="CZ418" s="55"/>
      <c r="DA418" s="55"/>
      <c r="DB418" s="55"/>
      <c r="DC418" s="55"/>
      <c r="DD418" s="55"/>
      <c r="DE418" s="55"/>
      <c r="DF418" s="55"/>
      <c r="DG418" s="55"/>
      <c r="DH418" s="55"/>
      <c r="DI418" s="55"/>
      <c r="DJ418" s="55"/>
    </row>
    <row r="419" spans="1:114" x14ac:dyDescent="0.25">
      <c r="A419" s="127">
        <v>2</v>
      </c>
      <c r="B419" s="60" t="s">
        <v>141</v>
      </c>
      <c r="C419" s="80">
        <v>7500</v>
      </c>
      <c r="D419" s="101">
        <f>114.85*3</f>
        <v>344.54999999999995</v>
      </c>
      <c r="E419" s="50">
        <v>0</v>
      </c>
      <c r="F419" s="50">
        <f>152-152</f>
        <v>0</v>
      </c>
      <c r="G419" s="56">
        <f t="shared" si="175"/>
        <v>0</v>
      </c>
      <c r="H419" s="139">
        <f>152-152+3200-3200</f>
        <v>0</v>
      </c>
      <c r="I419" s="56">
        <f t="shared" si="176"/>
        <v>0</v>
      </c>
      <c r="J419" s="56">
        <f t="shared" si="177"/>
        <v>0</v>
      </c>
      <c r="K419" s="57">
        <f t="shared" si="178"/>
        <v>0</v>
      </c>
      <c r="L419" s="297"/>
      <c r="M419" s="297"/>
      <c r="N419" s="314">
        <f t="shared" si="174"/>
        <v>0</v>
      </c>
      <c r="O419" s="310"/>
      <c r="P419" s="315"/>
      <c r="Q419" s="315"/>
      <c r="R419" s="315"/>
      <c r="S419" s="315"/>
      <c r="T419" s="55"/>
      <c r="U419" s="55"/>
      <c r="V419" s="55"/>
      <c r="W419" s="55"/>
      <c r="X419" s="55"/>
      <c r="Y419" s="55"/>
      <c r="Z419" s="55"/>
      <c r="AA419" s="55"/>
      <c r="AB419" s="55"/>
      <c r="AC419" s="55"/>
      <c r="AD419" s="55"/>
      <c r="AE419" s="55"/>
      <c r="AF419" s="55"/>
      <c r="AG419" s="55"/>
      <c r="AH419" s="55"/>
      <c r="AI419" s="55"/>
      <c r="AJ419" s="55"/>
      <c r="AK419" s="55"/>
      <c r="AL419" s="55"/>
      <c r="AM419" s="55"/>
      <c r="AN419" s="55"/>
      <c r="AO419" s="55"/>
      <c r="AP419" s="55"/>
      <c r="AQ419" s="55"/>
      <c r="AR419" s="55"/>
      <c r="AS419" s="55"/>
      <c r="AT419" s="55"/>
      <c r="AU419" s="55"/>
      <c r="AV419" s="55"/>
      <c r="AW419" s="55"/>
      <c r="AX419" s="55"/>
      <c r="AY419" s="55"/>
      <c r="AZ419" s="55"/>
      <c r="BA419" s="55"/>
      <c r="BB419" s="55"/>
      <c r="BC419" s="55"/>
      <c r="BD419" s="55"/>
      <c r="BE419" s="55"/>
      <c r="BF419" s="55"/>
      <c r="BG419" s="55"/>
      <c r="BH419" s="55"/>
      <c r="BI419" s="55"/>
      <c r="BJ419" s="55"/>
      <c r="BK419" s="55"/>
      <c r="BL419" s="55"/>
      <c r="BM419" s="55"/>
      <c r="BN419" s="55"/>
      <c r="BO419" s="55"/>
      <c r="BP419" s="55"/>
      <c r="BQ419" s="55"/>
      <c r="BR419" s="55"/>
      <c r="BS419" s="55"/>
      <c r="BT419" s="55"/>
      <c r="BU419" s="55"/>
      <c r="BV419" s="55"/>
      <c r="BW419" s="55"/>
      <c r="BX419" s="55"/>
      <c r="BY419" s="55"/>
      <c r="BZ419" s="55"/>
      <c r="CA419" s="55"/>
      <c r="CB419" s="55"/>
      <c r="CC419" s="55"/>
      <c r="CD419" s="55"/>
      <c r="CE419" s="55"/>
      <c r="CF419" s="55"/>
      <c r="CG419" s="55"/>
      <c r="CH419" s="55"/>
      <c r="CI419" s="55"/>
      <c r="CJ419" s="55"/>
      <c r="CK419" s="55"/>
      <c r="CL419" s="55"/>
      <c r="CM419" s="55"/>
      <c r="CN419" s="55"/>
      <c r="CO419" s="55"/>
      <c r="CP419" s="55"/>
      <c r="CQ419" s="55"/>
      <c r="CR419" s="55"/>
      <c r="CS419" s="55"/>
      <c r="CT419" s="55"/>
      <c r="CU419" s="55"/>
      <c r="CV419" s="55"/>
      <c r="CW419" s="55"/>
      <c r="CX419" s="55"/>
      <c r="CY419" s="55"/>
      <c r="CZ419" s="55"/>
      <c r="DA419" s="55"/>
      <c r="DB419" s="55"/>
      <c r="DC419" s="55"/>
      <c r="DD419" s="55"/>
      <c r="DE419" s="55"/>
      <c r="DF419" s="55"/>
      <c r="DG419" s="55"/>
      <c r="DH419" s="55"/>
      <c r="DI419" s="55"/>
      <c r="DJ419" s="55"/>
    </row>
    <row r="420" spans="1:114" x14ac:dyDescent="0.25">
      <c r="A420" s="127">
        <v>3</v>
      </c>
      <c r="B420" s="60" t="s">
        <v>142</v>
      </c>
      <c r="C420" s="80">
        <v>57000</v>
      </c>
      <c r="D420" s="101">
        <f>147.62*11</f>
        <v>1623.8200000000002</v>
      </c>
      <c r="E420" s="50">
        <v>5800</v>
      </c>
      <c r="F420" s="50"/>
      <c r="G420" s="56">
        <f t="shared" si="175"/>
        <v>5800</v>
      </c>
      <c r="H420" s="139"/>
      <c r="I420" s="56">
        <f t="shared" si="176"/>
        <v>5800</v>
      </c>
      <c r="J420" s="56">
        <f t="shared" si="177"/>
        <v>330600000</v>
      </c>
      <c r="K420" s="57">
        <f t="shared" si="178"/>
        <v>9418156.0000000019</v>
      </c>
      <c r="L420" s="297"/>
      <c r="M420" s="297"/>
      <c r="N420" s="314">
        <f t="shared" si="174"/>
        <v>0</v>
      </c>
      <c r="O420" s="310"/>
      <c r="P420" s="315"/>
      <c r="Q420" s="315"/>
      <c r="R420" s="315"/>
      <c r="S420" s="315"/>
      <c r="T420" s="55"/>
      <c r="U420" s="55"/>
      <c r="V420" s="55"/>
      <c r="W420" s="55"/>
      <c r="X420" s="55"/>
      <c r="Y420" s="55"/>
      <c r="Z420" s="55"/>
      <c r="AA420" s="55"/>
      <c r="AB420" s="55"/>
      <c r="AC420" s="55"/>
      <c r="AD420" s="55"/>
      <c r="AE420" s="55"/>
      <c r="AF420" s="55"/>
      <c r="AG420" s="55"/>
      <c r="AH420" s="55"/>
      <c r="AI420" s="55"/>
      <c r="AJ420" s="55"/>
      <c r="AK420" s="55"/>
      <c r="AL420" s="55"/>
      <c r="AM420" s="55"/>
      <c r="AN420" s="55"/>
      <c r="AO420" s="55"/>
      <c r="AP420" s="55"/>
      <c r="AQ420" s="55"/>
      <c r="AR420" s="55"/>
      <c r="AS420" s="55"/>
      <c r="AT420" s="55"/>
      <c r="AU420" s="55"/>
      <c r="AV420" s="55"/>
      <c r="AW420" s="55"/>
      <c r="AX420" s="55"/>
      <c r="AY420" s="55"/>
      <c r="AZ420" s="55"/>
      <c r="BA420" s="55"/>
      <c r="BB420" s="55"/>
      <c r="BC420" s="55"/>
      <c r="BD420" s="55"/>
      <c r="BE420" s="55"/>
      <c r="BF420" s="55"/>
      <c r="BG420" s="55"/>
      <c r="BH420" s="55"/>
      <c r="BI420" s="55"/>
      <c r="BJ420" s="55"/>
      <c r="BK420" s="55"/>
      <c r="BL420" s="55"/>
      <c r="BM420" s="55"/>
      <c r="BN420" s="55"/>
      <c r="BO420" s="55"/>
      <c r="BP420" s="55"/>
      <c r="BQ420" s="55"/>
      <c r="BR420" s="55"/>
      <c r="BS420" s="55"/>
      <c r="BT420" s="55"/>
      <c r="BU420" s="55"/>
      <c r="BV420" s="55"/>
      <c r="BW420" s="55"/>
      <c r="BX420" s="55"/>
      <c r="BY420" s="55"/>
      <c r="BZ420" s="55"/>
      <c r="CA420" s="55"/>
      <c r="CB420" s="55"/>
      <c r="CC420" s="55"/>
      <c r="CD420" s="55"/>
      <c r="CE420" s="55"/>
      <c r="CF420" s="55"/>
      <c r="CG420" s="55"/>
      <c r="CH420" s="55"/>
      <c r="CI420" s="55"/>
      <c r="CJ420" s="55"/>
      <c r="CK420" s="55"/>
      <c r="CL420" s="55"/>
      <c r="CM420" s="55"/>
      <c r="CN420" s="55"/>
      <c r="CO420" s="55"/>
      <c r="CP420" s="55"/>
      <c r="CQ420" s="55"/>
      <c r="CR420" s="55"/>
      <c r="CS420" s="55"/>
      <c r="CT420" s="55"/>
      <c r="CU420" s="55"/>
      <c r="CV420" s="55"/>
      <c r="CW420" s="55"/>
      <c r="CX420" s="55"/>
      <c r="CY420" s="55"/>
      <c r="CZ420" s="55"/>
      <c r="DA420" s="55"/>
      <c r="DB420" s="55"/>
      <c r="DC420" s="55"/>
      <c r="DD420" s="55"/>
      <c r="DE420" s="55"/>
      <c r="DF420" s="55"/>
      <c r="DG420" s="55"/>
      <c r="DH420" s="55"/>
      <c r="DI420" s="55"/>
      <c r="DJ420" s="55"/>
    </row>
    <row r="421" spans="1:114" x14ac:dyDescent="0.25">
      <c r="A421" s="127">
        <v>4</v>
      </c>
      <c r="B421" s="60" t="s">
        <v>143</v>
      </c>
      <c r="C421" s="80">
        <v>23000</v>
      </c>
      <c r="D421" s="101">
        <f>3*245.57</f>
        <v>736.71</v>
      </c>
      <c r="E421" s="50">
        <v>1200</v>
      </c>
      <c r="F421" s="50"/>
      <c r="G421" s="56">
        <f t="shared" si="175"/>
        <v>1200</v>
      </c>
      <c r="H421" s="139"/>
      <c r="I421" s="56">
        <f t="shared" si="176"/>
        <v>1200</v>
      </c>
      <c r="J421" s="56">
        <f t="shared" si="177"/>
        <v>27600000</v>
      </c>
      <c r="K421" s="57">
        <f t="shared" si="178"/>
        <v>884052</v>
      </c>
      <c r="L421" s="297"/>
      <c r="M421" s="297"/>
      <c r="N421" s="314">
        <f t="shared" si="174"/>
        <v>0</v>
      </c>
      <c r="O421" s="310"/>
      <c r="P421" s="315"/>
      <c r="Q421" s="315"/>
      <c r="R421" s="315"/>
      <c r="S421" s="315"/>
      <c r="T421" s="55"/>
      <c r="U421" s="55"/>
      <c r="V421" s="55"/>
      <c r="W421" s="55"/>
      <c r="X421" s="55"/>
      <c r="Y421" s="55"/>
      <c r="Z421" s="55"/>
      <c r="AA421" s="55"/>
      <c r="AB421" s="55"/>
      <c r="AC421" s="55"/>
      <c r="AD421" s="55"/>
      <c r="AE421" s="55"/>
      <c r="AF421" s="55"/>
      <c r="AG421" s="55"/>
      <c r="AH421" s="55"/>
      <c r="AI421" s="55"/>
      <c r="AJ421" s="55"/>
      <c r="AK421" s="55"/>
      <c r="AL421" s="55"/>
      <c r="AM421" s="55"/>
      <c r="AN421" s="55"/>
      <c r="AO421" s="55"/>
      <c r="AP421" s="55"/>
      <c r="AQ421" s="55"/>
      <c r="AR421" s="55"/>
      <c r="AS421" s="55"/>
      <c r="AT421" s="55"/>
      <c r="AU421" s="55"/>
      <c r="AV421" s="55"/>
      <c r="AW421" s="55"/>
      <c r="AX421" s="55"/>
      <c r="AY421" s="55"/>
      <c r="AZ421" s="55"/>
      <c r="BA421" s="55"/>
      <c r="BB421" s="55"/>
      <c r="BC421" s="55"/>
      <c r="BD421" s="55"/>
      <c r="BE421" s="55"/>
      <c r="BF421" s="55"/>
      <c r="BG421" s="55"/>
      <c r="BH421" s="55"/>
      <c r="BI421" s="55"/>
      <c r="BJ421" s="55"/>
      <c r="BK421" s="55"/>
      <c r="BL421" s="55"/>
      <c r="BM421" s="55"/>
      <c r="BN421" s="55"/>
      <c r="BO421" s="55"/>
      <c r="BP421" s="55"/>
      <c r="BQ421" s="55"/>
      <c r="BR421" s="55"/>
      <c r="BS421" s="55"/>
      <c r="BT421" s="55"/>
      <c r="BU421" s="55"/>
      <c r="BV421" s="55"/>
      <c r="BW421" s="55"/>
      <c r="BX421" s="55"/>
      <c r="BY421" s="55"/>
      <c r="BZ421" s="55"/>
      <c r="CA421" s="55"/>
      <c r="CB421" s="55"/>
      <c r="CC421" s="55"/>
      <c r="CD421" s="55"/>
      <c r="CE421" s="55"/>
      <c r="CF421" s="55"/>
      <c r="CG421" s="55"/>
      <c r="CH421" s="55"/>
      <c r="CI421" s="55"/>
      <c r="CJ421" s="55"/>
      <c r="CK421" s="55"/>
      <c r="CL421" s="55"/>
      <c r="CM421" s="55"/>
      <c r="CN421" s="55"/>
      <c r="CO421" s="55"/>
      <c r="CP421" s="55"/>
      <c r="CQ421" s="55"/>
      <c r="CR421" s="55"/>
      <c r="CS421" s="55"/>
      <c r="CT421" s="55"/>
      <c r="CU421" s="55"/>
      <c r="CV421" s="55"/>
      <c r="CW421" s="55"/>
      <c r="CX421" s="55"/>
      <c r="CY421" s="55"/>
      <c r="CZ421" s="55"/>
      <c r="DA421" s="55"/>
      <c r="DB421" s="55"/>
      <c r="DC421" s="55"/>
      <c r="DD421" s="55"/>
      <c r="DE421" s="55"/>
      <c r="DF421" s="55"/>
      <c r="DG421" s="55"/>
      <c r="DH421" s="55"/>
      <c r="DI421" s="55"/>
      <c r="DJ421" s="55"/>
    </row>
    <row r="422" spans="1:114" x14ac:dyDescent="0.25">
      <c r="A422" s="127">
        <v>5</v>
      </c>
      <c r="B422" s="60" t="s">
        <v>144</v>
      </c>
      <c r="C422" s="80">
        <v>9000</v>
      </c>
      <c r="D422" s="101">
        <f>3*120.58</f>
        <v>361.74</v>
      </c>
      <c r="E422" s="50">
        <v>0</v>
      </c>
      <c r="F422" s="50"/>
      <c r="G422" s="56">
        <f t="shared" si="175"/>
        <v>0</v>
      </c>
      <c r="H422" s="139">
        <f>400-400</f>
        <v>0</v>
      </c>
      <c r="I422" s="56">
        <f t="shared" si="176"/>
        <v>0</v>
      </c>
      <c r="J422" s="56">
        <f t="shared" si="177"/>
        <v>0</v>
      </c>
      <c r="K422" s="57">
        <f t="shared" si="178"/>
        <v>0</v>
      </c>
      <c r="L422" s="297"/>
      <c r="M422" s="297"/>
      <c r="N422" s="314">
        <f t="shared" si="174"/>
        <v>0</v>
      </c>
      <c r="O422" s="310"/>
      <c r="P422" s="315"/>
      <c r="Q422" s="315"/>
      <c r="R422" s="315"/>
      <c r="S422" s="315"/>
      <c r="T422" s="55"/>
      <c r="U422" s="55"/>
      <c r="V422" s="55"/>
      <c r="W422" s="55"/>
      <c r="X422" s="55"/>
      <c r="Y422" s="55"/>
      <c r="Z422" s="55"/>
      <c r="AA422" s="55"/>
      <c r="AB422" s="55"/>
      <c r="AC422" s="55"/>
      <c r="AD422" s="55"/>
      <c r="AE422" s="55"/>
      <c r="AF422" s="55"/>
      <c r="AG422" s="55"/>
      <c r="AH422" s="55"/>
      <c r="AI422" s="55"/>
      <c r="AJ422" s="55"/>
      <c r="AK422" s="55"/>
      <c r="AL422" s="55"/>
      <c r="AM422" s="55"/>
      <c r="AN422" s="55"/>
      <c r="AO422" s="55"/>
      <c r="AP422" s="55"/>
      <c r="AQ422" s="55"/>
      <c r="AR422" s="55"/>
      <c r="AS422" s="55"/>
      <c r="AT422" s="55"/>
      <c r="AU422" s="55"/>
      <c r="AV422" s="55"/>
      <c r="AW422" s="55"/>
      <c r="AX422" s="55"/>
      <c r="AY422" s="55"/>
      <c r="AZ422" s="55"/>
      <c r="BA422" s="55"/>
      <c r="BB422" s="55"/>
      <c r="BC422" s="55"/>
      <c r="BD422" s="55"/>
      <c r="BE422" s="55"/>
      <c r="BF422" s="55"/>
      <c r="BG422" s="55"/>
      <c r="BH422" s="55"/>
      <c r="BI422" s="55"/>
      <c r="BJ422" s="55"/>
      <c r="BK422" s="55"/>
      <c r="BL422" s="55"/>
      <c r="BM422" s="55"/>
      <c r="BN422" s="55"/>
      <c r="BO422" s="55"/>
      <c r="BP422" s="55"/>
      <c r="BQ422" s="55"/>
      <c r="BR422" s="55"/>
      <c r="BS422" s="55"/>
      <c r="BT422" s="55"/>
      <c r="BU422" s="55"/>
      <c r="BV422" s="55"/>
      <c r="BW422" s="55"/>
      <c r="BX422" s="55"/>
      <c r="BY422" s="55"/>
      <c r="BZ422" s="55"/>
      <c r="CA422" s="55"/>
      <c r="CB422" s="55"/>
      <c r="CC422" s="55"/>
      <c r="CD422" s="55"/>
      <c r="CE422" s="55"/>
      <c r="CF422" s="55"/>
      <c r="CG422" s="55"/>
      <c r="CH422" s="55"/>
      <c r="CI422" s="55"/>
      <c r="CJ422" s="55"/>
      <c r="CK422" s="55"/>
      <c r="CL422" s="55"/>
      <c r="CM422" s="55"/>
      <c r="CN422" s="55"/>
      <c r="CO422" s="55"/>
      <c r="CP422" s="55"/>
      <c r="CQ422" s="55"/>
      <c r="CR422" s="55"/>
      <c r="CS422" s="55"/>
      <c r="CT422" s="55"/>
      <c r="CU422" s="55"/>
      <c r="CV422" s="55"/>
      <c r="CW422" s="55"/>
      <c r="CX422" s="55"/>
      <c r="CY422" s="55"/>
      <c r="CZ422" s="55"/>
      <c r="DA422" s="55"/>
      <c r="DB422" s="55"/>
      <c r="DC422" s="55"/>
      <c r="DD422" s="55"/>
      <c r="DE422" s="55"/>
      <c r="DF422" s="55"/>
      <c r="DG422" s="55"/>
      <c r="DH422" s="55"/>
      <c r="DI422" s="55"/>
      <c r="DJ422" s="55"/>
    </row>
    <row r="423" spans="1:114" x14ac:dyDescent="0.25">
      <c r="A423" s="127">
        <v>6</v>
      </c>
      <c r="B423" s="60" t="s">
        <v>145</v>
      </c>
      <c r="C423" s="80">
        <v>6000</v>
      </c>
      <c r="D423" s="101">
        <f>156.34*2</f>
        <v>312.68</v>
      </c>
      <c r="E423" s="50">
        <v>0</v>
      </c>
      <c r="F423" s="50"/>
      <c r="G423" s="56">
        <f t="shared" si="175"/>
        <v>0</v>
      </c>
      <c r="H423" s="139">
        <f>1080-1080</f>
        <v>0</v>
      </c>
      <c r="I423" s="56">
        <f t="shared" si="176"/>
        <v>0</v>
      </c>
      <c r="J423" s="56">
        <f t="shared" si="177"/>
        <v>0</v>
      </c>
      <c r="K423" s="57">
        <f t="shared" si="178"/>
        <v>0</v>
      </c>
      <c r="L423" s="297"/>
      <c r="M423" s="297"/>
      <c r="N423" s="314">
        <f t="shared" si="174"/>
        <v>0</v>
      </c>
      <c r="O423" s="310"/>
      <c r="P423" s="315"/>
      <c r="Q423" s="315"/>
      <c r="R423" s="315"/>
      <c r="S423" s="315"/>
      <c r="T423" s="55"/>
      <c r="U423" s="55"/>
      <c r="V423" s="55"/>
      <c r="W423" s="55"/>
      <c r="X423" s="55"/>
      <c r="Y423" s="55"/>
      <c r="Z423" s="55"/>
      <c r="AA423" s="55"/>
      <c r="AB423" s="55"/>
      <c r="AC423" s="55"/>
      <c r="AD423" s="55"/>
      <c r="AE423" s="55"/>
      <c r="AF423" s="55"/>
      <c r="AG423" s="55"/>
      <c r="AH423" s="55"/>
      <c r="AI423" s="55"/>
      <c r="AJ423" s="55"/>
      <c r="AK423" s="55"/>
      <c r="AL423" s="55"/>
      <c r="AM423" s="55"/>
      <c r="AN423" s="55"/>
      <c r="AO423" s="55"/>
      <c r="AP423" s="55"/>
      <c r="AQ423" s="55"/>
      <c r="AR423" s="55"/>
      <c r="AS423" s="55"/>
      <c r="AT423" s="55"/>
      <c r="AU423" s="55"/>
      <c r="AV423" s="55"/>
      <c r="AW423" s="55"/>
      <c r="AX423" s="55"/>
      <c r="AY423" s="55"/>
      <c r="AZ423" s="55"/>
      <c r="BA423" s="55"/>
      <c r="BB423" s="55"/>
      <c r="BC423" s="55"/>
      <c r="BD423" s="55"/>
      <c r="BE423" s="55"/>
      <c r="BF423" s="55"/>
      <c r="BG423" s="55"/>
      <c r="BH423" s="55"/>
      <c r="BI423" s="55"/>
      <c r="BJ423" s="55"/>
      <c r="BK423" s="55"/>
      <c r="BL423" s="55"/>
      <c r="BM423" s="55"/>
      <c r="BN423" s="55"/>
      <c r="BO423" s="55"/>
      <c r="BP423" s="55"/>
      <c r="BQ423" s="55"/>
      <c r="BR423" s="55"/>
      <c r="BS423" s="55"/>
      <c r="BT423" s="55"/>
      <c r="BU423" s="55"/>
      <c r="BV423" s="55"/>
      <c r="BW423" s="55"/>
      <c r="BX423" s="55"/>
      <c r="BY423" s="55"/>
      <c r="BZ423" s="55"/>
      <c r="CA423" s="55"/>
      <c r="CB423" s="55"/>
      <c r="CC423" s="55"/>
      <c r="CD423" s="55"/>
      <c r="CE423" s="55"/>
      <c r="CF423" s="55"/>
      <c r="CG423" s="55"/>
      <c r="CH423" s="55"/>
      <c r="CI423" s="55"/>
      <c r="CJ423" s="55"/>
      <c r="CK423" s="55"/>
      <c r="CL423" s="55"/>
      <c r="CM423" s="55"/>
      <c r="CN423" s="55"/>
      <c r="CO423" s="55"/>
      <c r="CP423" s="55"/>
      <c r="CQ423" s="55"/>
      <c r="CR423" s="55"/>
      <c r="CS423" s="55"/>
      <c r="CT423" s="55"/>
      <c r="CU423" s="55"/>
      <c r="CV423" s="55"/>
      <c r="CW423" s="55"/>
      <c r="CX423" s="55"/>
      <c r="CY423" s="55"/>
      <c r="CZ423" s="55"/>
      <c r="DA423" s="55"/>
      <c r="DB423" s="55"/>
      <c r="DC423" s="55"/>
      <c r="DD423" s="55"/>
      <c r="DE423" s="55"/>
      <c r="DF423" s="55"/>
      <c r="DG423" s="55"/>
      <c r="DH423" s="55"/>
      <c r="DI423" s="55"/>
      <c r="DJ423" s="55"/>
    </row>
    <row r="424" spans="1:114" x14ac:dyDescent="0.25">
      <c r="A424" s="127">
        <v>7</v>
      </c>
      <c r="B424" s="60" t="s">
        <v>553</v>
      </c>
      <c r="C424" s="80">
        <v>20000</v>
      </c>
      <c r="D424" s="101">
        <f>4*227.83</f>
        <v>911.32</v>
      </c>
      <c r="E424" s="50">
        <v>0</v>
      </c>
      <c r="F424" s="50"/>
      <c r="G424" s="56">
        <f t="shared" si="175"/>
        <v>0</v>
      </c>
      <c r="H424" s="139">
        <f>1800+720-2520+720-720</f>
        <v>0</v>
      </c>
      <c r="I424" s="56">
        <f t="shared" si="176"/>
        <v>0</v>
      </c>
      <c r="J424" s="56">
        <f t="shared" si="177"/>
        <v>0</v>
      </c>
      <c r="K424" s="57">
        <f t="shared" si="178"/>
        <v>0</v>
      </c>
      <c r="L424" s="297"/>
      <c r="M424" s="297"/>
      <c r="N424" s="314">
        <f t="shared" si="174"/>
        <v>0</v>
      </c>
      <c r="O424" s="310"/>
      <c r="P424" s="315"/>
      <c r="Q424" s="315"/>
      <c r="R424" s="315"/>
      <c r="S424" s="315"/>
      <c r="T424" s="55"/>
      <c r="U424" s="55"/>
      <c r="V424" s="55"/>
      <c r="W424" s="55"/>
      <c r="X424" s="55"/>
      <c r="Y424" s="55"/>
      <c r="Z424" s="55"/>
      <c r="AA424" s="55"/>
      <c r="AB424" s="55"/>
      <c r="AC424" s="55"/>
      <c r="AD424" s="55"/>
      <c r="AE424" s="55"/>
      <c r="AF424" s="55"/>
      <c r="AG424" s="55"/>
      <c r="AH424" s="55"/>
      <c r="AI424" s="55"/>
      <c r="AJ424" s="55"/>
      <c r="AK424" s="55"/>
      <c r="AL424" s="55"/>
      <c r="AM424" s="55"/>
      <c r="AN424" s="55"/>
      <c r="AO424" s="55"/>
      <c r="AP424" s="55"/>
      <c r="AQ424" s="55"/>
      <c r="AR424" s="55"/>
      <c r="AS424" s="55"/>
      <c r="AT424" s="55"/>
      <c r="AU424" s="55"/>
      <c r="AV424" s="55"/>
      <c r="AW424" s="55"/>
      <c r="AX424" s="55"/>
      <c r="AY424" s="55"/>
      <c r="AZ424" s="55"/>
      <c r="BA424" s="55"/>
      <c r="BB424" s="55"/>
      <c r="BC424" s="55"/>
      <c r="BD424" s="55"/>
      <c r="BE424" s="55"/>
      <c r="BF424" s="55"/>
      <c r="BG424" s="55"/>
      <c r="BH424" s="55"/>
      <c r="BI424" s="55"/>
      <c r="BJ424" s="55"/>
      <c r="BK424" s="55"/>
      <c r="BL424" s="55"/>
      <c r="BM424" s="55"/>
      <c r="BN424" s="55"/>
      <c r="BO424" s="55"/>
      <c r="BP424" s="55"/>
      <c r="BQ424" s="55"/>
      <c r="BR424" s="55"/>
      <c r="BS424" s="55"/>
      <c r="BT424" s="55"/>
      <c r="BU424" s="55"/>
      <c r="BV424" s="55"/>
      <c r="BW424" s="55"/>
      <c r="BX424" s="55"/>
      <c r="BY424" s="55"/>
      <c r="BZ424" s="55"/>
      <c r="CA424" s="55"/>
      <c r="CB424" s="55"/>
      <c r="CC424" s="55"/>
      <c r="CD424" s="55"/>
      <c r="CE424" s="55"/>
      <c r="CF424" s="55"/>
      <c r="CG424" s="55"/>
      <c r="CH424" s="55"/>
      <c r="CI424" s="55"/>
      <c r="CJ424" s="55"/>
      <c r="CK424" s="55"/>
      <c r="CL424" s="55"/>
      <c r="CM424" s="55"/>
      <c r="CN424" s="55"/>
      <c r="CO424" s="55"/>
      <c r="CP424" s="55"/>
      <c r="CQ424" s="55"/>
      <c r="CR424" s="55"/>
      <c r="CS424" s="55"/>
      <c r="CT424" s="55"/>
      <c r="CU424" s="55"/>
      <c r="CV424" s="55"/>
      <c r="CW424" s="55"/>
      <c r="CX424" s="55"/>
      <c r="CY424" s="55"/>
      <c r="CZ424" s="55"/>
      <c r="DA424" s="55"/>
      <c r="DB424" s="55"/>
      <c r="DC424" s="55"/>
      <c r="DD424" s="55"/>
      <c r="DE424" s="55"/>
      <c r="DF424" s="55"/>
      <c r="DG424" s="55"/>
      <c r="DH424" s="55"/>
      <c r="DI424" s="55"/>
      <c r="DJ424" s="55"/>
    </row>
    <row r="425" spans="1:114" x14ac:dyDescent="0.25">
      <c r="A425" s="127">
        <v>8</v>
      </c>
      <c r="B425" s="60" t="s">
        <v>554</v>
      </c>
      <c r="C425" s="80">
        <v>25000</v>
      </c>
      <c r="D425" s="101">
        <f>5*192.02</f>
        <v>960.1</v>
      </c>
      <c r="E425" s="50">
        <v>0</v>
      </c>
      <c r="F425" s="50"/>
      <c r="G425" s="56">
        <f t="shared" si="175"/>
        <v>0</v>
      </c>
      <c r="H425" s="139">
        <f>200+2500-2700+300-300</f>
        <v>0</v>
      </c>
      <c r="I425" s="56">
        <f t="shared" si="176"/>
        <v>0</v>
      </c>
      <c r="J425" s="56">
        <f t="shared" si="177"/>
        <v>0</v>
      </c>
      <c r="K425" s="57">
        <f t="shared" si="178"/>
        <v>0</v>
      </c>
      <c r="L425" s="297"/>
      <c r="M425" s="297"/>
      <c r="N425" s="314">
        <f t="shared" ref="N425:N432" si="179">SUM(O425:DK425)</f>
        <v>0</v>
      </c>
      <c r="O425" s="310"/>
      <c r="P425" s="315"/>
      <c r="Q425" s="315"/>
      <c r="R425" s="315"/>
      <c r="S425" s="315"/>
      <c r="T425" s="55"/>
      <c r="U425" s="55"/>
      <c r="V425" s="55"/>
      <c r="W425" s="55"/>
      <c r="X425" s="55"/>
      <c r="Y425" s="55"/>
      <c r="Z425" s="55"/>
      <c r="AA425" s="55"/>
      <c r="AB425" s="55"/>
      <c r="AC425" s="55"/>
      <c r="AD425" s="55"/>
      <c r="AE425" s="55"/>
      <c r="AF425" s="55"/>
      <c r="AG425" s="55"/>
      <c r="AH425" s="55"/>
      <c r="AI425" s="55"/>
      <c r="AJ425" s="55"/>
      <c r="AK425" s="55"/>
      <c r="AL425" s="55"/>
      <c r="AM425" s="55"/>
      <c r="AN425" s="55"/>
      <c r="AO425" s="55"/>
      <c r="AP425" s="55"/>
      <c r="AQ425" s="55"/>
      <c r="AR425" s="55"/>
      <c r="AS425" s="55"/>
      <c r="AT425" s="55"/>
      <c r="AU425" s="55"/>
      <c r="AV425" s="55"/>
      <c r="AW425" s="55"/>
      <c r="AX425" s="55"/>
      <c r="AY425" s="55"/>
      <c r="AZ425" s="55"/>
      <c r="BA425" s="55"/>
      <c r="BB425" s="55"/>
      <c r="BC425" s="55"/>
      <c r="BD425" s="55"/>
      <c r="BE425" s="55"/>
      <c r="BF425" s="55"/>
      <c r="BG425" s="55"/>
      <c r="BH425" s="55"/>
      <c r="BI425" s="55"/>
      <c r="BJ425" s="55"/>
      <c r="BK425" s="55"/>
      <c r="BL425" s="55"/>
      <c r="BM425" s="55"/>
      <c r="BN425" s="55"/>
      <c r="BO425" s="55"/>
      <c r="BP425" s="55"/>
      <c r="BQ425" s="55"/>
      <c r="BR425" s="55"/>
      <c r="BS425" s="55"/>
      <c r="BT425" s="55"/>
      <c r="BU425" s="55"/>
      <c r="BV425" s="55"/>
      <c r="BW425" s="55"/>
      <c r="BX425" s="55"/>
      <c r="BY425" s="55"/>
      <c r="BZ425" s="55"/>
      <c r="CA425" s="55"/>
      <c r="CB425" s="55"/>
      <c r="CC425" s="55"/>
      <c r="CD425" s="55"/>
      <c r="CE425" s="55"/>
      <c r="CF425" s="55"/>
      <c r="CG425" s="55"/>
      <c r="CH425" s="55"/>
      <c r="CI425" s="55"/>
      <c r="CJ425" s="55"/>
      <c r="CK425" s="55"/>
      <c r="CL425" s="55"/>
      <c r="CM425" s="55"/>
      <c r="CN425" s="55"/>
      <c r="CO425" s="55"/>
      <c r="CP425" s="55"/>
      <c r="CQ425" s="55"/>
      <c r="CR425" s="55"/>
      <c r="CS425" s="55"/>
      <c r="CT425" s="55"/>
      <c r="CU425" s="55"/>
      <c r="CV425" s="55"/>
      <c r="CW425" s="55"/>
      <c r="CX425" s="55"/>
      <c r="CY425" s="55"/>
      <c r="CZ425" s="55"/>
      <c r="DA425" s="55"/>
      <c r="DB425" s="55"/>
      <c r="DC425" s="55"/>
      <c r="DD425" s="55"/>
      <c r="DE425" s="55"/>
      <c r="DF425" s="55"/>
      <c r="DG425" s="55"/>
      <c r="DH425" s="55"/>
      <c r="DI425" s="55"/>
      <c r="DJ425" s="55"/>
    </row>
    <row r="426" spans="1:114" x14ac:dyDescent="0.25">
      <c r="A426" s="127">
        <v>9</v>
      </c>
      <c r="B426" s="60" t="s">
        <v>555</v>
      </c>
      <c r="C426" s="80">
        <v>12000</v>
      </c>
      <c r="D426" s="101">
        <f>4*69.28</f>
        <v>277.12</v>
      </c>
      <c r="E426" s="50">
        <v>0</v>
      </c>
      <c r="F426" s="50"/>
      <c r="G426" s="56">
        <f t="shared" si="175"/>
        <v>0</v>
      </c>
      <c r="H426" s="288">
        <f>3500-3500</f>
        <v>0</v>
      </c>
      <c r="I426" s="56">
        <f t="shared" si="176"/>
        <v>0</v>
      </c>
      <c r="J426" s="56">
        <f t="shared" si="177"/>
        <v>0</v>
      </c>
      <c r="K426" s="57">
        <f t="shared" si="178"/>
        <v>0</v>
      </c>
      <c r="L426" s="297"/>
      <c r="M426" s="297"/>
      <c r="N426" s="314">
        <f t="shared" si="179"/>
        <v>0</v>
      </c>
      <c r="O426" s="310"/>
      <c r="P426" s="315"/>
      <c r="Q426" s="315"/>
      <c r="R426" s="315"/>
      <c r="S426" s="315"/>
      <c r="T426" s="55"/>
      <c r="U426" s="55"/>
      <c r="V426" s="55"/>
      <c r="W426" s="55"/>
      <c r="X426" s="55"/>
      <c r="Y426" s="55"/>
      <c r="Z426" s="55"/>
      <c r="AA426" s="55"/>
      <c r="AB426" s="55"/>
      <c r="AC426" s="55"/>
      <c r="AD426" s="55"/>
      <c r="AE426" s="55"/>
      <c r="AF426" s="55"/>
      <c r="AG426" s="55"/>
      <c r="AH426" s="55"/>
      <c r="AI426" s="55"/>
      <c r="AJ426" s="55"/>
      <c r="AK426" s="55"/>
      <c r="AL426" s="55"/>
      <c r="AM426" s="55"/>
      <c r="AN426" s="55"/>
      <c r="AO426" s="55"/>
      <c r="AP426" s="55"/>
      <c r="AQ426" s="55"/>
      <c r="AR426" s="55"/>
      <c r="AS426" s="55"/>
      <c r="AT426" s="55"/>
      <c r="AU426" s="55"/>
      <c r="AV426" s="55"/>
      <c r="AW426" s="55"/>
      <c r="AX426" s="55"/>
      <c r="AY426" s="55"/>
      <c r="AZ426" s="55"/>
      <c r="BA426" s="55"/>
      <c r="BB426" s="55"/>
      <c r="BC426" s="55"/>
      <c r="BD426" s="55"/>
      <c r="BE426" s="55"/>
      <c r="BF426" s="55"/>
      <c r="BG426" s="55"/>
      <c r="BH426" s="55"/>
      <c r="BI426" s="55"/>
      <c r="BJ426" s="55"/>
      <c r="BK426" s="55"/>
      <c r="BL426" s="55"/>
      <c r="BM426" s="55"/>
      <c r="BN426" s="55"/>
      <c r="BO426" s="55"/>
      <c r="BP426" s="55"/>
      <c r="BQ426" s="55"/>
      <c r="BR426" s="55"/>
      <c r="BS426" s="55"/>
      <c r="BT426" s="55"/>
      <c r="BU426" s="55"/>
      <c r="BV426" s="55"/>
      <c r="BW426" s="55"/>
      <c r="BX426" s="55"/>
      <c r="BY426" s="55"/>
      <c r="BZ426" s="55"/>
      <c r="CA426" s="55"/>
      <c r="CB426" s="55"/>
      <c r="CC426" s="55"/>
      <c r="CD426" s="55"/>
      <c r="CE426" s="55"/>
      <c r="CF426" s="55"/>
      <c r="CG426" s="55"/>
      <c r="CH426" s="55"/>
      <c r="CI426" s="55"/>
      <c r="CJ426" s="55"/>
      <c r="CK426" s="55"/>
      <c r="CL426" s="55"/>
      <c r="CM426" s="55"/>
      <c r="CN426" s="55"/>
      <c r="CO426" s="55"/>
      <c r="CP426" s="55"/>
      <c r="CQ426" s="55"/>
      <c r="CR426" s="55"/>
      <c r="CS426" s="55"/>
      <c r="CT426" s="55"/>
      <c r="CU426" s="55"/>
      <c r="CV426" s="55"/>
      <c r="CW426" s="55"/>
      <c r="CX426" s="55"/>
      <c r="CY426" s="55"/>
      <c r="CZ426" s="55"/>
      <c r="DA426" s="55"/>
      <c r="DB426" s="55"/>
      <c r="DC426" s="55"/>
      <c r="DD426" s="55"/>
      <c r="DE426" s="55"/>
      <c r="DF426" s="55"/>
      <c r="DG426" s="55"/>
      <c r="DH426" s="55"/>
      <c r="DI426" s="55"/>
      <c r="DJ426" s="55"/>
    </row>
    <row r="427" spans="1:114" x14ac:dyDescent="0.25">
      <c r="A427" s="127">
        <v>10</v>
      </c>
      <c r="B427" s="60" t="s">
        <v>568</v>
      </c>
      <c r="C427" s="43">
        <v>6000</v>
      </c>
      <c r="D427" s="60">
        <f>184.93*2</f>
        <v>369.86</v>
      </c>
      <c r="E427" s="50">
        <v>0</v>
      </c>
      <c r="F427" s="50"/>
      <c r="G427" s="56">
        <f t="shared" si="175"/>
        <v>0</v>
      </c>
      <c r="H427" s="139">
        <f>1500-1500</f>
        <v>0</v>
      </c>
      <c r="I427" s="56">
        <f t="shared" si="176"/>
        <v>0</v>
      </c>
      <c r="J427" s="56">
        <f t="shared" si="177"/>
        <v>0</v>
      </c>
      <c r="K427" s="57">
        <f t="shared" si="178"/>
        <v>0</v>
      </c>
      <c r="L427" s="297"/>
      <c r="M427" s="297"/>
      <c r="N427" s="314">
        <f t="shared" si="179"/>
        <v>0</v>
      </c>
      <c r="O427" s="310"/>
      <c r="P427" s="315"/>
      <c r="Q427" s="315"/>
      <c r="R427" s="315"/>
      <c r="S427" s="315"/>
      <c r="T427" s="55"/>
      <c r="U427" s="55"/>
      <c r="V427" s="55"/>
      <c r="W427" s="55"/>
      <c r="X427" s="55"/>
      <c r="Y427" s="55"/>
      <c r="Z427" s="55"/>
      <c r="AA427" s="55"/>
      <c r="AB427" s="55"/>
      <c r="AC427" s="55"/>
      <c r="AD427" s="55"/>
      <c r="AE427" s="55"/>
      <c r="AF427" s="55"/>
      <c r="AG427" s="55"/>
      <c r="AH427" s="55"/>
      <c r="AI427" s="55"/>
      <c r="AJ427" s="55"/>
      <c r="AK427" s="55"/>
      <c r="AL427" s="55"/>
      <c r="AM427" s="55"/>
      <c r="AN427" s="55"/>
      <c r="AO427" s="55"/>
      <c r="AP427" s="55"/>
      <c r="AQ427" s="55"/>
      <c r="AR427" s="55"/>
      <c r="AS427" s="55"/>
      <c r="AT427" s="55"/>
      <c r="AU427" s="55"/>
      <c r="AV427" s="55"/>
      <c r="AW427" s="55"/>
      <c r="AX427" s="55"/>
      <c r="AY427" s="55"/>
      <c r="AZ427" s="55"/>
      <c r="BA427" s="55"/>
      <c r="BB427" s="55"/>
      <c r="BC427" s="55"/>
      <c r="BD427" s="55"/>
      <c r="BE427" s="55"/>
      <c r="BF427" s="55"/>
      <c r="BG427" s="55"/>
      <c r="BH427" s="55"/>
      <c r="BI427" s="55"/>
      <c r="BJ427" s="55"/>
      <c r="BK427" s="55"/>
      <c r="BL427" s="55"/>
      <c r="BM427" s="55"/>
      <c r="BN427" s="55"/>
      <c r="BO427" s="55"/>
      <c r="BP427" s="55"/>
      <c r="BQ427" s="55"/>
      <c r="BR427" s="55"/>
      <c r="BS427" s="55"/>
      <c r="BT427" s="55"/>
      <c r="BU427" s="55"/>
      <c r="BV427" s="55"/>
      <c r="BW427" s="55"/>
      <c r="BX427" s="55"/>
      <c r="BY427" s="55"/>
      <c r="BZ427" s="55"/>
      <c r="CA427" s="55"/>
      <c r="CB427" s="55"/>
      <c r="CC427" s="55"/>
      <c r="CD427" s="55"/>
      <c r="CE427" s="55"/>
      <c r="CF427" s="55"/>
      <c r="CG427" s="55"/>
      <c r="CH427" s="55"/>
      <c r="CI427" s="55"/>
      <c r="CJ427" s="55"/>
      <c r="CK427" s="55"/>
      <c r="CL427" s="55"/>
      <c r="CM427" s="55"/>
      <c r="CN427" s="55"/>
      <c r="CO427" s="55"/>
      <c r="CP427" s="55"/>
      <c r="CQ427" s="55"/>
      <c r="CR427" s="55"/>
      <c r="CS427" s="55"/>
      <c r="CT427" s="55"/>
      <c r="CU427" s="55"/>
      <c r="CV427" s="55"/>
      <c r="CW427" s="55"/>
      <c r="CX427" s="55"/>
      <c r="CY427" s="55"/>
      <c r="CZ427" s="55"/>
      <c r="DA427" s="55"/>
      <c r="DB427" s="55"/>
      <c r="DC427" s="55"/>
      <c r="DD427" s="55"/>
      <c r="DE427" s="55"/>
      <c r="DF427" s="55"/>
      <c r="DG427" s="55"/>
      <c r="DH427" s="55"/>
      <c r="DI427" s="55"/>
      <c r="DJ427" s="55"/>
    </row>
    <row r="428" spans="1:114" x14ac:dyDescent="0.25">
      <c r="A428" s="127">
        <v>11</v>
      </c>
      <c r="B428" s="60" t="s">
        <v>569</v>
      </c>
      <c r="C428" s="43">
        <v>9000</v>
      </c>
      <c r="D428" s="60">
        <f>275.74*3</f>
        <v>827.22</v>
      </c>
      <c r="E428" s="50">
        <v>0</v>
      </c>
      <c r="F428" s="50"/>
      <c r="G428" s="56">
        <f t="shared" si="175"/>
        <v>0</v>
      </c>
      <c r="H428" s="288">
        <f>6000-6000</f>
        <v>0</v>
      </c>
      <c r="I428" s="56">
        <f t="shared" si="176"/>
        <v>0</v>
      </c>
      <c r="J428" s="56">
        <f t="shared" si="177"/>
        <v>0</v>
      </c>
      <c r="K428" s="57">
        <f t="shared" si="178"/>
        <v>0</v>
      </c>
      <c r="L428" s="297"/>
      <c r="M428" s="297"/>
      <c r="N428" s="314">
        <f t="shared" si="179"/>
        <v>0</v>
      </c>
      <c r="O428" s="310"/>
      <c r="P428" s="315"/>
      <c r="Q428" s="315"/>
      <c r="R428" s="315"/>
      <c r="S428" s="315"/>
      <c r="T428" s="55"/>
      <c r="U428" s="55"/>
      <c r="V428" s="55"/>
      <c r="W428" s="55"/>
      <c r="X428" s="55"/>
      <c r="Y428" s="55"/>
      <c r="Z428" s="55"/>
      <c r="AA428" s="55"/>
      <c r="AB428" s="55"/>
      <c r="AC428" s="55"/>
      <c r="AD428" s="55"/>
      <c r="AE428" s="55"/>
      <c r="AF428" s="55"/>
      <c r="AG428" s="55"/>
      <c r="AH428" s="55"/>
      <c r="AI428" s="55"/>
      <c r="AJ428" s="55"/>
      <c r="AK428" s="55"/>
      <c r="AL428" s="55"/>
      <c r="AM428" s="55"/>
      <c r="AN428" s="55"/>
      <c r="AO428" s="55"/>
      <c r="AP428" s="55"/>
      <c r="AQ428" s="55"/>
      <c r="AR428" s="55"/>
      <c r="AS428" s="55"/>
      <c r="AT428" s="55"/>
      <c r="AU428" s="55"/>
      <c r="AV428" s="55"/>
      <c r="AW428" s="55"/>
      <c r="AX428" s="55"/>
      <c r="AY428" s="55"/>
      <c r="AZ428" s="55"/>
      <c r="BA428" s="55"/>
      <c r="BB428" s="55"/>
      <c r="BC428" s="55"/>
      <c r="BD428" s="55"/>
      <c r="BE428" s="55"/>
      <c r="BF428" s="55"/>
      <c r="BG428" s="55"/>
      <c r="BH428" s="55"/>
      <c r="BI428" s="55"/>
      <c r="BJ428" s="55"/>
      <c r="BK428" s="55"/>
      <c r="BL428" s="55"/>
      <c r="BM428" s="55"/>
      <c r="BN428" s="55"/>
      <c r="BO428" s="55"/>
      <c r="BP428" s="55"/>
      <c r="BQ428" s="55"/>
      <c r="BR428" s="55"/>
      <c r="BS428" s="55"/>
      <c r="BT428" s="55"/>
      <c r="BU428" s="55"/>
      <c r="BV428" s="55"/>
      <c r="BW428" s="55"/>
      <c r="BX428" s="55"/>
      <c r="BY428" s="55"/>
      <c r="BZ428" s="55"/>
      <c r="CA428" s="55"/>
      <c r="CB428" s="55"/>
      <c r="CC428" s="55"/>
      <c r="CD428" s="55"/>
      <c r="CE428" s="55"/>
      <c r="CF428" s="55"/>
      <c r="CG428" s="55"/>
      <c r="CH428" s="55"/>
      <c r="CI428" s="55"/>
      <c r="CJ428" s="55"/>
      <c r="CK428" s="55"/>
      <c r="CL428" s="55"/>
      <c r="CM428" s="55"/>
      <c r="CN428" s="55"/>
      <c r="CO428" s="55"/>
      <c r="CP428" s="55"/>
      <c r="CQ428" s="55"/>
      <c r="CR428" s="55"/>
      <c r="CS428" s="55"/>
      <c r="CT428" s="55"/>
      <c r="CU428" s="55"/>
      <c r="CV428" s="55"/>
      <c r="CW428" s="55"/>
      <c r="CX428" s="55"/>
      <c r="CY428" s="55"/>
      <c r="CZ428" s="55"/>
      <c r="DA428" s="55"/>
      <c r="DB428" s="55"/>
      <c r="DC428" s="55"/>
      <c r="DD428" s="55"/>
      <c r="DE428" s="55"/>
      <c r="DF428" s="55"/>
      <c r="DG428" s="55"/>
      <c r="DH428" s="55"/>
      <c r="DI428" s="55"/>
      <c r="DJ428" s="55"/>
    </row>
    <row r="429" spans="1:114" x14ac:dyDescent="0.25">
      <c r="A429" s="127">
        <v>12</v>
      </c>
      <c r="B429" s="60" t="s">
        <v>570</v>
      </c>
      <c r="C429" s="43">
        <v>6000</v>
      </c>
      <c r="D429" s="60">
        <f>99.13*2</f>
        <v>198.26</v>
      </c>
      <c r="E429" s="50">
        <v>0</v>
      </c>
      <c r="F429" s="50"/>
      <c r="G429" s="56">
        <f t="shared" si="175"/>
        <v>0</v>
      </c>
      <c r="H429" s="139">
        <f>600-600</f>
        <v>0</v>
      </c>
      <c r="I429" s="56">
        <f t="shared" si="176"/>
        <v>0</v>
      </c>
      <c r="J429" s="56">
        <f t="shared" si="177"/>
        <v>0</v>
      </c>
      <c r="K429" s="57">
        <f t="shared" si="178"/>
        <v>0</v>
      </c>
      <c r="L429" s="297"/>
      <c r="M429" s="297"/>
      <c r="N429" s="314">
        <f t="shared" si="179"/>
        <v>0</v>
      </c>
      <c r="O429" s="310"/>
      <c r="P429" s="315"/>
      <c r="Q429" s="315"/>
      <c r="R429" s="315"/>
      <c r="S429" s="315"/>
      <c r="T429" s="55"/>
      <c r="U429" s="55"/>
      <c r="V429" s="55"/>
      <c r="W429" s="55"/>
      <c r="X429" s="55"/>
      <c r="Y429" s="55"/>
      <c r="Z429" s="55"/>
      <c r="AA429" s="55"/>
      <c r="AB429" s="55"/>
      <c r="AC429" s="55"/>
      <c r="AD429" s="55"/>
      <c r="AE429" s="55"/>
      <c r="AF429" s="55"/>
      <c r="AG429" s="55"/>
      <c r="AH429" s="55"/>
      <c r="AI429" s="55"/>
      <c r="AJ429" s="55"/>
      <c r="AK429" s="55"/>
      <c r="AL429" s="55"/>
      <c r="AM429" s="55"/>
      <c r="AN429" s="55"/>
      <c r="AO429" s="55"/>
      <c r="AP429" s="55"/>
      <c r="AQ429" s="55"/>
      <c r="AR429" s="55"/>
      <c r="AS429" s="55"/>
      <c r="AT429" s="55"/>
      <c r="AU429" s="55"/>
      <c r="AV429" s="55"/>
      <c r="AW429" s="55"/>
      <c r="AX429" s="55"/>
      <c r="AY429" s="55"/>
      <c r="AZ429" s="55"/>
      <c r="BA429" s="55"/>
      <c r="BB429" s="55"/>
      <c r="BC429" s="55"/>
      <c r="BD429" s="55"/>
      <c r="BE429" s="55"/>
      <c r="BF429" s="55"/>
      <c r="BG429" s="55"/>
      <c r="BH429" s="55"/>
      <c r="BI429" s="55"/>
      <c r="BJ429" s="55"/>
      <c r="BK429" s="55"/>
      <c r="BL429" s="55"/>
      <c r="BM429" s="55"/>
      <c r="BN429" s="55"/>
      <c r="BO429" s="55"/>
      <c r="BP429" s="55"/>
      <c r="BQ429" s="55"/>
      <c r="BR429" s="55"/>
      <c r="BS429" s="55"/>
      <c r="BT429" s="55"/>
      <c r="BU429" s="55"/>
      <c r="BV429" s="55"/>
      <c r="BW429" s="55"/>
      <c r="BX429" s="55"/>
      <c r="BY429" s="55"/>
      <c r="BZ429" s="55"/>
      <c r="CA429" s="55"/>
      <c r="CB429" s="55"/>
      <c r="CC429" s="55"/>
      <c r="CD429" s="55"/>
      <c r="CE429" s="55"/>
      <c r="CF429" s="55"/>
      <c r="CG429" s="55"/>
      <c r="CH429" s="55"/>
      <c r="CI429" s="55"/>
      <c r="CJ429" s="55"/>
      <c r="CK429" s="55"/>
      <c r="CL429" s="55"/>
      <c r="CM429" s="55"/>
      <c r="CN429" s="55"/>
      <c r="CO429" s="55"/>
      <c r="CP429" s="55"/>
      <c r="CQ429" s="55"/>
      <c r="CR429" s="55"/>
      <c r="CS429" s="55"/>
      <c r="CT429" s="55"/>
      <c r="CU429" s="55"/>
      <c r="CV429" s="55"/>
      <c r="CW429" s="55"/>
      <c r="CX429" s="55"/>
      <c r="CY429" s="55"/>
      <c r="CZ429" s="55"/>
      <c r="DA429" s="55"/>
      <c r="DB429" s="55"/>
      <c r="DC429" s="55"/>
      <c r="DD429" s="55"/>
      <c r="DE429" s="55"/>
      <c r="DF429" s="55"/>
      <c r="DG429" s="55"/>
      <c r="DH429" s="55"/>
      <c r="DI429" s="55"/>
      <c r="DJ429" s="55"/>
    </row>
    <row r="430" spans="1:114" x14ac:dyDescent="0.25">
      <c r="A430" s="127">
        <v>13</v>
      </c>
      <c r="B430" s="60" t="s">
        <v>571</v>
      </c>
      <c r="C430" s="43">
        <v>6000</v>
      </c>
      <c r="D430" s="60">
        <f>142*2</f>
        <v>284</v>
      </c>
      <c r="E430" s="50">
        <v>0</v>
      </c>
      <c r="F430" s="50"/>
      <c r="G430" s="56">
        <f t="shared" si="175"/>
        <v>0</v>
      </c>
      <c r="H430" s="139">
        <f>1000-1000</f>
        <v>0</v>
      </c>
      <c r="I430" s="56">
        <f t="shared" si="176"/>
        <v>0</v>
      </c>
      <c r="J430" s="56">
        <f t="shared" si="177"/>
        <v>0</v>
      </c>
      <c r="K430" s="57">
        <f t="shared" si="178"/>
        <v>0</v>
      </c>
      <c r="L430" s="297"/>
      <c r="M430" s="297"/>
      <c r="N430" s="314">
        <f t="shared" si="179"/>
        <v>0</v>
      </c>
      <c r="O430" s="310"/>
      <c r="P430" s="315"/>
      <c r="Q430" s="315"/>
      <c r="R430" s="315"/>
      <c r="S430" s="315"/>
      <c r="T430" s="55"/>
      <c r="U430" s="55"/>
      <c r="V430" s="55"/>
      <c r="W430" s="55"/>
      <c r="X430" s="55"/>
      <c r="Y430" s="55"/>
      <c r="Z430" s="55"/>
      <c r="AA430" s="55"/>
      <c r="AB430" s="55"/>
      <c r="AC430" s="55"/>
      <c r="AD430" s="55"/>
      <c r="AE430" s="55"/>
      <c r="AF430" s="55"/>
      <c r="AG430" s="55"/>
      <c r="AH430" s="55"/>
      <c r="AI430" s="55"/>
      <c r="AJ430" s="55"/>
      <c r="AK430" s="55"/>
      <c r="AL430" s="55"/>
      <c r="AM430" s="55"/>
      <c r="AN430" s="55"/>
      <c r="AO430" s="55"/>
      <c r="AP430" s="55"/>
      <c r="AQ430" s="55"/>
      <c r="AR430" s="55"/>
      <c r="AS430" s="55"/>
      <c r="AT430" s="55"/>
      <c r="AU430" s="55"/>
      <c r="AV430" s="55"/>
      <c r="AW430" s="55"/>
      <c r="AX430" s="55"/>
      <c r="AY430" s="55"/>
      <c r="AZ430" s="55"/>
      <c r="BA430" s="55"/>
      <c r="BB430" s="55"/>
      <c r="BC430" s="55"/>
      <c r="BD430" s="55"/>
      <c r="BE430" s="55"/>
      <c r="BF430" s="55"/>
      <c r="BG430" s="55"/>
      <c r="BH430" s="55"/>
      <c r="BI430" s="55"/>
      <c r="BJ430" s="55"/>
      <c r="BK430" s="55"/>
      <c r="BL430" s="55"/>
      <c r="BM430" s="55"/>
      <c r="BN430" s="55"/>
      <c r="BO430" s="55"/>
      <c r="BP430" s="55"/>
      <c r="BQ430" s="55"/>
      <c r="BR430" s="55"/>
      <c r="BS430" s="55"/>
      <c r="BT430" s="55"/>
      <c r="BU430" s="55"/>
      <c r="BV430" s="55"/>
      <c r="BW430" s="55"/>
      <c r="BX430" s="55"/>
      <c r="BY430" s="55"/>
      <c r="BZ430" s="55"/>
      <c r="CA430" s="55"/>
      <c r="CB430" s="55"/>
      <c r="CC430" s="55"/>
      <c r="CD430" s="55"/>
      <c r="CE430" s="55"/>
      <c r="CF430" s="55"/>
      <c r="CG430" s="55"/>
      <c r="CH430" s="55"/>
      <c r="CI430" s="55"/>
      <c r="CJ430" s="55"/>
      <c r="CK430" s="55"/>
      <c r="CL430" s="55"/>
      <c r="CM430" s="55"/>
      <c r="CN430" s="55"/>
      <c r="CO430" s="55"/>
      <c r="CP430" s="55"/>
      <c r="CQ430" s="55"/>
      <c r="CR430" s="55"/>
      <c r="CS430" s="55"/>
      <c r="CT430" s="55"/>
      <c r="CU430" s="55"/>
      <c r="CV430" s="55"/>
      <c r="CW430" s="55"/>
      <c r="CX430" s="55"/>
      <c r="CY430" s="55"/>
      <c r="CZ430" s="55"/>
      <c r="DA430" s="55"/>
      <c r="DB430" s="55"/>
      <c r="DC430" s="55"/>
      <c r="DD430" s="55"/>
      <c r="DE430" s="55"/>
      <c r="DF430" s="55"/>
      <c r="DG430" s="55"/>
      <c r="DH430" s="55"/>
      <c r="DI430" s="55"/>
      <c r="DJ430" s="55"/>
    </row>
    <row r="431" spans="1:114" ht="15.75" thickBot="1" x14ac:dyDescent="0.3">
      <c r="A431" s="127">
        <v>14</v>
      </c>
      <c r="B431" s="121" t="s">
        <v>572</v>
      </c>
      <c r="C431" s="122">
        <v>10000</v>
      </c>
      <c r="D431" s="60">
        <f>99.13*2</f>
        <v>198.26</v>
      </c>
      <c r="E431" s="126">
        <v>0</v>
      </c>
      <c r="F431" s="126"/>
      <c r="G431" s="109">
        <f t="shared" si="175"/>
        <v>0</v>
      </c>
      <c r="H431" s="169">
        <f>7500-7500</f>
        <v>0</v>
      </c>
      <c r="I431" s="109">
        <f>+G431-H431</f>
        <v>0</v>
      </c>
      <c r="J431" s="109">
        <f t="shared" si="177"/>
        <v>0</v>
      </c>
      <c r="K431" s="110">
        <f t="shared" si="178"/>
        <v>0</v>
      </c>
      <c r="L431" s="297"/>
      <c r="M431" s="297"/>
      <c r="N431" s="321">
        <f t="shared" si="179"/>
        <v>0</v>
      </c>
      <c r="O431" s="312"/>
      <c r="P431" s="318"/>
      <c r="Q431" s="318"/>
      <c r="R431" s="318"/>
      <c r="S431" s="318"/>
      <c r="T431" s="108"/>
      <c r="U431" s="108"/>
      <c r="V431" s="108"/>
      <c r="W431" s="108"/>
      <c r="X431" s="108"/>
      <c r="Y431" s="108"/>
      <c r="Z431" s="108"/>
      <c r="AA431" s="108"/>
      <c r="AB431" s="108"/>
      <c r="AC431" s="108"/>
      <c r="AD431" s="108"/>
      <c r="AE431" s="108"/>
      <c r="AF431" s="108"/>
      <c r="AG431" s="108"/>
      <c r="AH431" s="108"/>
      <c r="AI431" s="108"/>
      <c r="AJ431" s="108"/>
      <c r="AK431" s="108"/>
      <c r="AL431" s="108"/>
      <c r="AM431" s="108"/>
      <c r="AN431" s="108"/>
      <c r="AO431" s="108"/>
      <c r="AP431" s="108"/>
      <c r="AQ431" s="108"/>
      <c r="AR431" s="108"/>
      <c r="AS431" s="108"/>
      <c r="AT431" s="108"/>
      <c r="AU431" s="108"/>
      <c r="AV431" s="108"/>
      <c r="AW431" s="108"/>
      <c r="AX431" s="108"/>
      <c r="AY431" s="108"/>
      <c r="AZ431" s="108"/>
      <c r="BA431" s="108"/>
      <c r="BB431" s="108"/>
      <c r="BC431" s="108"/>
      <c r="BD431" s="108"/>
      <c r="BE431" s="108"/>
      <c r="BF431" s="108"/>
      <c r="BG431" s="108"/>
      <c r="BH431" s="108"/>
      <c r="BI431" s="108"/>
      <c r="BJ431" s="108"/>
      <c r="BK431" s="108"/>
      <c r="BL431" s="108"/>
      <c r="BM431" s="108"/>
      <c r="BN431" s="108"/>
      <c r="BO431" s="108"/>
      <c r="BP431" s="108"/>
      <c r="BQ431" s="108"/>
      <c r="BR431" s="108"/>
      <c r="BS431" s="108"/>
      <c r="BT431" s="108"/>
      <c r="BU431" s="108"/>
      <c r="BV431" s="108"/>
      <c r="BW431" s="108"/>
      <c r="BX431" s="108"/>
      <c r="BY431" s="108"/>
      <c r="BZ431" s="108"/>
      <c r="CA431" s="108"/>
      <c r="CB431" s="108"/>
      <c r="CC431" s="108"/>
      <c r="CD431" s="108"/>
      <c r="CE431" s="108"/>
      <c r="CF431" s="108"/>
      <c r="CG431" s="108"/>
      <c r="CH431" s="108"/>
      <c r="CI431" s="108"/>
      <c r="CJ431" s="108"/>
      <c r="CK431" s="108"/>
      <c r="CL431" s="108"/>
      <c r="CM431" s="108"/>
      <c r="CN431" s="108"/>
      <c r="CO431" s="108"/>
      <c r="CP431" s="108"/>
      <c r="CQ431" s="108"/>
      <c r="CR431" s="108"/>
      <c r="CS431" s="108"/>
      <c r="CT431" s="108"/>
      <c r="CU431" s="108"/>
      <c r="CV431" s="108"/>
      <c r="CW431" s="108"/>
      <c r="CX431" s="108"/>
      <c r="CY431" s="108"/>
      <c r="CZ431" s="108"/>
      <c r="DA431" s="108"/>
      <c r="DB431" s="108"/>
      <c r="DC431" s="108"/>
      <c r="DD431" s="108"/>
      <c r="DE431" s="108"/>
      <c r="DF431" s="108"/>
      <c r="DG431" s="108"/>
      <c r="DH431" s="108"/>
      <c r="DI431" s="108"/>
      <c r="DJ431" s="108"/>
    </row>
    <row r="432" spans="1:114" ht="15.75" thickBot="1" x14ac:dyDescent="0.3">
      <c r="A432" s="83"/>
      <c r="B432" s="119" t="s">
        <v>686</v>
      </c>
      <c r="C432" s="36"/>
      <c r="D432" s="36"/>
      <c r="E432" s="48">
        <f>SUM(E418:E431)</f>
        <v>7200</v>
      </c>
      <c r="F432" s="48">
        <f>SUM(F418:F431)</f>
        <v>0</v>
      </c>
      <c r="G432" s="48">
        <f>SUM(G418:G431)</f>
        <v>7200</v>
      </c>
      <c r="H432" s="48">
        <f>SUM(H418:H431)</f>
        <v>0</v>
      </c>
      <c r="I432" s="48">
        <f>SUM(I418:I431)</f>
        <v>7200</v>
      </c>
      <c r="J432" s="48">
        <f t="shared" ref="J432:K432" si="180">SUM(J418:J431)</f>
        <v>360200000</v>
      </c>
      <c r="K432" s="304">
        <f t="shared" si="180"/>
        <v>10398136.000000002</v>
      </c>
      <c r="L432" s="300"/>
      <c r="M432" s="300"/>
      <c r="N432" s="322">
        <f t="shared" si="179"/>
        <v>0</v>
      </c>
      <c r="O432" s="325"/>
      <c r="P432" s="325"/>
      <c r="Q432" s="325"/>
      <c r="R432" s="325"/>
      <c r="S432" s="325"/>
      <c r="T432" s="324"/>
      <c r="U432" s="324"/>
      <c r="V432" s="324"/>
      <c r="W432" s="324"/>
      <c r="X432" s="324"/>
      <c r="Y432" s="324"/>
      <c r="Z432" s="324"/>
      <c r="AA432" s="324"/>
      <c r="AB432" s="324"/>
      <c r="AC432" s="324"/>
      <c r="AD432" s="324"/>
      <c r="AE432" s="324"/>
      <c r="AF432" s="324"/>
      <c r="AG432" s="324"/>
      <c r="AH432" s="324"/>
      <c r="AI432" s="324"/>
      <c r="AJ432" s="324"/>
      <c r="AK432" s="324"/>
      <c r="AL432" s="324"/>
      <c r="AM432" s="324"/>
      <c r="AN432" s="324"/>
      <c r="AO432" s="324"/>
      <c r="AP432" s="324"/>
      <c r="AQ432" s="324"/>
      <c r="AR432" s="324"/>
      <c r="AS432" s="324"/>
      <c r="AT432" s="324"/>
      <c r="AU432" s="324"/>
      <c r="AV432" s="324"/>
      <c r="AW432" s="324"/>
      <c r="AX432" s="324"/>
      <c r="AY432" s="324"/>
      <c r="AZ432" s="324"/>
      <c r="BA432" s="324"/>
      <c r="BB432" s="324"/>
      <c r="BC432" s="324"/>
      <c r="BD432" s="324"/>
      <c r="BE432" s="324"/>
      <c r="BF432" s="324"/>
      <c r="BG432" s="324"/>
      <c r="BH432" s="324"/>
      <c r="BI432" s="324"/>
      <c r="BJ432" s="324"/>
      <c r="BK432" s="324"/>
      <c r="BL432" s="324"/>
      <c r="BM432" s="324"/>
      <c r="BN432" s="324"/>
      <c r="BO432" s="324"/>
      <c r="BP432" s="324"/>
      <c r="BQ432" s="324"/>
      <c r="BR432" s="324"/>
      <c r="BS432" s="324"/>
      <c r="BT432" s="324"/>
      <c r="BU432" s="324"/>
      <c r="BV432" s="324"/>
      <c r="BW432" s="324"/>
      <c r="BX432" s="324"/>
      <c r="BY432" s="324"/>
      <c r="BZ432" s="324"/>
      <c r="CA432" s="324"/>
      <c r="CB432" s="324"/>
      <c r="CC432" s="324"/>
      <c r="CD432" s="324"/>
      <c r="CE432" s="324"/>
      <c r="CF432" s="324"/>
      <c r="CG432" s="324"/>
      <c r="CH432" s="324"/>
      <c r="CI432" s="324"/>
      <c r="CJ432" s="324"/>
      <c r="CK432" s="324"/>
      <c r="CL432" s="324"/>
      <c r="CM432" s="324"/>
      <c r="CN432" s="324"/>
      <c r="CO432" s="324"/>
      <c r="CP432" s="324"/>
      <c r="CQ432" s="324"/>
      <c r="CR432" s="324"/>
      <c r="CS432" s="324"/>
      <c r="CT432" s="324"/>
      <c r="CU432" s="324"/>
      <c r="CV432" s="324"/>
      <c r="CW432" s="324"/>
      <c r="CX432" s="324"/>
      <c r="CY432" s="324"/>
      <c r="CZ432" s="324"/>
      <c r="DA432" s="324"/>
      <c r="DB432" s="324"/>
      <c r="DC432" s="324"/>
      <c r="DD432" s="324"/>
      <c r="DE432" s="324"/>
      <c r="DF432" s="324"/>
      <c r="DG432" s="324"/>
      <c r="DH432" s="324"/>
      <c r="DI432" s="324"/>
      <c r="DJ432" s="324"/>
    </row>
    <row r="433" spans="1:114" ht="15.75" thickBot="1" x14ac:dyDescent="0.3">
      <c r="B433" s="93"/>
      <c r="C433" s="94"/>
      <c r="D433" s="95"/>
      <c r="E433" s="96"/>
      <c r="F433" s="62"/>
      <c r="G433" s="96"/>
      <c r="H433" s="96"/>
      <c r="I433" s="96"/>
      <c r="J433" s="96"/>
      <c r="K433" s="95"/>
      <c r="L433" s="163"/>
      <c r="M433" s="163"/>
      <c r="N433" s="295"/>
      <c r="O433" s="234"/>
      <c r="P433" s="234"/>
      <c r="Q433" s="234"/>
      <c r="R433" s="234"/>
      <c r="S433" s="234"/>
      <c r="T433" s="67"/>
      <c r="U433" s="67"/>
      <c r="V433" s="67"/>
    </row>
    <row r="434" spans="1:114" ht="15.75" thickBot="1" x14ac:dyDescent="0.3">
      <c r="A434" s="407" t="s">
        <v>657</v>
      </c>
      <c r="B434" s="414" t="s">
        <v>0</v>
      </c>
      <c r="C434" s="414" t="s">
        <v>1</v>
      </c>
      <c r="D434" s="415" t="s">
        <v>649</v>
      </c>
      <c r="E434" s="416" t="s">
        <v>19</v>
      </c>
      <c r="F434" s="416"/>
      <c r="G434" s="416"/>
      <c r="H434" s="416"/>
      <c r="I434" s="416"/>
      <c r="J434" s="410" t="s">
        <v>21</v>
      </c>
      <c r="K434" s="412" t="s">
        <v>602</v>
      </c>
      <c r="L434" s="295"/>
      <c r="M434" s="295"/>
      <c r="N434" s="403" t="s">
        <v>601</v>
      </c>
      <c r="O434" s="403" t="s">
        <v>924</v>
      </c>
      <c r="P434" s="403"/>
      <c r="Q434" s="403"/>
      <c r="R434" s="403"/>
      <c r="S434" s="403"/>
      <c r="T434" s="403"/>
      <c r="U434" s="403"/>
      <c r="V434" s="403"/>
      <c r="W434" s="403"/>
      <c r="X434" s="403"/>
      <c r="Y434" s="403"/>
      <c r="Z434" s="403"/>
      <c r="AA434" s="403"/>
      <c r="AB434" s="403"/>
      <c r="AC434" s="403"/>
      <c r="AD434" s="403"/>
      <c r="AE434" s="403"/>
      <c r="AF434" s="403"/>
      <c r="AG434" s="403"/>
      <c r="AH434" s="403"/>
      <c r="AI434" s="403"/>
      <c r="AJ434" s="403"/>
      <c r="AK434" s="403"/>
      <c r="AL434" s="403"/>
      <c r="AM434" s="403"/>
      <c r="AN434" s="403"/>
      <c r="AO434" s="403"/>
      <c r="AP434" s="403"/>
      <c r="AQ434" s="403"/>
      <c r="AR434" s="403"/>
      <c r="AS434" s="403"/>
      <c r="AT434" s="403"/>
      <c r="AU434" s="403"/>
      <c r="AV434" s="403"/>
      <c r="AW434" s="403"/>
      <c r="AX434" s="403"/>
      <c r="AY434" s="403"/>
      <c r="AZ434" s="403"/>
      <c r="BA434" s="403"/>
      <c r="BB434" s="403"/>
      <c r="BC434" s="403"/>
      <c r="BD434" s="403"/>
      <c r="BE434" s="403"/>
      <c r="BF434" s="403"/>
      <c r="BG434" s="403"/>
      <c r="BH434" s="403"/>
      <c r="BI434" s="403"/>
      <c r="BJ434" s="403"/>
      <c r="BK434" s="403"/>
      <c r="BL434" s="403"/>
      <c r="BM434" s="403"/>
      <c r="BN434" s="403"/>
      <c r="BO434" s="403"/>
      <c r="BP434" s="403"/>
      <c r="BQ434" s="403"/>
      <c r="BR434" s="403"/>
      <c r="BS434" s="403"/>
      <c r="BT434" s="403"/>
      <c r="BU434" s="403"/>
      <c r="BV434" s="403"/>
      <c r="BW434" s="403"/>
      <c r="BX434" s="403"/>
      <c r="BY434" s="403"/>
      <c r="BZ434" s="403"/>
      <c r="CA434" s="403"/>
      <c r="CB434" s="403"/>
      <c r="CC434" s="403"/>
      <c r="CD434" s="403"/>
      <c r="CE434" s="403"/>
      <c r="CF434" s="403"/>
      <c r="CG434" s="403"/>
      <c r="CH434" s="403"/>
      <c r="CI434" s="403"/>
      <c r="CJ434" s="403"/>
      <c r="CK434" s="403"/>
      <c r="CL434" s="403"/>
      <c r="CM434" s="403"/>
      <c r="CN434" s="403"/>
      <c r="CO434" s="403"/>
      <c r="CP434" s="403"/>
      <c r="CQ434" s="403"/>
      <c r="CR434" s="403"/>
      <c r="CS434" s="403"/>
      <c r="CT434" s="403"/>
      <c r="CU434" s="403"/>
      <c r="CV434" s="403"/>
      <c r="CW434" s="403"/>
      <c r="CX434" s="403"/>
      <c r="CY434" s="403"/>
      <c r="CZ434" s="403"/>
      <c r="DA434" s="403"/>
      <c r="DB434" s="403"/>
      <c r="DC434" s="403"/>
      <c r="DD434" s="403"/>
      <c r="DE434" s="403"/>
      <c r="DF434" s="403"/>
      <c r="DG434" s="403"/>
      <c r="DH434" s="403"/>
      <c r="DI434" s="403"/>
      <c r="DJ434" s="403"/>
    </row>
    <row r="435" spans="1:114" ht="15.75" thickBot="1" x14ac:dyDescent="0.3">
      <c r="A435" s="408"/>
      <c r="B435" s="414"/>
      <c r="C435" s="414"/>
      <c r="D435" s="415"/>
      <c r="E435" s="68" t="s">
        <v>22</v>
      </c>
      <c r="F435" s="68" t="s">
        <v>600</v>
      </c>
      <c r="G435" s="68" t="s">
        <v>601</v>
      </c>
      <c r="H435" s="68" t="s">
        <v>589</v>
      </c>
      <c r="I435" s="68" t="s">
        <v>601</v>
      </c>
      <c r="J435" s="411"/>
      <c r="K435" s="413"/>
      <c r="L435" s="295"/>
      <c r="M435" s="295"/>
      <c r="N435" s="403"/>
      <c r="O435" s="400" t="s">
        <v>925</v>
      </c>
      <c r="P435" s="400" t="s">
        <v>926</v>
      </c>
      <c r="Q435" s="400"/>
      <c r="R435" s="400"/>
      <c r="S435" s="400"/>
      <c r="T435" s="398"/>
      <c r="U435" s="398"/>
      <c r="V435" s="398"/>
      <c r="W435" s="398"/>
      <c r="X435" s="398"/>
      <c r="Y435" s="398"/>
      <c r="Z435" s="398"/>
      <c r="AA435" s="398"/>
      <c r="AB435" s="398"/>
      <c r="AC435" s="398"/>
      <c r="AD435" s="398"/>
      <c r="AE435" s="398"/>
      <c r="AF435" s="398"/>
      <c r="AG435" s="398"/>
      <c r="AH435" s="398"/>
      <c r="AI435" s="398"/>
      <c r="AJ435" s="398"/>
      <c r="AK435" s="398"/>
      <c r="AL435" s="398"/>
      <c r="AM435" s="398"/>
      <c r="AN435" s="398"/>
      <c r="AO435" s="398"/>
      <c r="AP435" s="398"/>
      <c r="AQ435" s="398"/>
      <c r="AR435" s="398"/>
      <c r="AS435" s="398"/>
      <c r="AT435" s="398"/>
      <c r="AU435" s="398"/>
      <c r="AV435" s="398"/>
      <c r="AW435" s="398"/>
      <c r="AX435" s="398"/>
      <c r="AY435" s="398"/>
      <c r="AZ435" s="398"/>
      <c r="BA435" s="398"/>
      <c r="BB435" s="398"/>
      <c r="BC435" s="398"/>
      <c r="BD435" s="398"/>
      <c r="BE435" s="398"/>
      <c r="BF435" s="398"/>
      <c r="BG435" s="398"/>
      <c r="BH435" s="398"/>
      <c r="BI435" s="398"/>
      <c r="BJ435" s="398"/>
      <c r="BK435" s="398"/>
      <c r="BL435" s="398"/>
      <c r="BM435" s="398"/>
      <c r="BN435" s="398"/>
      <c r="BO435" s="398"/>
      <c r="BP435" s="398"/>
      <c r="BQ435" s="398"/>
      <c r="BR435" s="398"/>
      <c r="BS435" s="398"/>
      <c r="BT435" s="398"/>
      <c r="BU435" s="398"/>
      <c r="BV435" s="398"/>
      <c r="BW435" s="398"/>
      <c r="BX435" s="398"/>
      <c r="BY435" s="398"/>
      <c r="BZ435" s="398"/>
      <c r="CA435" s="398"/>
      <c r="CB435" s="398"/>
      <c r="CC435" s="398"/>
      <c r="CD435" s="398"/>
      <c r="CE435" s="398"/>
      <c r="CF435" s="398"/>
      <c r="CG435" s="398"/>
      <c r="CH435" s="398"/>
      <c r="CI435" s="398"/>
      <c r="CJ435" s="398"/>
      <c r="CK435" s="398"/>
      <c r="CL435" s="398"/>
      <c r="CM435" s="398"/>
      <c r="CN435" s="398"/>
      <c r="CO435" s="398"/>
      <c r="CP435" s="398"/>
      <c r="CQ435" s="398"/>
      <c r="CR435" s="398"/>
      <c r="CS435" s="398"/>
      <c r="CT435" s="398"/>
      <c r="CU435" s="398"/>
      <c r="CV435" s="398"/>
      <c r="CW435" s="398"/>
      <c r="CX435" s="398"/>
      <c r="CY435" s="398"/>
      <c r="CZ435" s="398"/>
      <c r="DA435" s="398"/>
      <c r="DB435" s="398"/>
      <c r="DC435" s="398"/>
      <c r="DD435" s="398"/>
      <c r="DE435" s="398"/>
      <c r="DF435" s="398"/>
      <c r="DG435" s="398"/>
      <c r="DH435" s="398"/>
      <c r="DI435" s="398"/>
      <c r="DJ435" s="398"/>
    </row>
    <row r="436" spans="1:114" ht="15.75" thickBot="1" x14ac:dyDescent="0.3">
      <c r="A436" s="409"/>
      <c r="B436" s="69">
        <v>1</v>
      </c>
      <c r="C436" s="69">
        <v>2</v>
      </c>
      <c r="D436" s="69">
        <v>3</v>
      </c>
      <c r="E436" s="70">
        <v>4</v>
      </c>
      <c r="F436" s="70">
        <f>+E436+1</f>
        <v>5</v>
      </c>
      <c r="G436" s="70" t="s">
        <v>652</v>
      </c>
      <c r="H436" s="70">
        <v>7</v>
      </c>
      <c r="I436" s="71" t="s">
        <v>651</v>
      </c>
      <c r="J436" s="42" t="s">
        <v>650</v>
      </c>
      <c r="K436" s="303" t="s">
        <v>653</v>
      </c>
      <c r="L436" s="296"/>
      <c r="M436" s="296"/>
      <c r="N436" s="403"/>
      <c r="O436" s="402"/>
      <c r="P436" s="402"/>
      <c r="Q436" s="402"/>
      <c r="R436" s="402"/>
      <c r="S436" s="402"/>
      <c r="T436" s="399"/>
      <c r="U436" s="399"/>
      <c r="V436" s="399"/>
      <c r="W436" s="399"/>
      <c r="X436" s="399"/>
      <c r="Y436" s="399"/>
      <c r="Z436" s="399"/>
      <c r="AA436" s="399"/>
      <c r="AB436" s="399"/>
      <c r="AC436" s="399"/>
      <c r="AD436" s="399"/>
      <c r="AE436" s="399"/>
      <c r="AF436" s="399"/>
      <c r="AG436" s="399"/>
      <c r="AH436" s="399"/>
      <c r="AI436" s="399"/>
      <c r="AJ436" s="399"/>
      <c r="AK436" s="399"/>
      <c r="AL436" s="399"/>
      <c r="AM436" s="399"/>
      <c r="AN436" s="399"/>
      <c r="AO436" s="399"/>
      <c r="AP436" s="399"/>
      <c r="AQ436" s="399"/>
      <c r="AR436" s="399"/>
      <c r="AS436" s="399"/>
      <c r="AT436" s="399"/>
      <c r="AU436" s="399"/>
      <c r="AV436" s="399"/>
      <c r="AW436" s="399"/>
      <c r="AX436" s="399"/>
      <c r="AY436" s="399"/>
      <c r="AZ436" s="399"/>
      <c r="BA436" s="399"/>
      <c r="BB436" s="399"/>
      <c r="BC436" s="399"/>
      <c r="BD436" s="399"/>
      <c r="BE436" s="399"/>
      <c r="BF436" s="399"/>
      <c r="BG436" s="399"/>
      <c r="BH436" s="399"/>
      <c r="BI436" s="399"/>
      <c r="BJ436" s="399"/>
      <c r="BK436" s="399"/>
      <c r="BL436" s="399"/>
      <c r="BM436" s="399"/>
      <c r="BN436" s="399"/>
      <c r="BO436" s="399"/>
      <c r="BP436" s="399"/>
      <c r="BQ436" s="399"/>
      <c r="BR436" s="399"/>
      <c r="BS436" s="399"/>
      <c r="BT436" s="399"/>
      <c r="BU436" s="399"/>
      <c r="BV436" s="399"/>
      <c r="BW436" s="399"/>
      <c r="BX436" s="399"/>
      <c r="BY436" s="399"/>
      <c r="BZ436" s="399"/>
      <c r="CA436" s="399"/>
      <c r="CB436" s="399"/>
      <c r="CC436" s="399"/>
      <c r="CD436" s="399"/>
      <c r="CE436" s="399"/>
      <c r="CF436" s="399"/>
      <c r="CG436" s="399"/>
      <c r="CH436" s="399"/>
      <c r="CI436" s="399"/>
      <c r="CJ436" s="399"/>
      <c r="CK436" s="399"/>
      <c r="CL436" s="399"/>
      <c r="CM436" s="399"/>
      <c r="CN436" s="399"/>
      <c r="CO436" s="399"/>
      <c r="CP436" s="399"/>
      <c r="CQ436" s="399"/>
      <c r="CR436" s="399"/>
      <c r="CS436" s="399"/>
      <c r="CT436" s="399"/>
      <c r="CU436" s="399"/>
      <c r="CV436" s="399"/>
      <c r="CW436" s="399"/>
      <c r="CX436" s="399"/>
      <c r="CY436" s="399"/>
      <c r="CZ436" s="399"/>
      <c r="DA436" s="399"/>
      <c r="DB436" s="399"/>
      <c r="DC436" s="399"/>
      <c r="DD436" s="399"/>
      <c r="DE436" s="399"/>
      <c r="DF436" s="399"/>
      <c r="DG436" s="399"/>
      <c r="DH436" s="399"/>
      <c r="DI436" s="399"/>
      <c r="DJ436" s="399"/>
    </row>
    <row r="437" spans="1:114" x14ac:dyDescent="0.25">
      <c r="A437" s="72"/>
      <c r="B437" s="72" t="s">
        <v>687</v>
      </c>
      <c r="C437" s="54"/>
      <c r="D437" s="54"/>
      <c r="E437" s="54"/>
      <c r="F437" s="54"/>
      <c r="G437" s="54"/>
      <c r="H437" s="54"/>
      <c r="I437" s="54"/>
      <c r="J437" s="54"/>
      <c r="K437" s="54"/>
      <c r="L437" s="234"/>
      <c r="M437" s="234"/>
      <c r="N437" s="314">
        <f t="shared" ref="N437:N444" si="181">SUM(O437:DK437)</f>
        <v>0</v>
      </c>
      <c r="O437" s="310"/>
      <c r="P437" s="315"/>
      <c r="Q437" s="315"/>
      <c r="R437" s="315"/>
      <c r="S437" s="315"/>
      <c r="T437" s="55"/>
      <c r="U437" s="55"/>
      <c r="V437" s="55"/>
      <c r="W437" s="55"/>
      <c r="X437" s="55"/>
      <c r="Y437" s="55"/>
      <c r="Z437" s="55"/>
      <c r="AA437" s="55"/>
      <c r="AB437" s="55"/>
      <c r="AC437" s="55"/>
      <c r="AD437" s="55"/>
      <c r="AE437" s="55"/>
      <c r="AF437" s="55"/>
      <c r="AG437" s="55"/>
      <c r="AH437" s="55"/>
      <c r="AI437" s="55"/>
      <c r="AJ437" s="55"/>
      <c r="AK437" s="55"/>
      <c r="AL437" s="55"/>
      <c r="AM437" s="55"/>
      <c r="AN437" s="55"/>
      <c r="AO437" s="55"/>
      <c r="AP437" s="55"/>
      <c r="AQ437" s="55"/>
      <c r="AR437" s="55"/>
      <c r="AS437" s="55"/>
      <c r="AT437" s="55"/>
      <c r="AU437" s="55"/>
      <c r="AV437" s="55"/>
      <c r="AW437" s="55"/>
      <c r="AX437" s="55"/>
      <c r="AY437" s="55"/>
      <c r="AZ437" s="55"/>
      <c r="BA437" s="55"/>
      <c r="BB437" s="55"/>
      <c r="BC437" s="55"/>
      <c r="BD437" s="55"/>
      <c r="BE437" s="55"/>
      <c r="BF437" s="55"/>
      <c r="BG437" s="55"/>
      <c r="BH437" s="55"/>
      <c r="BI437" s="55"/>
      <c r="BJ437" s="55"/>
      <c r="BK437" s="55"/>
      <c r="BL437" s="55"/>
      <c r="BM437" s="55"/>
      <c r="BN437" s="55"/>
      <c r="BO437" s="55"/>
      <c r="BP437" s="55"/>
      <c r="BQ437" s="55"/>
      <c r="BR437" s="55"/>
      <c r="BS437" s="55"/>
      <c r="BT437" s="55"/>
      <c r="BU437" s="55"/>
      <c r="BV437" s="55"/>
      <c r="BW437" s="55"/>
      <c r="BX437" s="55"/>
      <c r="BY437" s="55"/>
      <c r="BZ437" s="55"/>
      <c r="CA437" s="55"/>
      <c r="CB437" s="55"/>
      <c r="CC437" s="55"/>
      <c r="CD437" s="55"/>
      <c r="CE437" s="55"/>
      <c r="CF437" s="55"/>
      <c r="CG437" s="55"/>
      <c r="CH437" s="55"/>
      <c r="CI437" s="55"/>
      <c r="CJ437" s="55"/>
      <c r="CK437" s="55"/>
      <c r="CL437" s="55"/>
      <c r="CM437" s="55"/>
      <c r="CN437" s="55"/>
      <c r="CO437" s="55"/>
      <c r="CP437" s="55"/>
      <c r="CQ437" s="55"/>
      <c r="CR437" s="55"/>
      <c r="CS437" s="55"/>
      <c r="CT437" s="55"/>
      <c r="CU437" s="55"/>
      <c r="CV437" s="55"/>
      <c r="CW437" s="55"/>
      <c r="CX437" s="55"/>
      <c r="CY437" s="55"/>
      <c r="CZ437" s="55"/>
      <c r="DA437" s="55"/>
      <c r="DB437" s="55"/>
      <c r="DC437" s="55"/>
      <c r="DD437" s="55"/>
      <c r="DE437" s="55"/>
      <c r="DF437" s="55"/>
      <c r="DG437" s="55"/>
      <c r="DH437" s="55"/>
      <c r="DI437" s="55"/>
      <c r="DJ437" s="55"/>
    </row>
    <row r="438" spans="1:114" x14ac:dyDescent="0.25">
      <c r="A438" s="127">
        <v>1</v>
      </c>
      <c r="B438" s="60" t="s">
        <v>590</v>
      </c>
      <c r="C438" s="43">
        <v>9000</v>
      </c>
      <c r="D438" s="60">
        <v>392.49</v>
      </c>
      <c r="E438" s="43">
        <v>0</v>
      </c>
      <c r="F438" s="60"/>
      <c r="G438" s="56">
        <f t="shared" ref="G438:G451" si="182">+E438+F438</f>
        <v>0</v>
      </c>
      <c r="H438" s="43">
        <f>400-400</f>
        <v>0</v>
      </c>
      <c r="I438" s="56">
        <f t="shared" ref="I438:I451" si="183">+G438-H438</f>
        <v>0</v>
      </c>
      <c r="J438" s="56">
        <f t="shared" ref="J438:J451" si="184">I438*C438</f>
        <v>0</v>
      </c>
      <c r="K438" s="57">
        <f t="shared" ref="K438:K451" si="185">+D438*I438</f>
        <v>0</v>
      </c>
      <c r="L438" s="297"/>
      <c r="M438" s="297"/>
      <c r="N438" s="314">
        <f t="shared" si="181"/>
        <v>0</v>
      </c>
      <c r="O438" s="310"/>
      <c r="P438" s="315"/>
      <c r="Q438" s="315"/>
      <c r="R438" s="315"/>
      <c r="S438" s="315"/>
      <c r="T438" s="55"/>
      <c r="U438" s="55"/>
      <c r="V438" s="55"/>
      <c r="W438" s="55"/>
      <c r="X438" s="55"/>
      <c r="Y438" s="55"/>
      <c r="Z438" s="55"/>
      <c r="AA438" s="55"/>
      <c r="AB438" s="55"/>
      <c r="AC438" s="55"/>
      <c r="AD438" s="55"/>
      <c r="AE438" s="55"/>
      <c r="AF438" s="55"/>
      <c r="AG438" s="55"/>
      <c r="AH438" s="55"/>
      <c r="AI438" s="55"/>
      <c r="AJ438" s="55"/>
      <c r="AK438" s="55"/>
      <c r="AL438" s="55"/>
      <c r="AM438" s="55"/>
      <c r="AN438" s="55"/>
      <c r="AO438" s="55"/>
      <c r="AP438" s="55"/>
      <c r="AQ438" s="55"/>
      <c r="AR438" s="55"/>
      <c r="AS438" s="55"/>
      <c r="AT438" s="55"/>
      <c r="AU438" s="55"/>
      <c r="AV438" s="55"/>
      <c r="AW438" s="55"/>
      <c r="AX438" s="55"/>
      <c r="AY438" s="55"/>
      <c r="AZ438" s="55"/>
      <c r="BA438" s="55"/>
      <c r="BB438" s="55"/>
      <c r="BC438" s="55"/>
      <c r="BD438" s="55"/>
      <c r="BE438" s="55"/>
      <c r="BF438" s="55"/>
      <c r="BG438" s="55"/>
      <c r="BH438" s="55"/>
      <c r="BI438" s="55"/>
      <c r="BJ438" s="55"/>
      <c r="BK438" s="55"/>
      <c r="BL438" s="55"/>
      <c r="BM438" s="55"/>
      <c r="BN438" s="55"/>
      <c r="BO438" s="55"/>
      <c r="BP438" s="55"/>
      <c r="BQ438" s="55"/>
      <c r="BR438" s="55"/>
      <c r="BS438" s="55"/>
      <c r="BT438" s="55"/>
      <c r="BU438" s="55"/>
      <c r="BV438" s="55"/>
      <c r="BW438" s="55"/>
      <c r="BX438" s="55"/>
      <c r="BY438" s="55"/>
      <c r="BZ438" s="55"/>
      <c r="CA438" s="55"/>
      <c r="CB438" s="55"/>
      <c r="CC438" s="55"/>
      <c r="CD438" s="55"/>
      <c r="CE438" s="55"/>
      <c r="CF438" s="55"/>
      <c r="CG438" s="55"/>
      <c r="CH438" s="55"/>
      <c r="CI438" s="55"/>
      <c r="CJ438" s="55"/>
      <c r="CK438" s="55"/>
      <c r="CL438" s="55"/>
      <c r="CM438" s="55"/>
      <c r="CN438" s="55"/>
      <c r="CO438" s="55"/>
      <c r="CP438" s="55"/>
      <c r="CQ438" s="55"/>
      <c r="CR438" s="55"/>
      <c r="CS438" s="55"/>
      <c r="CT438" s="55"/>
      <c r="CU438" s="55"/>
      <c r="CV438" s="55"/>
      <c r="CW438" s="55"/>
      <c r="CX438" s="55"/>
      <c r="CY438" s="55"/>
      <c r="CZ438" s="55"/>
      <c r="DA438" s="55"/>
      <c r="DB438" s="55"/>
      <c r="DC438" s="55"/>
      <c r="DD438" s="55"/>
      <c r="DE438" s="55"/>
      <c r="DF438" s="55"/>
      <c r="DG438" s="55"/>
      <c r="DH438" s="55"/>
      <c r="DI438" s="55"/>
      <c r="DJ438" s="55"/>
    </row>
    <row r="439" spans="1:114" x14ac:dyDescent="0.25">
      <c r="A439" s="127">
        <v>2</v>
      </c>
      <c r="B439" s="60" t="s">
        <v>142</v>
      </c>
      <c r="C439" s="43">
        <v>33000</v>
      </c>
      <c r="D439" s="60">
        <v>1618.98</v>
      </c>
      <c r="E439" s="43">
        <v>0</v>
      </c>
      <c r="F439" s="60"/>
      <c r="G439" s="56">
        <f t="shared" si="182"/>
        <v>0</v>
      </c>
      <c r="H439" s="43">
        <f>100-100</f>
        <v>0</v>
      </c>
      <c r="I439" s="56">
        <f t="shared" si="183"/>
        <v>0</v>
      </c>
      <c r="J439" s="56">
        <f t="shared" si="184"/>
        <v>0</v>
      </c>
      <c r="K439" s="57">
        <f t="shared" si="185"/>
        <v>0</v>
      </c>
      <c r="L439" s="297"/>
      <c r="M439" s="297"/>
      <c r="N439" s="314">
        <f t="shared" si="181"/>
        <v>0</v>
      </c>
      <c r="O439" s="310"/>
      <c r="P439" s="315"/>
      <c r="Q439" s="315"/>
      <c r="R439" s="315"/>
      <c r="S439" s="315"/>
      <c r="T439" s="55"/>
      <c r="U439" s="55"/>
      <c r="V439" s="55"/>
      <c r="W439" s="55"/>
      <c r="X439" s="55"/>
      <c r="Y439" s="55"/>
      <c r="Z439" s="55"/>
      <c r="AA439" s="55"/>
      <c r="AB439" s="55"/>
      <c r="AC439" s="55"/>
      <c r="AD439" s="55"/>
      <c r="AE439" s="55"/>
      <c r="AF439" s="55"/>
      <c r="AG439" s="55"/>
      <c r="AH439" s="55"/>
      <c r="AI439" s="55"/>
      <c r="AJ439" s="55"/>
      <c r="AK439" s="55"/>
      <c r="AL439" s="55"/>
      <c r="AM439" s="55"/>
      <c r="AN439" s="55"/>
      <c r="AO439" s="55"/>
      <c r="AP439" s="55"/>
      <c r="AQ439" s="55"/>
      <c r="AR439" s="55"/>
      <c r="AS439" s="55"/>
      <c r="AT439" s="55"/>
      <c r="AU439" s="55"/>
      <c r="AV439" s="55"/>
      <c r="AW439" s="55"/>
      <c r="AX439" s="55"/>
      <c r="AY439" s="55"/>
      <c r="AZ439" s="55"/>
      <c r="BA439" s="55"/>
      <c r="BB439" s="55"/>
      <c r="BC439" s="55"/>
      <c r="BD439" s="55"/>
      <c r="BE439" s="55"/>
      <c r="BF439" s="55"/>
      <c r="BG439" s="55"/>
      <c r="BH439" s="55"/>
      <c r="BI439" s="55"/>
      <c r="BJ439" s="55"/>
      <c r="BK439" s="55"/>
      <c r="BL439" s="55"/>
      <c r="BM439" s="55"/>
      <c r="BN439" s="55"/>
      <c r="BO439" s="55"/>
      <c r="BP439" s="55"/>
      <c r="BQ439" s="55"/>
      <c r="BR439" s="55"/>
      <c r="BS439" s="55"/>
      <c r="BT439" s="55"/>
      <c r="BU439" s="55"/>
      <c r="BV439" s="55"/>
      <c r="BW439" s="55"/>
      <c r="BX439" s="55"/>
      <c r="BY439" s="55"/>
      <c r="BZ439" s="55"/>
      <c r="CA439" s="55"/>
      <c r="CB439" s="55"/>
      <c r="CC439" s="55"/>
      <c r="CD439" s="55"/>
      <c r="CE439" s="55"/>
      <c r="CF439" s="55"/>
      <c r="CG439" s="55"/>
      <c r="CH439" s="55"/>
      <c r="CI439" s="55"/>
      <c r="CJ439" s="55"/>
      <c r="CK439" s="55"/>
      <c r="CL439" s="55"/>
      <c r="CM439" s="55"/>
      <c r="CN439" s="55"/>
      <c r="CO439" s="55"/>
      <c r="CP439" s="55"/>
      <c r="CQ439" s="55"/>
      <c r="CR439" s="55"/>
      <c r="CS439" s="55"/>
      <c r="CT439" s="55"/>
      <c r="CU439" s="55"/>
      <c r="CV439" s="55"/>
      <c r="CW439" s="55"/>
      <c r="CX439" s="55"/>
      <c r="CY439" s="55"/>
      <c r="CZ439" s="55"/>
      <c r="DA439" s="55"/>
      <c r="DB439" s="55"/>
      <c r="DC439" s="55"/>
      <c r="DD439" s="55"/>
      <c r="DE439" s="55"/>
      <c r="DF439" s="55"/>
      <c r="DG439" s="55"/>
      <c r="DH439" s="55"/>
      <c r="DI439" s="55"/>
      <c r="DJ439" s="55"/>
    </row>
    <row r="440" spans="1:114" x14ac:dyDescent="0.25">
      <c r="A440" s="127">
        <v>3</v>
      </c>
      <c r="B440" s="60" t="s">
        <v>859</v>
      </c>
      <c r="C440" s="43">
        <v>9000</v>
      </c>
      <c r="D440" s="60">
        <v>410.07</v>
      </c>
      <c r="E440" s="43">
        <v>0</v>
      </c>
      <c r="F440" s="60"/>
      <c r="G440" s="56">
        <f t="shared" si="182"/>
        <v>0</v>
      </c>
      <c r="H440" s="43">
        <f>700-700</f>
        <v>0</v>
      </c>
      <c r="I440" s="56">
        <f t="shared" si="183"/>
        <v>0</v>
      </c>
      <c r="J440" s="56">
        <f t="shared" si="184"/>
        <v>0</v>
      </c>
      <c r="K440" s="57">
        <f t="shared" si="185"/>
        <v>0</v>
      </c>
      <c r="L440" s="297"/>
      <c r="M440" s="297"/>
      <c r="N440" s="314">
        <f t="shared" si="181"/>
        <v>0</v>
      </c>
      <c r="O440" s="310"/>
      <c r="P440" s="315"/>
      <c r="Q440" s="315"/>
      <c r="R440" s="315"/>
      <c r="S440" s="315"/>
      <c r="T440" s="55"/>
      <c r="U440" s="55"/>
      <c r="V440" s="55"/>
      <c r="W440" s="55"/>
      <c r="X440" s="55"/>
      <c r="Y440" s="55"/>
      <c r="Z440" s="55"/>
      <c r="AA440" s="55"/>
      <c r="AB440" s="55"/>
      <c r="AC440" s="55"/>
      <c r="AD440" s="55"/>
      <c r="AE440" s="55"/>
      <c r="AF440" s="55"/>
      <c r="AG440" s="55"/>
      <c r="AH440" s="55"/>
      <c r="AI440" s="55"/>
      <c r="AJ440" s="55"/>
      <c r="AK440" s="55"/>
      <c r="AL440" s="55"/>
      <c r="AM440" s="55"/>
      <c r="AN440" s="55"/>
      <c r="AO440" s="55"/>
      <c r="AP440" s="55"/>
      <c r="AQ440" s="55"/>
      <c r="AR440" s="55"/>
      <c r="AS440" s="55"/>
      <c r="AT440" s="55"/>
      <c r="AU440" s="55"/>
      <c r="AV440" s="55"/>
      <c r="AW440" s="55"/>
      <c r="AX440" s="55"/>
      <c r="AY440" s="55"/>
      <c r="AZ440" s="55"/>
      <c r="BA440" s="55"/>
      <c r="BB440" s="55"/>
      <c r="BC440" s="55"/>
      <c r="BD440" s="55"/>
      <c r="BE440" s="55"/>
      <c r="BF440" s="55"/>
      <c r="BG440" s="55"/>
      <c r="BH440" s="55"/>
      <c r="BI440" s="55"/>
      <c r="BJ440" s="55"/>
      <c r="BK440" s="55"/>
      <c r="BL440" s="55"/>
      <c r="BM440" s="55"/>
      <c r="BN440" s="55"/>
      <c r="BO440" s="55"/>
      <c r="BP440" s="55"/>
      <c r="BQ440" s="55"/>
      <c r="BR440" s="55"/>
      <c r="BS440" s="55"/>
      <c r="BT440" s="55"/>
      <c r="BU440" s="55"/>
      <c r="BV440" s="55"/>
      <c r="BW440" s="55"/>
      <c r="BX440" s="55"/>
      <c r="BY440" s="55"/>
      <c r="BZ440" s="55"/>
      <c r="CA440" s="55"/>
      <c r="CB440" s="55"/>
      <c r="CC440" s="55"/>
      <c r="CD440" s="55"/>
      <c r="CE440" s="55"/>
      <c r="CF440" s="55"/>
      <c r="CG440" s="55"/>
      <c r="CH440" s="55"/>
      <c r="CI440" s="55"/>
      <c r="CJ440" s="55"/>
      <c r="CK440" s="55"/>
      <c r="CL440" s="55"/>
      <c r="CM440" s="55"/>
      <c r="CN440" s="55"/>
      <c r="CO440" s="55"/>
      <c r="CP440" s="55"/>
      <c r="CQ440" s="55"/>
      <c r="CR440" s="55"/>
      <c r="CS440" s="55"/>
      <c r="CT440" s="55"/>
      <c r="CU440" s="55"/>
      <c r="CV440" s="55"/>
      <c r="CW440" s="55"/>
      <c r="CX440" s="55"/>
      <c r="CY440" s="55"/>
      <c r="CZ440" s="55"/>
      <c r="DA440" s="55"/>
      <c r="DB440" s="55"/>
      <c r="DC440" s="55"/>
      <c r="DD440" s="55"/>
      <c r="DE440" s="55"/>
      <c r="DF440" s="55"/>
      <c r="DG440" s="55"/>
      <c r="DH440" s="55"/>
      <c r="DI440" s="55"/>
      <c r="DJ440" s="55"/>
    </row>
    <row r="441" spans="1:114" x14ac:dyDescent="0.25">
      <c r="A441" s="127">
        <v>4</v>
      </c>
      <c r="B441" s="60" t="s">
        <v>591</v>
      </c>
      <c r="C441" s="43">
        <v>16000</v>
      </c>
      <c r="D441" s="60">
        <v>295.58</v>
      </c>
      <c r="E441" s="43">
        <v>11229</v>
      </c>
      <c r="F441" s="60"/>
      <c r="G441" s="56">
        <f t="shared" si="182"/>
        <v>11229</v>
      </c>
      <c r="H441" s="43"/>
      <c r="I441" s="56">
        <f t="shared" si="183"/>
        <v>11229</v>
      </c>
      <c r="J441" s="56">
        <f t="shared" si="184"/>
        <v>179664000</v>
      </c>
      <c r="K441" s="57">
        <f t="shared" si="185"/>
        <v>3319067.82</v>
      </c>
      <c r="L441" s="297"/>
      <c r="M441" s="297"/>
      <c r="N441" s="314">
        <f t="shared" si="181"/>
        <v>0</v>
      </c>
      <c r="O441" s="310"/>
      <c r="P441" s="315"/>
      <c r="Q441" s="315"/>
      <c r="R441" s="315"/>
      <c r="S441" s="315"/>
      <c r="T441" s="55"/>
      <c r="U441" s="55"/>
      <c r="V441" s="55"/>
      <c r="W441" s="55"/>
      <c r="X441" s="55"/>
      <c r="Y441" s="55"/>
      <c r="Z441" s="55"/>
      <c r="AA441" s="55"/>
      <c r="AB441" s="55"/>
      <c r="AC441" s="55"/>
      <c r="AD441" s="55"/>
      <c r="AE441" s="55"/>
      <c r="AF441" s="55"/>
      <c r="AG441" s="55"/>
      <c r="AH441" s="55"/>
      <c r="AI441" s="55"/>
      <c r="AJ441" s="55"/>
      <c r="AK441" s="55"/>
      <c r="AL441" s="55"/>
      <c r="AM441" s="55"/>
      <c r="AN441" s="55"/>
      <c r="AO441" s="55"/>
      <c r="AP441" s="55"/>
      <c r="AQ441" s="55"/>
      <c r="AR441" s="55"/>
      <c r="AS441" s="55"/>
      <c r="AT441" s="55"/>
      <c r="AU441" s="55"/>
      <c r="AV441" s="55"/>
      <c r="AW441" s="55"/>
      <c r="AX441" s="55"/>
      <c r="AY441" s="55"/>
      <c r="AZ441" s="55"/>
      <c r="BA441" s="55"/>
      <c r="BB441" s="55"/>
      <c r="BC441" s="55"/>
      <c r="BD441" s="55"/>
      <c r="BE441" s="55"/>
      <c r="BF441" s="55"/>
      <c r="BG441" s="55"/>
      <c r="BH441" s="55"/>
      <c r="BI441" s="55"/>
      <c r="BJ441" s="55"/>
      <c r="BK441" s="55"/>
      <c r="BL441" s="55"/>
      <c r="BM441" s="55"/>
      <c r="BN441" s="55"/>
      <c r="BO441" s="55"/>
      <c r="BP441" s="55"/>
      <c r="BQ441" s="55"/>
      <c r="BR441" s="55"/>
      <c r="BS441" s="55"/>
      <c r="BT441" s="55"/>
      <c r="BU441" s="55"/>
      <c r="BV441" s="55"/>
      <c r="BW441" s="55"/>
      <c r="BX441" s="55"/>
      <c r="BY441" s="55"/>
      <c r="BZ441" s="55"/>
      <c r="CA441" s="55"/>
      <c r="CB441" s="55"/>
      <c r="CC441" s="55"/>
      <c r="CD441" s="55"/>
      <c r="CE441" s="55"/>
      <c r="CF441" s="55"/>
      <c r="CG441" s="55"/>
      <c r="CH441" s="55"/>
      <c r="CI441" s="55"/>
      <c r="CJ441" s="55"/>
      <c r="CK441" s="55"/>
      <c r="CL441" s="55"/>
      <c r="CM441" s="55"/>
      <c r="CN441" s="55"/>
      <c r="CO441" s="55"/>
      <c r="CP441" s="55"/>
      <c r="CQ441" s="55"/>
      <c r="CR441" s="55"/>
      <c r="CS441" s="55"/>
      <c r="CT441" s="55"/>
      <c r="CU441" s="55"/>
      <c r="CV441" s="55"/>
      <c r="CW441" s="55"/>
      <c r="CX441" s="55"/>
      <c r="CY441" s="55"/>
      <c r="CZ441" s="55"/>
      <c r="DA441" s="55"/>
      <c r="DB441" s="55"/>
      <c r="DC441" s="55"/>
      <c r="DD441" s="55"/>
      <c r="DE441" s="55"/>
      <c r="DF441" s="55"/>
      <c r="DG441" s="55"/>
      <c r="DH441" s="55"/>
      <c r="DI441" s="55"/>
      <c r="DJ441" s="55"/>
    </row>
    <row r="442" spans="1:114" x14ac:dyDescent="0.25">
      <c r="A442" s="127">
        <v>5</v>
      </c>
      <c r="B442" s="60" t="s">
        <v>592</v>
      </c>
      <c r="C442" s="43">
        <v>24000</v>
      </c>
      <c r="D442" s="60">
        <v>1069.52</v>
      </c>
      <c r="E442" s="43">
        <v>0</v>
      </c>
      <c r="F442" s="60"/>
      <c r="G442" s="56">
        <f t="shared" si="182"/>
        <v>0</v>
      </c>
      <c r="H442" s="43">
        <f>300-300</f>
        <v>0</v>
      </c>
      <c r="I442" s="56">
        <f t="shared" si="183"/>
        <v>0</v>
      </c>
      <c r="J442" s="56">
        <f t="shared" si="184"/>
        <v>0</v>
      </c>
      <c r="K442" s="57">
        <f t="shared" si="185"/>
        <v>0</v>
      </c>
      <c r="L442" s="297"/>
      <c r="M442" s="297"/>
      <c r="N442" s="314">
        <f t="shared" si="181"/>
        <v>0</v>
      </c>
      <c r="O442" s="310"/>
      <c r="P442" s="315"/>
      <c r="Q442" s="315"/>
      <c r="R442" s="315"/>
      <c r="S442" s="315"/>
      <c r="T442" s="55"/>
      <c r="U442" s="55"/>
      <c r="V442" s="55"/>
      <c r="W442" s="55"/>
      <c r="X442" s="55"/>
      <c r="Y442" s="55"/>
      <c r="Z442" s="55"/>
      <c r="AA442" s="55"/>
      <c r="AB442" s="55"/>
      <c r="AC442" s="55"/>
      <c r="AD442" s="55"/>
      <c r="AE442" s="55"/>
      <c r="AF442" s="55"/>
      <c r="AG442" s="55"/>
      <c r="AH442" s="55"/>
      <c r="AI442" s="55"/>
      <c r="AJ442" s="55"/>
      <c r="AK442" s="55"/>
      <c r="AL442" s="55"/>
      <c r="AM442" s="55"/>
      <c r="AN442" s="55"/>
      <c r="AO442" s="55"/>
      <c r="AP442" s="55"/>
      <c r="AQ442" s="55"/>
      <c r="AR442" s="55"/>
      <c r="AS442" s="55"/>
      <c r="AT442" s="55"/>
      <c r="AU442" s="55"/>
      <c r="AV442" s="55"/>
      <c r="AW442" s="55"/>
      <c r="AX442" s="55"/>
      <c r="AY442" s="55"/>
      <c r="AZ442" s="55"/>
      <c r="BA442" s="55"/>
      <c r="BB442" s="55"/>
      <c r="BC442" s="55"/>
      <c r="BD442" s="55"/>
      <c r="BE442" s="55"/>
      <c r="BF442" s="55"/>
      <c r="BG442" s="55"/>
      <c r="BH442" s="55"/>
      <c r="BI442" s="55"/>
      <c r="BJ442" s="55"/>
      <c r="BK442" s="55"/>
      <c r="BL442" s="55"/>
      <c r="BM442" s="55"/>
      <c r="BN442" s="55"/>
      <c r="BO442" s="55"/>
      <c r="BP442" s="55"/>
      <c r="BQ442" s="55"/>
      <c r="BR442" s="55"/>
      <c r="BS442" s="55"/>
      <c r="BT442" s="55"/>
      <c r="BU442" s="55"/>
      <c r="BV442" s="55"/>
      <c r="BW442" s="55"/>
      <c r="BX442" s="55"/>
      <c r="BY442" s="55"/>
      <c r="BZ442" s="55"/>
      <c r="CA442" s="55"/>
      <c r="CB442" s="55"/>
      <c r="CC442" s="55"/>
      <c r="CD442" s="55"/>
      <c r="CE442" s="55"/>
      <c r="CF442" s="55"/>
      <c r="CG442" s="55"/>
      <c r="CH442" s="55"/>
      <c r="CI442" s="55"/>
      <c r="CJ442" s="55"/>
      <c r="CK442" s="55"/>
      <c r="CL442" s="55"/>
      <c r="CM442" s="55"/>
      <c r="CN442" s="55"/>
      <c r="CO442" s="55"/>
      <c r="CP442" s="55"/>
      <c r="CQ442" s="55"/>
      <c r="CR442" s="55"/>
      <c r="CS442" s="55"/>
      <c r="CT442" s="55"/>
      <c r="CU442" s="55"/>
      <c r="CV442" s="55"/>
      <c r="CW442" s="55"/>
      <c r="CX442" s="55"/>
      <c r="CY442" s="55"/>
      <c r="CZ442" s="55"/>
      <c r="DA442" s="55"/>
      <c r="DB442" s="55"/>
      <c r="DC442" s="55"/>
      <c r="DD442" s="55"/>
      <c r="DE442" s="55"/>
      <c r="DF442" s="55"/>
      <c r="DG442" s="55"/>
      <c r="DH442" s="55"/>
      <c r="DI442" s="55"/>
      <c r="DJ442" s="55"/>
    </row>
    <row r="443" spans="1:114" x14ac:dyDescent="0.25">
      <c r="A443" s="127">
        <v>6</v>
      </c>
      <c r="B443" s="60" t="s">
        <v>593</v>
      </c>
      <c r="C443" s="43">
        <v>3000</v>
      </c>
      <c r="D443" s="60">
        <v>176.55</v>
      </c>
      <c r="E443" s="43">
        <v>0</v>
      </c>
      <c r="F443" s="60"/>
      <c r="G443" s="56">
        <f t="shared" si="182"/>
        <v>0</v>
      </c>
      <c r="H443" s="43">
        <f>1200-1200</f>
        <v>0</v>
      </c>
      <c r="I443" s="56">
        <f t="shared" si="183"/>
        <v>0</v>
      </c>
      <c r="J443" s="56">
        <f t="shared" si="184"/>
        <v>0</v>
      </c>
      <c r="K443" s="57">
        <f t="shared" si="185"/>
        <v>0</v>
      </c>
      <c r="L443" s="297"/>
      <c r="M443" s="297"/>
      <c r="N443" s="314">
        <f t="shared" si="181"/>
        <v>0</v>
      </c>
      <c r="O443" s="310"/>
      <c r="P443" s="315"/>
      <c r="Q443" s="315"/>
      <c r="R443" s="315"/>
      <c r="S443" s="315"/>
      <c r="T443" s="55"/>
      <c r="U443" s="55"/>
      <c r="V443" s="55"/>
      <c r="W443" s="55"/>
      <c r="X443" s="55"/>
      <c r="Y443" s="55"/>
      <c r="Z443" s="55"/>
      <c r="AA443" s="55"/>
      <c r="AB443" s="55"/>
      <c r="AC443" s="55"/>
      <c r="AD443" s="55"/>
      <c r="AE443" s="55"/>
      <c r="AF443" s="55"/>
      <c r="AG443" s="55"/>
      <c r="AH443" s="55"/>
      <c r="AI443" s="55"/>
      <c r="AJ443" s="55"/>
      <c r="AK443" s="55"/>
      <c r="AL443" s="55"/>
      <c r="AM443" s="55"/>
      <c r="AN443" s="55"/>
      <c r="AO443" s="55"/>
      <c r="AP443" s="55"/>
      <c r="AQ443" s="55"/>
      <c r="AR443" s="55"/>
      <c r="AS443" s="55"/>
      <c r="AT443" s="55"/>
      <c r="AU443" s="55"/>
      <c r="AV443" s="55"/>
      <c r="AW443" s="55"/>
      <c r="AX443" s="55"/>
      <c r="AY443" s="55"/>
      <c r="AZ443" s="55"/>
      <c r="BA443" s="55"/>
      <c r="BB443" s="55"/>
      <c r="BC443" s="55"/>
      <c r="BD443" s="55"/>
      <c r="BE443" s="55"/>
      <c r="BF443" s="55"/>
      <c r="BG443" s="55"/>
      <c r="BH443" s="55"/>
      <c r="BI443" s="55"/>
      <c r="BJ443" s="55"/>
      <c r="BK443" s="55"/>
      <c r="BL443" s="55"/>
      <c r="BM443" s="55"/>
      <c r="BN443" s="55"/>
      <c r="BO443" s="55"/>
      <c r="BP443" s="55"/>
      <c r="BQ443" s="55"/>
      <c r="BR443" s="55"/>
      <c r="BS443" s="55"/>
      <c r="BT443" s="55"/>
      <c r="BU443" s="55"/>
      <c r="BV443" s="55"/>
      <c r="BW443" s="55"/>
      <c r="BX443" s="55"/>
      <c r="BY443" s="55"/>
      <c r="BZ443" s="55"/>
      <c r="CA443" s="55"/>
      <c r="CB443" s="55"/>
      <c r="CC443" s="55"/>
      <c r="CD443" s="55"/>
      <c r="CE443" s="55"/>
      <c r="CF443" s="55"/>
      <c r="CG443" s="55"/>
      <c r="CH443" s="55"/>
      <c r="CI443" s="55"/>
      <c r="CJ443" s="55"/>
      <c r="CK443" s="55"/>
      <c r="CL443" s="55"/>
      <c r="CM443" s="55"/>
      <c r="CN443" s="55"/>
      <c r="CO443" s="55"/>
      <c r="CP443" s="55"/>
      <c r="CQ443" s="55"/>
      <c r="CR443" s="55"/>
      <c r="CS443" s="55"/>
      <c r="CT443" s="55"/>
      <c r="CU443" s="55"/>
      <c r="CV443" s="55"/>
      <c r="CW443" s="55"/>
      <c r="CX443" s="55"/>
      <c r="CY443" s="55"/>
      <c r="CZ443" s="55"/>
      <c r="DA443" s="55"/>
      <c r="DB443" s="55"/>
      <c r="DC443" s="55"/>
      <c r="DD443" s="55"/>
      <c r="DE443" s="55"/>
      <c r="DF443" s="55"/>
      <c r="DG443" s="55"/>
      <c r="DH443" s="55"/>
      <c r="DI443" s="55"/>
      <c r="DJ443" s="55"/>
    </row>
    <row r="444" spans="1:114" x14ac:dyDescent="0.25">
      <c r="A444" s="127">
        <v>7</v>
      </c>
      <c r="B444" s="60" t="s">
        <v>612</v>
      </c>
      <c r="C444" s="43">
        <v>10000</v>
      </c>
      <c r="D444" s="60">
        <v>192.92</v>
      </c>
      <c r="E444" s="43">
        <v>0</v>
      </c>
      <c r="F444" s="59"/>
      <c r="G444" s="56">
        <f t="shared" si="182"/>
        <v>0</v>
      </c>
      <c r="H444" s="43">
        <f>1500-1500+1000-1000</f>
        <v>0</v>
      </c>
      <c r="I444" s="56">
        <f t="shared" si="183"/>
        <v>0</v>
      </c>
      <c r="J444" s="56">
        <f t="shared" si="184"/>
        <v>0</v>
      </c>
      <c r="K444" s="57">
        <f t="shared" si="185"/>
        <v>0</v>
      </c>
      <c r="L444" s="297"/>
      <c r="M444" s="297"/>
      <c r="N444" s="314">
        <f t="shared" si="181"/>
        <v>0</v>
      </c>
      <c r="O444" s="310"/>
      <c r="P444" s="315"/>
      <c r="Q444" s="315"/>
      <c r="R444" s="315"/>
      <c r="S444" s="315"/>
      <c r="T444" s="55"/>
      <c r="U444" s="55"/>
      <c r="V444" s="55"/>
      <c r="W444" s="55"/>
      <c r="X444" s="55"/>
      <c r="Y444" s="55"/>
      <c r="Z444" s="55"/>
      <c r="AA444" s="55"/>
      <c r="AB444" s="55"/>
      <c r="AC444" s="55"/>
      <c r="AD444" s="55"/>
      <c r="AE444" s="55"/>
      <c r="AF444" s="55"/>
      <c r="AG444" s="55"/>
      <c r="AH444" s="55"/>
      <c r="AI444" s="55"/>
      <c r="AJ444" s="55"/>
      <c r="AK444" s="55"/>
      <c r="AL444" s="55"/>
      <c r="AM444" s="55"/>
      <c r="AN444" s="55"/>
      <c r="AO444" s="55"/>
      <c r="AP444" s="55"/>
      <c r="AQ444" s="55"/>
      <c r="AR444" s="55"/>
      <c r="AS444" s="55"/>
      <c r="AT444" s="55"/>
      <c r="AU444" s="55"/>
      <c r="AV444" s="55"/>
      <c r="AW444" s="55"/>
      <c r="AX444" s="55"/>
      <c r="AY444" s="55"/>
      <c r="AZ444" s="55"/>
      <c r="BA444" s="55"/>
      <c r="BB444" s="55"/>
      <c r="BC444" s="55"/>
      <c r="BD444" s="55"/>
      <c r="BE444" s="55"/>
      <c r="BF444" s="55"/>
      <c r="BG444" s="55"/>
      <c r="BH444" s="55"/>
      <c r="BI444" s="55"/>
      <c r="BJ444" s="55"/>
      <c r="BK444" s="55"/>
      <c r="BL444" s="55"/>
      <c r="BM444" s="55"/>
      <c r="BN444" s="55"/>
      <c r="BO444" s="55"/>
      <c r="BP444" s="55"/>
      <c r="BQ444" s="55"/>
      <c r="BR444" s="55"/>
      <c r="BS444" s="55"/>
      <c r="BT444" s="55"/>
      <c r="BU444" s="55"/>
      <c r="BV444" s="55"/>
      <c r="BW444" s="55"/>
      <c r="BX444" s="55"/>
      <c r="BY444" s="55"/>
      <c r="BZ444" s="55"/>
      <c r="CA444" s="55"/>
      <c r="CB444" s="55"/>
      <c r="CC444" s="55"/>
      <c r="CD444" s="55"/>
      <c r="CE444" s="55"/>
      <c r="CF444" s="55"/>
      <c r="CG444" s="55"/>
      <c r="CH444" s="55"/>
      <c r="CI444" s="55"/>
      <c r="CJ444" s="55"/>
      <c r="CK444" s="55"/>
      <c r="CL444" s="55"/>
      <c r="CM444" s="55"/>
      <c r="CN444" s="55"/>
      <c r="CO444" s="55"/>
      <c r="CP444" s="55"/>
      <c r="CQ444" s="55"/>
      <c r="CR444" s="55"/>
      <c r="CS444" s="55"/>
      <c r="CT444" s="55"/>
      <c r="CU444" s="55"/>
      <c r="CV444" s="55"/>
      <c r="CW444" s="55"/>
      <c r="CX444" s="55"/>
      <c r="CY444" s="55"/>
      <c r="CZ444" s="55"/>
      <c r="DA444" s="55"/>
      <c r="DB444" s="55"/>
      <c r="DC444" s="55"/>
      <c r="DD444" s="55"/>
      <c r="DE444" s="55"/>
      <c r="DF444" s="55"/>
      <c r="DG444" s="55"/>
      <c r="DH444" s="55"/>
      <c r="DI444" s="55"/>
      <c r="DJ444" s="55"/>
    </row>
    <row r="445" spans="1:114" x14ac:dyDescent="0.25">
      <c r="A445" s="127">
        <v>8</v>
      </c>
      <c r="B445" s="79" t="s">
        <v>613</v>
      </c>
      <c r="C445" s="43">
        <v>7000</v>
      </c>
      <c r="D445" s="60">
        <v>349.51</v>
      </c>
      <c r="E445" s="43">
        <v>0</v>
      </c>
      <c r="F445" s="59"/>
      <c r="G445" s="56">
        <f t="shared" si="182"/>
        <v>0</v>
      </c>
      <c r="H445" s="43">
        <f>2164-2164</f>
        <v>0</v>
      </c>
      <c r="I445" s="56">
        <f t="shared" si="183"/>
        <v>0</v>
      </c>
      <c r="J445" s="56">
        <f t="shared" si="184"/>
        <v>0</v>
      </c>
      <c r="K445" s="57">
        <f t="shared" si="185"/>
        <v>0</v>
      </c>
      <c r="L445" s="297"/>
      <c r="M445" s="297"/>
      <c r="N445" s="314">
        <f t="shared" ref="N445:N452" si="186">SUM(O445:DK445)</f>
        <v>0</v>
      </c>
      <c r="O445" s="310"/>
      <c r="P445" s="315"/>
      <c r="Q445" s="315"/>
      <c r="R445" s="315"/>
      <c r="S445" s="315"/>
      <c r="T445" s="55"/>
      <c r="U445" s="55"/>
      <c r="V445" s="55"/>
      <c r="W445" s="55"/>
      <c r="X445" s="55"/>
      <c r="Y445" s="55"/>
      <c r="Z445" s="55"/>
      <c r="AA445" s="55"/>
      <c r="AB445" s="55"/>
      <c r="AC445" s="55"/>
      <c r="AD445" s="55"/>
      <c r="AE445" s="55"/>
      <c r="AF445" s="55"/>
      <c r="AG445" s="55"/>
      <c r="AH445" s="55"/>
      <c r="AI445" s="55"/>
      <c r="AJ445" s="55"/>
      <c r="AK445" s="55"/>
      <c r="AL445" s="55"/>
      <c r="AM445" s="55"/>
      <c r="AN445" s="55"/>
      <c r="AO445" s="55"/>
      <c r="AP445" s="55"/>
      <c r="AQ445" s="55"/>
      <c r="AR445" s="55"/>
      <c r="AS445" s="55"/>
      <c r="AT445" s="55"/>
      <c r="AU445" s="55"/>
      <c r="AV445" s="55"/>
      <c r="AW445" s="55"/>
      <c r="AX445" s="55"/>
      <c r="AY445" s="55"/>
      <c r="AZ445" s="55"/>
      <c r="BA445" s="55"/>
      <c r="BB445" s="55"/>
      <c r="BC445" s="55"/>
      <c r="BD445" s="55"/>
      <c r="BE445" s="55"/>
      <c r="BF445" s="55"/>
      <c r="BG445" s="55"/>
      <c r="BH445" s="55"/>
      <c r="BI445" s="55"/>
      <c r="BJ445" s="55"/>
      <c r="BK445" s="55"/>
      <c r="BL445" s="55"/>
      <c r="BM445" s="55"/>
      <c r="BN445" s="55"/>
      <c r="BO445" s="55"/>
      <c r="BP445" s="55"/>
      <c r="BQ445" s="55"/>
      <c r="BR445" s="55"/>
      <c r="BS445" s="55"/>
      <c r="BT445" s="55"/>
      <c r="BU445" s="55"/>
      <c r="BV445" s="55"/>
      <c r="BW445" s="55"/>
      <c r="BX445" s="55"/>
      <c r="BY445" s="55"/>
      <c r="BZ445" s="55"/>
      <c r="CA445" s="55"/>
      <c r="CB445" s="55"/>
      <c r="CC445" s="55"/>
      <c r="CD445" s="55"/>
      <c r="CE445" s="55"/>
      <c r="CF445" s="55"/>
      <c r="CG445" s="55"/>
      <c r="CH445" s="55"/>
      <c r="CI445" s="55"/>
      <c r="CJ445" s="55"/>
      <c r="CK445" s="55"/>
      <c r="CL445" s="55"/>
      <c r="CM445" s="55"/>
      <c r="CN445" s="55"/>
      <c r="CO445" s="55"/>
      <c r="CP445" s="55"/>
      <c r="CQ445" s="55"/>
      <c r="CR445" s="55"/>
      <c r="CS445" s="55"/>
      <c r="CT445" s="55"/>
      <c r="CU445" s="55"/>
      <c r="CV445" s="55"/>
      <c r="CW445" s="55"/>
      <c r="CX445" s="55"/>
      <c r="CY445" s="55"/>
      <c r="CZ445" s="55"/>
      <c r="DA445" s="55"/>
      <c r="DB445" s="55"/>
      <c r="DC445" s="55"/>
      <c r="DD445" s="55"/>
      <c r="DE445" s="55"/>
      <c r="DF445" s="55"/>
      <c r="DG445" s="55"/>
      <c r="DH445" s="55"/>
      <c r="DI445" s="55"/>
      <c r="DJ445" s="55"/>
    </row>
    <row r="446" spans="1:114" x14ac:dyDescent="0.25">
      <c r="A446" s="127">
        <v>9</v>
      </c>
      <c r="B446" s="60" t="s">
        <v>618</v>
      </c>
      <c r="C446" s="43">
        <v>10000</v>
      </c>
      <c r="D446" s="60">
        <v>503.42</v>
      </c>
      <c r="E446" s="43">
        <v>0</v>
      </c>
      <c r="F446" s="60"/>
      <c r="G446" s="56">
        <f t="shared" si="182"/>
        <v>0</v>
      </c>
      <c r="H446" s="43">
        <f>3000-3000+340-340</f>
        <v>0</v>
      </c>
      <c r="I446" s="56">
        <f t="shared" si="183"/>
        <v>0</v>
      </c>
      <c r="J446" s="56">
        <f t="shared" si="184"/>
        <v>0</v>
      </c>
      <c r="K446" s="57">
        <f t="shared" si="185"/>
        <v>0</v>
      </c>
      <c r="L446" s="297"/>
      <c r="M446" s="297"/>
      <c r="N446" s="314">
        <f t="shared" si="186"/>
        <v>0</v>
      </c>
      <c r="O446" s="310"/>
      <c r="P446" s="315"/>
      <c r="Q446" s="315"/>
      <c r="R446" s="315"/>
      <c r="S446" s="315"/>
      <c r="T446" s="55"/>
      <c r="U446" s="55"/>
      <c r="V446" s="55"/>
      <c r="W446" s="55"/>
      <c r="X446" s="55"/>
      <c r="Y446" s="55"/>
      <c r="Z446" s="55"/>
      <c r="AA446" s="55"/>
      <c r="AB446" s="55"/>
      <c r="AC446" s="55"/>
      <c r="AD446" s="55"/>
      <c r="AE446" s="55"/>
      <c r="AF446" s="55"/>
      <c r="AG446" s="55"/>
      <c r="AH446" s="55"/>
      <c r="AI446" s="55"/>
      <c r="AJ446" s="55"/>
      <c r="AK446" s="55"/>
      <c r="AL446" s="55"/>
      <c r="AM446" s="55"/>
      <c r="AN446" s="55"/>
      <c r="AO446" s="55"/>
      <c r="AP446" s="55"/>
      <c r="AQ446" s="55"/>
      <c r="AR446" s="55"/>
      <c r="AS446" s="55"/>
      <c r="AT446" s="55"/>
      <c r="AU446" s="55"/>
      <c r="AV446" s="55"/>
      <c r="AW446" s="55"/>
      <c r="AX446" s="55"/>
      <c r="AY446" s="55"/>
      <c r="AZ446" s="55"/>
      <c r="BA446" s="55"/>
      <c r="BB446" s="55"/>
      <c r="BC446" s="55"/>
      <c r="BD446" s="55"/>
      <c r="BE446" s="55"/>
      <c r="BF446" s="55"/>
      <c r="BG446" s="55"/>
      <c r="BH446" s="55"/>
      <c r="BI446" s="55"/>
      <c r="BJ446" s="55"/>
      <c r="BK446" s="55"/>
      <c r="BL446" s="55"/>
      <c r="BM446" s="55"/>
      <c r="BN446" s="55"/>
      <c r="BO446" s="55"/>
      <c r="BP446" s="55"/>
      <c r="BQ446" s="55"/>
      <c r="BR446" s="55"/>
      <c r="BS446" s="55"/>
      <c r="BT446" s="55"/>
      <c r="BU446" s="55"/>
      <c r="BV446" s="55"/>
      <c r="BW446" s="55"/>
      <c r="BX446" s="55"/>
      <c r="BY446" s="55"/>
      <c r="BZ446" s="55"/>
      <c r="CA446" s="55"/>
      <c r="CB446" s="55"/>
      <c r="CC446" s="55"/>
      <c r="CD446" s="55"/>
      <c r="CE446" s="55"/>
      <c r="CF446" s="55"/>
      <c r="CG446" s="55"/>
      <c r="CH446" s="55"/>
      <c r="CI446" s="55"/>
      <c r="CJ446" s="55"/>
      <c r="CK446" s="55"/>
      <c r="CL446" s="55"/>
      <c r="CM446" s="55"/>
      <c r="CN446" s="55"/>
      <c r="CO446" s="55"/>
      <c r="CP446" s="55"/>
      <c r="CQ446" s="55"/>
      <c r="CR446" s="55"/>
      <c r="CS446" s="55"/>
      <c r="CT446" s="55"/>
      <c r="CU446" s="55"/>
      <c r="CV446" s="55"/>
      <c r="CW446" s="55"/>
      <c r="CX446" s="55"/>
      <c r="CY446" s="55"/>
      <c r="CZ446" s="55"/>
      <c r="DA446" s="55"/>
      <c r="DB446" s="55"/>
      <c r="DC446" s="55"/>
      <c r="DD446" s="55"/>
      <c r="DE446" s="55"/>
      <c r="DF446" s="55"/>
      <c r="DG446" s="55"/>
      <c r="DH446" s="55"/>
      <c r="DI446" s="55"/>
      <c r="DJ446" s="55"/>
    </row>
    <row r="447" spans="1:114" x14ac:dyDescent="0.25">
      <c r="A447" s="127">
        <v>10</v>
      </c>
      <c r="B447" s="60" t="s">
        <v>619</v>
      </c>
      <c r="C447" s="43">
        <v>6000</v>
      </c>
      <c r="D447" s="60">
        <v>475.12</v>
      </c>
      <c r="E447" s="43">
        <v>0</v>
      </c>
      <c r="F447" s="60"/>
      <c r="G447" s="56">
        <f t="shared" si="182"/>
        <v>0</v>
      </c>
      <c r="H447" s="43">
        <f>1800-1800+90-90+610-610</f>
        <v>0</v>
      </c>
      <c r="I447" s="56">
        <f t="shared" si="183"/>
        <v>0</v>
      </c>
      <c r="J447" s="56">
        <f t="shared" si="184"/>
        <v>0</v>
      </c>
      <c r="K447" s="57">
        <f t="shared" si="185"/>
        <v>0</v>
      </c>
      <c r="L447" s="297"/>
      <c r="M447" s="297"/>
      <c r="N447" s="314">
        <f t="shared" si="186"/>
        <v>0</v>
      </c>
      <c r="O447" s="310"/>
      <c r="P447" s="315"/>
      <c r="Q447" s="315"/>
      <c r="R447" s="315"/>
      <c r="S447" s="315"/>
      <c r="T447" s="55"/>
      <c r="U447" s="55"/>
      <c r="V447" s="55"/>
      <c r="W447" s="55"/>
      <c r="X447" s="55"/>
      <c r="Y447" s="55"/>
      <c r="Z447" s="55"/>
      <c r="AA447" s="55"/>
      <c r="AB447" s="55"/>
      <c r="AC447" s="55"/>
      <c r="AD447" s="55"/>
      <c r="AE447" s="55"/>
      <c r="AF447" s="55"/>
      <c r="AG447" s="55"/>
      <c r="AH447" s="55"/>
      <c r="AI447" s="55"/>
      <c r="AJ447" s="55"/>
      <c r="AK447" s="55"/>
      <c r="AL447" s="55"/>
      <c r="AM447" s="55"/>
      <c r="AN447" s="55"/>
      <c r="AO447" s="55"/>
      <c r="AP447" s="55"/>
      <c r="AQ447" s="55"/>
      <c r="AR447" s="55"/>
      <c r="AS447" s="55"/>
      <c r="AT447" s="55"/>
      <c r="AU447" s="55"/>
      <c r="AV447" s="55"/>
      <c r="AW447" s="55"/>
      <c r="AX447" s="55"/>
      <c r="AY447" s="55"/>
      <c r="AZ447" s="55"/>
      <c r="BA447" s="55"/>
      <c r="BB447" s="55"/>
      <c r="BC447" s="55"/>
      <c r="BD447" s="55"/>
      <c r="BE447" s="55"/>
      <c r="BF447" s="55"/>
      <c r="BG447" s="55"/>
      <c r="BH447" s="55"/>
      <c r="BI447" s="55"/>
      <c r="BJ447" s="55"/>
      <c r="BK447" s="55"/>
      <c r="BL447" s="55"/>
      <c r="BM447" s="55"/>
      <c r="BN447" s="55"/>
      <c r="BO447" s="55"/>
      <c r="BP447" s="55"/>
      <c r="BQ447" s="55"/>
      <c r="BR447" s="55"/>
      <c r="BS447" s="55"/>
      <c r="BT447" s="55"/>
      <c r="BU447" s="55"/>
      <c r="BV447" s="55"/>
      <c r="BW447" s="55"/>
      <c r="BX447" s="55"/>
      <c r="BY447" s="55"/>
      <c r="BZ447" s="55"/>
      <c r="CA447" s="55"/>
      <c r="CB447" s="55"/>
      <c r="CC447" s="55"/>
      <c r="CD447" s="55"/>
      <c r="CE447" s="55"/>
      <c r="CF447" s="55"/>
      <c r="CG447" s="55"/>
      <c r="CH447" s="55"/>
      <c r="CI447" s="55"/>
      <c r="CJ447" s="55"/>
      <c r="CK447" s="55"/>
      <c r="CL447" s="55"/>
      <c r="CM447" s="55"/>
      <c r="CN447" s="55"/>
      <c r="CO447" s="55"/>
      <c r="CP447" s="55"/>
      <c r="CQ447" s="55"/>
      <c r="CR447" s="55"/>
      <c r="CS447" s="55"/>
      <c r="CT447" s="55"/>
      <c r="CU447" s="55"/>
      <c r="CV447" s="55"/>
      <c r="CW447" s="55"/>
      <c r="CX447" s="55"/>
      <c r="CY447" s="55"/>
      <c r="CZ447" s="55"/>
      <c r="DA447" s="55"/>
      <c r="DB447" s="55"/>
      <c r="DC447" s="55"/>
      <c r="DD447" s="55"/>
      <c r="DE447" s="55"/>
      <c r="DF447" s="55"/>
      <c r="DG447" s="55"/>
      <c r="DH447" s="55"/>
      <c r="DI447" s="55"/>
      <c r="DJ447" s="55"/>
    </row>
    <row r="448" spans="1:114" x14ac:dyDescent="0.25">
      <c r="A448" s="127">
        <v>11</v>
      </c>
      <c r="B448" s="60" t="s">
        <v>629</v>
      </c>
      <c r="C448" s="43">
        <v>6000</v>
      </c>
      <c r="D448" s="60">
        <v>475.12</v>
      </c>
      <c r="E448" s="43">
        <v>0</v>
      </c>
      <c r="F448" s="60"/>
      <c r="G448" s="56">
        <f t="shared" si="182"/>
        <v>0</v>
      </c>
      <c r="H448" s="43">
        <f>30+60-60-30+594-594</f>
        <v>0</v>
      </c>
      <c r="I448" s="56">
        <f t="shared" si="183"/>
        <v>0</v>
      </c>
      <c r="J448" s="56">
        <f t="shared" si="184"/>
        <v>0</v>
      </c>
      <c r="K448" s="57">
        <f t="shared" si="185"/>
        <v>0</v>
      </c>
      <c r="L448" s="297"/>
      <c r="M448" s="297"/>
      <c r="N448" s="314">
        <f t="shared" si="186"/>
        <v>0</v>
      </c>
      <c r="O448" s="310"/>
      <c r="P448" s="315"/>
      <c r="Q448" s="315"/>
      <c r="R448" s="315"/>
      <c r="S448" s="315"/>
      <c r="T448" s="55"/>
      <c r="U448" s="55"/>
      <c r="V448" s="55"/>
      <c r="W448" s="55"/>
      <c r="X448" s="55"/>
      <c r="Y448" s="55"/>
      <c r="Z448" s="55"/>
      <c r="AA448" s="55"/>
      <c r="AB448" s="55"/>
      <c r="AC448" s="55"/>
      <c r="AD448" s="55"/>
      <c r="AE448" s="55"/>
      <c r="AF448" s="55"/>
      <c r="AG448" s="55"/>
      <c r="AH448" s="55"/>
      <c r="AI448" s="55"/>
      <c r="AJ448" s="55"/>
      <c r="AK448" s="55"/>
      <c r="AL448" s="55"/>
      <c r="AM448" s="55"/>
      <c r="AN448" s="55"/>
      <c r="AO448" s="55"/>
      <c r="AP448" s="55"/>
      <c r="AQ448" s="55"/>
      <c r="AR448" s="55"/>
      <c r="AS448" s="55"/>
      <c r="AT448" s="55"/>
      <c r="AU448" s="55"/>
      <c r="AV448" s="55"/>
      <c r="AW448" s="55"/>
      <c r="AX448" s="55"/>
      <c r="AY448" s="55"/>
      <c r="AZ448" s="55"/>
      <c r="BA448" s="55"/>
      <c r="BB448" s="55"/>
      <c r="BC448" s="55"/>
      <c r="BD448" s="55"/>
      <c r="BE448" s="55"/>
      <c r="BF448" s="55"/>
      <c r="BG448" s="55"/>
      <c r="BH448" s="55"/>
      <c r="BI448" s="55"/>
      <c r="BJ448" s="55"/>
      <c r="BK448" s="55"/>
      <c r="BL448" s="55"/>
      <c r="BM448" s="55"/>
      <c r="BN448" s="55"/>
      <c r="BO448" s="55"/>
      <c r="BP448" s="55"/>
      <c r="BQ448" s="55"/>
      <c r="BR448" s="55"/>
      <c r="BS448" s="55"/>
      <c r="BT448" s="55"/>
      <c r="BU448" s="55"/>
      <c r="BV448" s="55"/>
      <c r="BW448" s="55"/>
      <c r="BX448" s="55"/>
      <c r="BY448" s="55"/>
      <c r="BZ448" s="55"/>
      <c r="CA448" s="55"/>
      <c r="CB448" s="55"/>
      <c r="CC448" s="55"/>
      <c r="CD448" s="55"/>
      <c r="CE448" s="55"/>
      <c r="CF448" s="55"/>
      <c r="CG448" s="55"/>
      <c r="CH448" s="55"/>
      <c r="CI448" s="55"/>
      <c r="CJ448" s="55"/>
      <c r="CK448" s="55"/>
      <c r="CL448" s="55"/>
      <c r="CM448" s="55"/>
      <c r="CN448" s="55"/>
      <c r="CO448" s="55"/>
      <c r="CP448" s="55"/>
      <c r="CQ448" s="55"/>
      <c r="CR448" s="55"/>
      <c r="CS448" s="55"/>
      <c r="CT448" s="55"/>
      <c r="CU448" s="55"/>
      <c r="CV448" s="55"/>
      <c r="CW448" s="55"/>
      <c r="CX448" s="55"/>
      <c r="CY448" s="55"/>
      <c r="CZ448" s="55"/>
      <c r="DA448" s="55"/>
      <c r="DB448" s="55"/>
      <c r="DC448" s="55"/>
      <c r="DD448" s="55"/>
      <c r="DE448" s="55"/>
      <c r="DF448" s="55"/>
      <c r="DG448" s="55"/>
      <c r="DH448" s="55"/>
      <c r="DI448" s="55"/>
      <c r="DJ448" s="55"/>
    </row>
    <row r="449" spans="1:114" x14ac:dyDescent="0.25">
      <c r="A449" s="127">
        <v>12</v>
      </c>
      <c r="B449" s="60" t="s">
        <v>636</v>
      </c>
      <c r="C449" s="43">
        <v>3000</v>
      </c>
      <c r="D449" s="60">
        <v>239.2</v>
      </c>
      <c r="E449" s="43">
        <v>0</v>
      </c>
      <c r="F449" s="102"/>
      <c r="G449" s="56">
        <f t="shared" si="182"/>
        <v>0</v>
      </c>
      <c r="H449" s="43">
        <f>1200-1200</f>
        <v>0</v>
      </c>
      <c r="I449" s="56">
        <f t="shared" si="183"/>
        <v>0</v>
      </c>
      <c r="J449" s="56">
        <f t="shared" si="184"/>
        <v>0</v>
      </c>
      <c r="K449" s="57">
        <f t="shared" si="185"/>
        <v>0</v>
      </c>
      <c r="L449" s="297"/>
      <c r="M449" s="297"/>
      <c r="N449" s="314">
        <f t="shared" si="186"/>
        <v>0</v>
      </c>
      <c r="O449" s="310"/>
      <c r="P449" s="315"/>
      <c r="Q449" s="315"/>
      <c r="R449" s="315"/>
      <c r="S449" s="315"/>
      <c r="T449" s="55"/>
      <c r="U449" s="55"/>
      <c r="V449" s="55"/>
      <c r="W449" s="55"/>
      <c r="X449" s="55"/>
      <c r="Y449" s="55"/>
      <c r="Z449" s="55"/>
      <c r="AA449" s="55"/>
      <c r="AB449" s="55"/>
      <c r="AC449" s="55"/>
      <c r="AD449" s="55"/>
      <c r="AE449" s="55"/>
      <c r="AF449" s="55"/>
      <c r="AG449" s="55"/>
      <c r="AH449" s="55"/>
      <c r="AI449" s="55"/>
      <c r="AJ449" s="55"/>
      <c r="AK449" s="55"/>
      <c r="AL449" s="55"/>
      <c r="AM449" s="55"/>
      <c r="AN449" s="55"/>
      <c r="AO449" s="55"/>
      <c r="AP449" s="55"/>
      <c r="AQ449" s="55"/>
      <c r="AR449" s="55"/>
      <c r="AS449" s="55"/>
      <c r="AT449" s="55"/>
      <c r="AU449" s="55"/>
      <c r="AV449" s="55"/>
      <c r="AW449" s="55"/>
      <c r="AX449" s="55"/>
      <c r="AY449" s="55"/>
      <c r="AZ449" s="55"/>
      <c r="BA449" s="55"/>
      <c r="BB449" s="55"/>
      <c r="BC449" s="55"/>
      <c r="BD449" s="55"/>
      <c r="BE449" s="55"/>
      <c r="BF449" s="55"/>
      <c r="BG449" s="55"/>
      <c r="BH449" s="55"/>
      <c r="BI449" s="55"/>
      <c r="BJ449" s="55"/>
      <c r="BK449" s="55"/>
      <c r="BL449" s="55"/>
      <c r="BM449" s="55"/>
      <c r="BN449" s="55"/>
      <c r="BO449" s="55"/>
      <c r="BP449" s="55"/>
      <c r="BQ449" s="55"/>
      <c r="BR449" s="55"/>
      <c r="BS449" s="55"/>
      <c r="BT449" s="55"/>
      <c r="BU449" s="55"/>
      <c r="BV449" s="55"/>
      <c r="BW449" s="55"/>
      <c r="BX449" s="55"/>
      <c r="BY449" s="55"/>
      <c r="BZ449" s="55"/>
      <c r="CA449" s="55"/>
      <c r="CB449" s="55"/>
      <c r="CC449" s="55"/>
      <c r="CD449" s="55"/>
      <c r="CE449" s="55"/>
      <c r="CF449" s="55"/>
      <c r="CG449" s="55"/>
      <c r="CH449" s="55"/>
      <c r="CI449" s="55"/>
      <c r="CJ449" s="55"/>
      <c r="CK449" s="55"/>
      <c r="CL449" s="55"/>
      <c r="CM449" s="55"/>
      <c r="CN449" s="55"/>
      <c r="CO449" s="55"/>
      <c r="CP449" s="55"/>
      <c r="CQ449" s="55"/>
      <c r="CR449" s="55"/>
      <c r="CS449" s="55"/>
      <c r="CT449" s="55"/>
      <c r="CU449" s="55"/>
      <c r="CV449" s="55"/>
      <c r="CW449" s="55"/>
      <c r="CX449" s="55"/>
      <c r="CY449" s="55"/>
      <c r="CZ449" s="55"/>
      <c r="DA449" s="55"/>
      <c r="DB449" s="55"/>
      <c r="DC449" s="55"/>
      <c r="DD449" s="55"/>
      <c r="DE449" s="55"/>
      <c r="DF449" s="55"/>
      <c r="DG449" s="55"/>
      <c r="DH449" s="55"/>
      <c r="DI449" s="55"/>
      <c r="DJ449" s="55"/>
    </row>
    <row r="450" spans="1:114" x14ac:dyDescent="0.25">
      <c r="A450" s="127">
        <v>13</v>
      </c>
      <c r="B450" s="79" t="s">
        <v>637</v>
      </c>
      <c r="C450" s="43">
        <v>9000</v>
      </c>
      <c r="D450" s="60">
        <v>529.14</v>
      </c>
      <c r="E450" s="43">
        <v>0</v>
      </c>
      <c r="F450" s="59"/>
      <c r="G450" s="56">
        <f t="shared" si="182"/>
        <v>0</v>
      </c>
      <c r="H450" s="43">
        <f>600-600</f>
        <v>0</v>
      </c>
      <c r="I450" s="56">
        <f t="shared" si="183"/>
        <v>0</v>
      </c>
      <c r="J450" s="56">
        <f t="shared" si="184"/>
        <v>0</v>
      </c>
      <c r="K450" s="57">
        <f t="shared" si="185"/>
        <v>0</v>
      </c>
      <c r="L450" s="297"/>
      <c r="M450" s="297"/>
      <c r="N450" s="314">
        <f t="shared" si="186"/>
        <v>0</v>
      </c>
      <c r="O450" s="310"/>
      <c r="P450" s="315"/>
      <c r="Q450" s="315"/>
      <c r="R450" s="315"/>
      <c r="S450" s="315"/>
      <c r="T450" s="55"/>
      <c r="U450" s="55"/>
      <c r="V450" s="55"/>
      <c r="W450" s="55"/>
      <c r="X450" s="55"/>
      <c r="Y450" s="55"/>
      <c r="Z450" s="55"/>
      <c r="AA450" s="55"/>
      <c r="AB450" s="55"/>
      <c r="AC450" s="55"/>
      <c r="AD450" s="55"/>
      <c r="AE450" s="55"/>
      <c r="AF450" s="55"/>
      <c r="AG450" s="55"/>
      <c r="AH450" s="55"/>
      <c r="AI450" s="55"/>
      <c r="AJ450" s="55"/>
      <c r="AK450" s="55"/>
      <c r="AL450" s="55"/>
      <c r="AM450" s="55"/>
      <c r="AN450" s="55"/>
      <c r="AO450" s="55"/>
      <c r="AP450" s="55"/>
      <c r="AQ450" s="55"/>
      <c r="AR450" s="55"/>
      <c r="AS450" s="55"/>
      <c r="AT450" s="55"/>
      <c r="AU450" s="55"/>
      <c r="AV450" s="55"/>
      <c r="AW450" s="55"/>
      <c r="AX450" s="55"/>
      <c r="AY450" s="55"/>
      <c r="AZ450" s="55"/>
      <c r="BA450" s="55"/>
      <c r="BB450" s="55"/>
      <c r="BC450" s="55"/>
      <c r="BD450" s="55"/>
      <c r="BE450" s="55"/>
      <c r="BF450" s="55"/>
      <c r="BG450" s="55"/>
      <c r="BH450" s="55"/>
      <c r="BI450" s="55"/>
      <c r="BJ450" s="55"/>
      <c r="BK450" s="55"/>
      <c r="BL450" s="55"/>
      <c r="BM450" s="55"/>
      <c r="BN450" s="55"/>
      <c r="BO450" s="55"/>
      <c r="BP450" s="55"/>
      <c r="BQ450" s="55"/>
      <c r="BR450" s="55"/>
      <c r="BS450" s="55"/>
      <c r="BT450" s="55"/>
      <c r="BU450" s="55"/>
      <c r="BV450" s="55"/>
      <c r="BW450" s="55"/>
      <c r="BX450" s="55"/>
      <c r="BY450" s="55"/>
      <c r="BZ450" s="55"/>
      <c r="CA450" s="55"/>
      <c r="CB450" s="55"/>
      <c r="CC450" s="55"/>
      <c r="CD450" s="55"/>
      <c r="CE450" s="55"/>
      <c r="CF450" s="55"/>
      <c r="CG450" s="55"/>
      <c r="CH450" s="55"/>
      <c r="CI450" s="55"/>
      <c r="CJ450" s="55"/>
      <c r="CK450" s="55"/>
      <c r="CL450" s="55"/>
      <c r="CM450" s="55"/>
      <c r="CN450" s="55"/>
      <c r="CO450" s="55"/>
      <c r="CP450" s="55"/>
      <c r="CQ450" s="55"/>
      <c r="CR450" s="55"/>
      <c r="CS450" s="55"/>
      <c r="CT450" s="55"/>
      <c r="CU450" s="55"/>
      <c r="CV450" s="55"/>
      <c r="CW450" s="55"/>
      <c r="CX450" s="55"/>
      <c r="CY450" s="55"/>
      <c r="CZ450" s="55"/>
      <c r="DA450" s="55"/>
      <c r="DB450" s="55"/>
      <c r="DC450" s="55"/>
      <c r="DD450" s="55"/>
      <c r="DE450" s="55"/>
      <c r="DF450" s="55"/>
      <c r="DG450" s="55"/>
      <c r="DH450" s="55"/>
      <c r="DI450" s="55"/>
      <c r="DJ450" s="55"/>
    </row>
    <row r="451" spans="1:114" ht="15.75" thickBot="1" x14ac:dyDescent="0.3">
      <c r="A451" s="127">
        <v>14</v>
      </c>
      <c r="B451" s="121" t="s">
        <v>642</v>
      </c>
      <c r="C451" s="122">
        <v>6000</v>
      </c>
      <c r="D451" s="121">
        <v>296</v>
      </c>
      <c r="E451" s="122">
        <v>0</v>
      </c>
      <c r="F451" s="121"/>
      <c r="G451" s="109">
        <f t="shared" si="182"/>
        <v>0</v>
      </c>
      <c r="H451" s="122">
        <f>1700-1700</f>
        <v>0</v>
      </c>
      <c r="I451" s="109">
        <f t="shared" si="183"/>
        <v>0</v>
      </c>
      <c r="J451" s="109">
        <f t="shared" si="184"/>
        <v>0</v>
      </c>
      <c r="K451" s="110">
        <f t="shared" si="185"/>
        <v>0</v>
      </c>
      <c r="L451" s="297"/>
      <c r="M451" s="297"/>
      <c r="N451" s="321">
        <f t="shared" si="186"/>
        <v>0</v>
      </c>
      <c r="O451" s="312"/>
      <c r="P451" s="318"/>
      <c r="Q451" s="318"/>
      <c r="R451" s="318"/>
      <c r="S451" s="318"/>
      <c r="T451" s="108"/>
      <c r="U451" s="108"/>
      <c r="V451" s="108"/>
      <c r="W451" s="108"/>
      <c r="X451" s="108"/>
      <c r="Y451" s="108"/>
      <c r="Z451" s="108"/>
      <c r="AA451" s="108"/>
      <c r="AB451" s="108"/>
      <c r="AC451" s="108"/>
      <c r="AD451" s="108"/>
      <c r="AE451" s="108"/>
      <c r="AF451" s="108"/>
      <c r="AG451" s="108"/>
      <c r="AH451" s="108"/>
      <c r="AI451" s="108"/>
      <c r="AJ451" s="108"/>
      <c r="AK451" s="108"/>
      <c r="AL451" s="108"/>
      <c r="AM451" s="108"/>
      <c r="AN451" s="108"/>
      <c r="AO451" s="108"/>
      <c r="AP451" s="108"/>
      <c r="AQ451" s="108"/>
      <c r="AR451" s="108"/>
      <c r="AS451" s="108"/>
      <c r="AT451" s="108"/>
      <c r="AU451" s="108"/>
      <c r="AV451" s="108"/>
      <c r="AW451" s="108"/>
      <c r="AX451" s="108"/>
      <c r="AY451" s="108"/>
      <c r="AZ451" s="108"/>
      <c r="BA451" s="108"/>
      <c r="BB451" s="108"/>
      <c r="BC451" s="108"/>
      <c r="BD451" s="108"/>
      <c r="BE451" s="108"/>
      <c r="BF451" s="108"/>
      <c r="BG451" s="108"/>
      <c r="BH451" s="108"/>
      <c r="BI451" s="108"/>
      <c r="BJ451" s="108"/>
      <c r="BK451" s="108"/>
      <c r="BL451" s="108"/>
      <c r="BM451" s="108"/>
      <c r="BN451" s="108"/>
      <c r="BO451" s="108"/>
      <c r="BP451" s="108"/>
      <c r="BQ451" s="108"/>
      <c r="BR451" s="108"/>
      <c r="BS451" s="108"/>
      <c r="BT451" s="108"/>
      <c r="BU451" s="108"/>
      <c r="BV451" s="108"/>
      <c r="BW451" s="108"/>
      <c r="BX451" s="108"/>
      <c r="BY451" s="108"/>
      <c r="BZ451" s="108"/>
      <c r="CA451" s="108"/>
      <c r="CB451" s="108"/>
      <c r="CC451" s="108"/>
      <c r="CD451" s="108"/>
      <c r="CE451" s="108"/>
      <c r="CF451" s="108"/>
      <c r="CG451" s="108"/>
      <c r="CH451" s="108"/>
      <c r="CI451" s="108"/>
      <c r="CJ451" s="108"/>
      <c r="CK451" s="108"/>
      <c r="CL451" s="108"/>
      <c r="CM451" s="108"/>
      <c r="CN451" s="108"/>
      <c r="CO451" s="108"/>
      <c r="CP451" s="108"/>
      <c r="CQ451" s="108"/>
      <c r="CR451" s="108"/>
      <c r="CS451" s="108"/>
      <c r="CT451" s="108"/>
      <c r="CU451" s="108"/>
      <c r="CV451" s="108"/>
      <c r="CW451" s="108"/>
      <c r="CX451" s="108"/>
      <c r="CY451" s="108"/>
      <c r="CZ451" s="108"/>
      <c r="DA451" s="108"/>
      <c r="DB451" s="108"/>
      <c r="DC451" s="108"/>
      <c r="DD451" s="108"/>
      <c r="DE451" s="108"/>
      <c r="DF451" s="108"/>
      <c r="DG451" s="108"/>
      <c r="DH451" s="108"/>
      <c r="DI451" s="108"/>
      <c r="DJ451" s="108"/>
    </row>
    <row r="452" spans="1:114" ht="15.75" thickBot="1" x14ac:dyDescent="0.3">
      <c r="A452" s="37"/>
      <c r="B452" s="41" t="s">
        <v>688</v>
      </c>
      <c r="C452" s="36"/>
      <c r="D452" s="36"/>
      <c r="E452" s="35">
        <f t="shared" ref="E452:K452" si="187">SUM(E438:E451)</f>
        <v>11229</v>
      </c>
      <c r="F452" s="35">
        <f t="shared" si="187"/>
        <v>0</v>
      </c>
      <c r="G452" s="35">
        <f t="shared" si="187"/>
        <v>11229</v>
      </c>
      <c r="H452" s="35">
        <f t="shared" si="187"/>
        <v>0</v>
      </c>
      <c r="I452" s="35">
        <f t="shared" si="187"/>
        <v>11229</v>
      </c>
      <c r="J452" s="35">
        <f t="shared" si="187"/>
        <v>179664000</v>
      </c>
      <c r="K452" s="198">
        <f t="shared" si="187"/>
        <v>3319067.82</v>
      </c>
      <c r="L452" s="297"/>
      <c r="M452" s="297"/>
      <c r="N452" s="322">
        <f t="shared" si="186"/>
        <v>0</v>
      </c>
      <c r="O452" s="325"/>
      <c r="P452" s="325"/>
      <c r="Q452" s="325"/>
      <c r="R452" s="325"/>
      <c r="S452" s="325"/>
      <c r="T452" s="324"/>
      <c r="U452" s="324"/>
      <c r="V452" s="324"/>
      <c r="W452" s="324"/>
      <c r="X452" s="324"/>
      <c r="Y452" s="324"/>
      <c r="Z452" s="324"/>
      <c r="AA452" s="324"/>
      <c r="AB452" s="324"/>
      <c r="AC452" s="324"/>
      <c r="AD452" s="324"/>
      <c r="AE452" s="324"/>
      <c r="AF452" s="324"/>
      <c r="AG452" s="324"/>
      <c r="AH452" s="324"/>
      <c r="AI452" s="324"/>
      <c r="AJ452" s="324"/>
      <c r="AK452" s="324"/>
      <c r="AL452" s="324"/>
      <c r="AM452" s="324"/>
      <c r="AN452" s="324"/>
      <c r="AO452" s="324"/>
      <c r="AP452" s="324"/>
      <c r="AQ452" s="324"/>
      <c r="AR452" s="324"/>
      <c r="AS452" s="324"/>
      <c r="AT452" s="324"/>
      <c r="AU452" s="324"/>
      <c r="AV452" s="324"/>
      <c r="AW452" s="324"/>
      <c r="AX452" s="324"/>
      <c r="AY452" s="324"/>
      <c r="AZ452" s="324"/>
      <c r="BA452" s="324"/>
      <c r="BB452" s="324"/>
      <c r="BC452" s="324"/>
      <c r="BD452" s="324"/>
      <c r="BE452" s="324"/>
      <c r="BF452" s="324"/>
      <c r="BG452" s="324"/>
      <c r="BH452" s="324"/>
      <c r="BI452" s="324"/>
      <c r="BJ452" s="324"/>
      <c r="BK452" s="324"/>
      <c r="BL452" s="324"/>
      <c r="BM452" s="324"/>
      <c r="BN452" s="324"/>
      <c r="BO452" s="324"/>
      <c r="BP452" s="324"/>
      <c r="BQ452" s="324"/>
      <c r="BR452" s="324"/>
      <c r="BS452" s="324"/>
      <c r="BT452" s="324"/>
      <c r="BU452" s="324"/>
      <c r="BV452" s="324"/>
      <c r="BW452" s="324"/>
      <c r="BX452" s="324"/>
      <c r="BY452" s="324"/>
      <c r="BZ452" s="324"/>
      <c r="CA452" s="324"/>
      <c r="CB452" s="324"/>
      <c r="CC452" s="324"/>
      <c r="CD452" s="324"/>
      <c r="CE452" s="324"/>
      <c r="CF452" s="324"/>
      <c r="CG452" s="324"/>
      <c r="CH452" s="324"/>
      <c r="CI452" s="324"/>
      <c r="CJ452" s="324"/>
      <c r="CK452" s="324"/>
      <c r="CL452" s="324"/>
      <c r="CM452" s="324"/>
      <c r="CN452" s="324"/>
      <c r="CO452" s="324"/>
      <c r="CP452" s="324"/>
      <c r="CQ452" s="324"/>
      <c r="CR452" s="324"/>
      <c r="CS452" s="324"/>
      <c r="CT452" s="324"/>
      <c r="CU452" s="324"/>
      <c r="CV452" s="324"/>
      <c r="CW452" s="324"/>
      <c r="CX452" s="324"/>
      <c r="CY452" s="324"/>
      <c r="CZ452" s="324"/>
      <c r="DA452" s="324"/>
      <c r="DB452" s="324"/>
      <c r="DC452" s="324"/>
      <c r="DD452" s="324"/>
      <c r="DE452" s="324"/>
      <c r="DF452" s="324"/>
      <c r="DG452" s="324"/>
      <c r="DH452" s="324"/>
      <c r="DI452" s="324"/>
      <c r="DJ452" s="324"/>
    </row>
    <row r="453" spans="1:114" ht="15.75" thickBot="1" x14ac:dyDescent="0.3">
      <c r="E453" s="26"/>
      <c r="F453" s="26"/>
      <c r="G453" s="26"/>
      <c r="H453" s="26"/>
      <c r="I453" s="26"/>
      <c r="J453" s="26"/>
      <c r="K453" s="51"/>
      <c r="L453" s="301"/>
      <c r="M453" s="301"/>
      <c r="N453" s="295"/>
      <c r="O453" s="234"/>
      <c r="P453" s="234"/>
      <c r="Q453" s="234"/>
      <c r="R453" s="234"/>
      <c r="S453" s="234"/>
      <c r="T453" s="67"/>
      <c r="U453" s="67"/>
      <c r="V453" s="67"/>
    </row>
    <row r="454" spans="1:114" ht="15.75" thickBot="1" x14ac:dyDescent="0.3">
      <c r="A454" s="407" t="s">
        <v>657</v>
      </c>
      <c r="B454" s="414" t="s">
        <v>0</v>
      </c>
      <c r="C454" s="414" t="s">
        <v>1</v>
      </c>
      <c r="D454" s="415" t="s">
        <v>649</v>
      </c>
      <c r="E454" s="416" t="s">
        <v>19</v>
      </c>
      <c r="F454" s="416"/>
      <c r="G454" s="416"/>
      <c r="H454" s="416"/>
      <c r="I454" s="416"/>
      <c r="J454" s="410" t="s">
        <v>21</v>
      </c>
      <c r="K454" s="412" t="s">
        <v>602</v>
      </c>
      <c r="L454" s="295"/>
      <c r="M454" s="295"/>
      <c r="N454" s="403" t="s">
        <v>601</v>
      </c>
      <c r="O454" s="403" t="s">
        <v>924</v>
      </c>
      <c r="P454" s="403"/>
      <c r="Q454" s="403"/>
      <c r="R454" s="403"/>
      <c r="S454" s="403"/>
      <c r="T454" s="403"/>
      <c r="U454" s="403"/>
      <c r="V454" s="403"/>
      <c r="W454" s="403"/>
      <c r="X454" s="403"/>
      <c r="Y454" s="403"/>
      <c r="Z454" s="403"/>
      <c r="AA454" s="403"/>
      <c r="AB454" s="403"/>
      <c r="AC454" s="403"/>
      <c r="AD454" s="403"/>
      <c r="AE454" s="403"/>
      <c r="AF454" s="403"/>
      <c r="AG454" s="403"/>
      <c r="AH454" s="403"/>
      <c r="AI454" s="403"/>
      <c r="AJ454" s="403"/>
      <c r="AK454" s="403"/>
      <c r="AL454" s="403"/>
      <c r="AM454" s="403"/>
      <c r="AN454" s="403"/>
      <c r="AO454" s="403"/>
      <c r="AP454" s="403"/>
      <c r="AQ454" s="403"/>
      <c r="AR454" s="403"/>
      <c r="AS454" s="403"/>
      <c r="AT454" s="403"/>
      <c r="AU454" s="403"/>
      <c r="AV454" s="403"/>
      <c r="AW454" s="403"/>
      <c r="AX454" s="403"/>
      <c r="AY454" s="403"/>
      <c r="AZ454" s="403"/>
      <c r="BA454" s="403"/>
      <c r="BB454" s="403"/>
      <c r="BC454" s="403"/>
      <c r="BD454" s="403"/>
      <c r="BE454" s="403"/>
      <c r="BF454" s="403"/>
      <c r="BG454" s="403"/>
      <c r="BH454" s="403"/>
      <c r="BI454" s="403"/>
      <c r="BJ454" s="403"/>
      <c r="BK454" s="403"/>
      <c r="BL454" s="403"/>
      <c r="BM454" s="403"/>
      <c r="BN454" s="403"/>
      <c r="BO454" s="403"/>
      <c r="BP454" s="403"/>
      <c r="BQ454" s="403"/>
      <c r="BR454" s="403"/>
      <c r="BS454" s="403"/>
      <c r="BT454" s="403"/>
      <c r="BU454" s="403"/>
      <c r="BV454" s="403"/>
      <c r="BW454" s="403"/>
      <c r="BX454" s="403"/>
      <c r="BY454" s="403"/>
      <c r="BZ454" s="403"/>
      <c r="CA454" s="403"/>
      <c r="CB454" s="403"/>
      <c r="CC454" s="403"/>
      <c r="CD454" s="403"/>
      <c r="CE454" s="403"/>
      <c r="CF454" s="403"/>
      <c r="CG454" s="403"/>
      <c r="CH454" s="403"/>
      <c r="CI454" s="403"/>
      <c r="CJ454" s="403"/>
      <c r="CK454" s="403"/>
      <c r="CL454" s="403"/>
      <c r="CM454" s="403"/>
      <c r="CN454" s="403"/>
      <c r="CO454" s="403"/>
      <c r="CP454" s="403"/>
      <c r="CQ454" s="403"/>
      <c r="CR454" s="403"/>
      <c r="CS454" s="403"/>
      <c r="CT454" s="403"/>
      <c r="CU454" s="403"/>
      <c r="CV454" s="403"/>
      <c r="CW454" s="403"/>
      <c r="CX454" s="403"/>
      <c r="CY454" s="403"/>
      <c r="CZ454" s="403"/>
      <c r="DA454" s="403"/>
      <c r="DB454" s="403"/>
      <c r="DC454" s="403"/>
      <c r="DD454" s="403"/>
      <c r="DE454" s="403"/>
      <c r="DF454" s="403"/>
      <c r="DG454" s="403"/>
      <c r="DH454" s="403"/>
      <c r="DI454" s="403"/>
      <c r="DJ454" s="403"/>
    </row>
    <row r="455" spans="1:114" ht="15.75" thickBot="1" x14ac:dyDescent="0.3">
      <c r="A455" s="408"/>
      <c r="B455" s="414"/>
      <c r="C455" s="414"/>
      <c r="D455" s="415"/>
      <c r="E455" s="68" t="s">
        <v>22</v>
      </c>
      <c r="F455" s="68" t="s">
        <v>600</v>
      </c>
      <c r="G455" s="68" t="s">
        <v>601</v>
      </c>
      <c r="H455" s="68" t="s">
        <v>589</v>
      </c>
      <c r="I455" s="68" t="s">
        <v>601</v>
      </c>
      <c r="J455" s="411"/>
      <c r="K455" s="413"/>
      <c r="L455" s="295"/>
      <c r="M455" s="295"/>
      <c r="N455" s="403"/>
      <c r="O455" s="400" t="s">
        <v>925</v>
      </c>
      <c r="P455" s="400" t="s">
        <v>926</v>
      </c>
      <c r="Q455" s="400"/>
      <c r="R455" s="400"/>
      <c r="S455" s="400"/>
      <c r="T455" s="398"/>
      <c r="U455" s="398"/>
      <c r="V455" s="398"/>
      <c r="W455" s="398"/>
      <c r="X455" s="398"/>
      <c r="Y455" s="398"/>
      <c r="Z455" s="398"/>
      <c r="AA455" s="398"/>
      <c r="AB455" s="398"/>
      <c r="AC455" s="398"/>
      <c r="AD455" s="398"/>
      <c r="AE455" s="398"/>
      <c r="AF455" s="398"/>
      <c r="AG455" s="398"/>
      <c r="AH455" s="398"/>
      <c r="AI455" s="398"/>
      <c r="AJ455" s="398"/>
      <c r="AK455" s="398"/>
      <c r="AL455" s="398"/>
      <c r="AM455" s="398"/>
      <c r="AN455" s="398"/>
      <c r="AO455" s="398"/>
      <c r="AP455" s="398"/>
      <c r="AQ455" s="398"/>
      <c r="AR455" s="398"/>
      <c r="AS455" s="398"/>
      <c r="AT455" s="398"/>
      <c r="AU455" s="398"/>
      <c r="AV455" s="398"/>
      <c r="AW455" s="398"/>
      <c r="AX455" s="398"/>
      <c r="AY455" s="398"/>
      <c r="AZ455" s="398"/>
      <c r="BA455" s="398"/>
      <c r="BB455" s="398"/>
      <c r="BC455" s="398"/>
      <c r="BD455" s="398"/>
      <c r="BE455" s="398"/>
      <c r="BF455" s="398"/>
      <c r="BG455" s="398"/>
      <c r="BH455" s="398"/>
      <c r="BI455" s="398"/>
      <c r="BJ455" s="398"/>
      <c r="BK455" s="398"/>
      <c r="BL455" s="398"/>
      <c r="BM455" s="398"/>
      <c r="BN455" s="398"/>
      <c r="BO455" s="398"/>
      <c r="BP455" s="398"/>
      <c r="BQ455" s="398"/>
      <c r="BR455" s="398"/>
      <c r="BS455" s="398"/>
      <c r="BT455" s="398"/>
      <c r="BU455" s="398"/>
      <c r="BV455" s="398"/>
      <c r="BW455" s="398"/>
      <c r="BX455" s="398"/>
      <c r="BY455" s="398"/>
      <c r="BZ455" s="398"/>
      <c r="CA455" s="398"/>
      <c r="CB455" s="398"/>
      <c r="CC455" s="398"/>
      <c r="CD455" s="398"/>
      <c r="CE455" s="398"/>
      <c r="CF455" s="398"/>
      <c r="CG455" s="398"/>
      <c r="CH455" s="398"/>
      <c r="CI455" s="398"/>
      <c r="CJ455" s="398"/>
      <c r="CK455" s="398"/>
      <c r="CL455" s="398"/>
      <c r="CM455" s="398"/>
      <c r="CN455" s="398"/>
      <c r="CO455" s="398"/>
      <c r="CP455" s="398"/>
      <c r="CQ455" s="398"/>
      <c r="CR455" s="398"/>
      <c r="CS455" s="398"/>
      <c r="CT455" s="398"/>
      <c r="CU455" s="398"/>
      <c r="CV455" s="398"/>
      <c r="CW455" s="398"/>
      <c r="CX455" s="398"/>
      <c r="CY455" s="398"/>
      <c r="CZ455" s="398"/>
      <c r="DA455" s="398"/>
      <c r="DB455" s="398"/>
      <c r="DC455" s="398"/>
      <c r="DD455" s="398"/>
      <c r="DE455" s="398"/>
      <c r="DF455" s="398"/>
      <c r="DG455" s="398"/>
      <c r="DH455" s="398"/>
      <c r="DI455" s="398"/>
      <c r="DJ455" s="398"/>
    </row>
    <row r="456" spans="1:114" ht="15.75" thickBot="1" x14ac:dyDescent="0.3">
      <c r="A456" s="409"/>
      <c r="B456" s="209">
        <v>1</v>
      </c>
      <c r="C456" s="209">
        <v>2</v>
      </c>
      <c r="D456" s="209">
        <v>3</v>
      </c>
      <c r="E456" s="70">
        <v>4</v>
      </c>
      <c r="F456" s="70">
        <f>+E456+1</f>
        <v>5</v>
      </c>
      <c r="G456" s="70" t="s">
        <v>652</v>
      </c>
      <c r="H456" s="70">
        <v>7</v>
      </c>
      <c r="I456" s="71" t="s">
        <v>651</v>
      </c>
      <c r="J456" s="42" t="s">
        <v>650</v>
      </c>
      <c r="K456" s="303" t="s">
        <v>653</v>
      </c>
      <c r="L456" s="296"/>
      <c r="M456" s="296"/>
      <c r="N456" s="403"/>
      <c r="O456" s="402"/>
      <c r="P456" s="402"/>
      <c r="Q456" s="402"/>
      <c r="R456" s="402"/>
      <c r="S456" s="402"/>
      <c r="T456" s="399"/>
      <c r="U456" s="399"/>
      <c r="V456" s="399"/>
      <c r="W456" s="399"/>
      <c r="X456" s="399"/>
      <c r="Y456" s="399"/>
      <c r="Z456" s="399"/>
      <c r="AA456" s="399"/>
      <c r="AB456" s="399"/>
      <c r="AC456" s="399"/>
      <c r="AD456" s="399"/>
      <c r="AE456" s="399"/>
      <c r="AF456" s="399"/>
      <c r="AG456" s="399"/>
      <c r="AH456" s="399"/>
      <c r="AI456" s="399"/>
      <c r="AJ456" s="399"/>
      <c r="AK456" s="399"/>
      <c r="AL456" s="399"/>
      <c r="AM456" s="399"/>
      <c r="AN456" s="399"/>
      <c r="AO456" s="399"/>
      <c r="AP456" s="399"/>
      <c r="AQ456" s="399"/>
      <c r="AR456" s="399"/>
      <c r="AS456" s="399"/>
      <c r="AT456" s="399"/>
      <c r="AU456" s="399"/>
      <c r="AV456" s="399"/>
      <c r="AW456" s="399"/>
      <c r="AX456" s="399"/>
      <c r="AY456" s="399"/>
      <c r="AZ456" s="399"/>
      <c r="BA456" s="399"/>
      <c r="BB456" s="399"/>
      <c r="BC456" s="399"/>
      <c r="BD456" s="399"/>
      <c r="BE456" s="399"/>
      <c r="BF456" s="399"/>
      <c r="BG456" s="399"/>
      <c r="BH456" s="399"/>
      <c r="BI456" s="399"/>
      <c r="BJ456" s="399"/>
      <c r="BK456" s="399"/>
      <c r="BL456" s="399"/>
      <c r="BM456" s="399"/>
      <c r="BN456" s="399"/>
      <c r="BO456" s="399"/>
      <c r="BP456" s="399"/>
      <c r="BQ456" s="399"/>
      <c r="BR456" s="399"/>
      <c r="BS456" s="399"/>
      <c r="BT456" s="399"/>
      <c r="BU456" s="399"/>
      <c r="BV456" s="399"/>
      <c r="BW456" s="399"/>
      <c r="BX456" s="399"/>
      <c r="BY456" s="399"/>
      <c r="BZ456" s="399"/>
      <c r="CA456" s="399"/>
      <c r="CB456" s="399"/>
      <c r="CC456" s="399"/>
      <c r="CD456" s="399"/>
      <c r="CE456" s="399"/>
      <c r="CF456" s="399"/>
      <c r="CG456" s="399"/>
      <c r="CH456" s="399"/>
      <c r="CI456" s="399"/>
      <c r="CJ456" s="399"/>
      <c r="CK456" s="399"/>
      <c r="CL456" s="399"/>
      <c r="CM456" s="399"/>
      <c r="CN456" s="399"/>
      <c r="CO456" s="399"/>
      <c r="CP456" s="399"/>
      <c r="CQ456" s="399"/>
      <c r="CR456" s="399"/>
      <c r="CS456" s="399"/>
      <c r="CT456" s="399"/>
      <c r="CU456" s="399"/>
      <c r="CV456" s="399"/>
      <c r="CW456" s="399"/>
      <c r="CX456" s="399"/>
      <c r="CY456" s="399"/>
      <c r="CZ456" s="399"/>
      <c r="DA456" s="399"/>
      <c r="DB456" s="399"/>
      <c r="DC456" s="399"/>
      <c r="DD456" s="399"/>
      <c r="DE456" s="399"/>
      <c r="DF456" s="399"/>
      <c r="DG456" s="399"/>
      <c r="DH456" s="399"/>
      <c r="DI456" s="399"/>
      <c r="DJ456" s="399"/>
    </row>
    <row r="457" spans="1:114" x14ac:dyDescent="0.25">
      <c r="A457" s="72"/>
      <c r="B457" s="72" t="s">
        <v>729</v>
      </c>
      <c r="C457" s="54"/>
      <c r="D457" s="54"/>
      <c r="E457" s="54"/>
      <c r="F457" s="54"/>
      <c r="G457" s="54"/>
      <c r="H457" s="54"/>
      <c r="I457" s="54"/>
      <c r="J457" s="54"/>
      <c r="K457" s="54"/>
      <c r="L457" s="234"/>
      <c r="M457" s="234"/>
      <c r="N457" s="314">
        <f t="shared" ref="N457:N464" si="188">SUM(O457:DK457)</f>
        <v>0</v>
      </c>
      <c r="O457" s="310"/>
      <c r="P457" s="315"/>
      <c r="Q457" s="315"/>
      <c r="R457" s="315"/>
      <c r="S457" s="315"/>
      <c r="T457" s="55"/>
      <c r="U457" s="55"/>
      <c r="V457" s="55"/>
      <c r="W457" s="55"/>
      <c r="X457" s="55"/>
      <c r="Y457" s="55"/>
      <c r="Z457" s="55"/>
      <c r="AA457" s="55"/>
      <c r="AB457" s="55"/>
      <c r="AC457" s="55"/>
      <c r="AD457" s="55"/>
      <c r="AE457" s="55"/>
      <c r="AF457" s="55"/>
      <c r="AG457" s="55"/>
      <c r="AH457" s="55"/>
      <c r="AI457" s="55"/>
      <c r="AJ457" s="55"/>
      <c r="AK457" s="55"/>
      <c r="AL457" s="55"/>
      <c r="AM457" s="55"/>
      <c r="AN457" s="55"/>
      <c r="AO457" s="55"/>
      <c r="AP457" s="55"/>
      <c r="AQ457" s="55"/>
      <c r="AR457" s="55"/>
      <c r="AS457" s="55"/>
      <c r="AT457" s="55"/>
      <c r="AU457" s="55"/>
      <c r="AV457" s="55"/>
      <c r="AW457" s="55"/>
      <c r="AX457" s="55"/>
      <c r="AY457" s="55"/>
      <c r="AZ457" s="55"/>
      <c r="BA457" s="55"/>
      <c r="BB457" s="55"/>
      <c r="BC457" s="55"/>
      <c r="BD457" s="55"/>
      <c r="BE457" s="55"/>
      <c r="BF457" s="55"/>
      <c r="BG457" s="55"/>
      <c r="BH457" s="55"/>
      <c r="BI457" s="55"/>
      <c r="BJ457" s="55"/>
      <c r="BK457" s="55"/>
      <c r="BL457" s="55"/>
      <c r="BM457" s="55"/>
      <c r="BN457" s="55"/>
      <c r="BO457" s="55"/>
      <c r="BP457" s="55"/>
      <c r="BQ457" s="55"/>
      <c r="BR457" s="55"/>
      <c r="BS457" s="55"/>
      <c r="BT457" s="55"/>
      <c r="BU457" s="55"/>
      <c r="BV457" s="55"/>
      <c r="BW457" s="55"/>
      <c r="BX457" s="55"/>
      <c r="BY457" s="55"/>
      <c r="BZ457" s="55"/>
      <c r="CA457" s="55"/>
      <c r="CB457" s="55"/>
      <c r="CC457" s="55"/>
      <c r="CD457" s="55"/>
      <c r="CE457" s="55"/>
      <c r="CF457" s="55"/>
      <c r="CG457" s="55"/>
      <c r="CH457" s="55"/>
      <c r="CI457" s="55"/>
      <c r="CJ457" s="55"/>
      <c r="CK457" s="55"/>
      <c r="CL457" s="55"/>
      <c r="CM457" s="55"/>
      <c r="CN457" s="55"/>
      <c r="CO457" s="55"/>
      <c r="CP457" s="55"/>
      <c r="CQ457" s="55"/>
      <c r="CR457" s="55"/>
      <c r="CS457" s="55"/>
      <c r="CT457" s="55"/>
      <c r="CU457" s="55"/>
      <c r="CV457" s="55"/>
      <c r="CW457" s="55"/>
      <c r="CX457" s="55"/>
      <c r="CY457" s="55"/>
      <c r="CZ457" s="55"/>
      <c r="DA457" s="55"/>
      <c r="DB457" s="55"/>
      <c r="DC457" s="55"/>
      <c r="DD457" s="55"/>
      <c r="DE457" s="55"/>
      <c r="DF457" s="55"/>
      <c r="DG457" s="55"/>
      <c r="DH457" s="55"/>
      <c r="DI457" s="55"/>
      <c r="DJ457" s="55"/>
    </row>
    <row r="458" spans="1:114" x14ac:dyDescent="0.25">
      <c r="A458" s="127">
        <v>1</v>
      </c>
      <c r="B458" s="213" t="s">
        <v>782</v>
      </c>
      <c r="C458" s="43">
        <f>3000*4</f>
        <v>12000</v>
      </c>
      <c r="D458" s="232">
        <v>639.08000000000004</v>
      </c>
      <c r="E458" s="43">
        <v>0</v>
      </c>
      <c r="F458" s="59"/>
      <c r="G458" s="56">
        <f t="shared" ref="G458:G464" si="189">+E458+F458</f>
        <v>0</v>
      </c>
      <c r="H458" s="43">
        <f>2000-2000+625-625</f>
        <v>0</v>
      </c>
      <c r="I458" s="56">
        <f t="shared" ref="I458:I464" si="190">+G458-H458</f>
        <v>0</v>
      </c>
      <c r="J458" s="56">
        <f t="shared" ref="J458:J464" si="191">I458*C458</f>
        <v>0</v>
      </c>
      <c r="K458" s="57">
        <f t="shared" ref="K458:K464" si="192">+D458*I458</f>
        <v>0</v>
      </c>
      <c r="L458" s="297"/>
      <c r="M458" s="297"/>
      <c r="N458" s="314">
        <f t="shared" si="188"/>
        <v>0</v>
      </c>
      <c r="O458" s="310"/>
      <c r="P458" s="315"/>
      <c r="Q458" s="315"/>
      <c r="R458" s="315"/>
      <c r="S458" s="315"/>
      <c r="T458" s="55"/>
      <c r="U458" s="55"/>
      <c r="V458" s="55"/>
      <c r="W458" s="55"/>
      <c r="X458" s="55"/>
      <c r="Y458" s="55"/>
      <c r="Z458" s="55"/>
      <c r="AA458" s="55"/>
      <c r="AB458" s="55"/>
      <c r="AC458" s="55"/>
      <c r="AD458" s="55"/>
      <c r="AE458" s="55"/>
      <c r="AF458" s="55"/>
      <c r="AG458" s="55"/>
      <c r="AH458" s="55"/>
      <c r="AI458" s="55"/>
      <c r="AJ458" s="55"/>
      <c r="AK458" s="55"/>
      <c r="AL458" s="55"/>
      <c r="AM458" s="55"/>
      <c r="AN458" s="55"/>
      <c r="AO458" s="55"/>
      <c r="AP458" s="55"/>
      <c r="AQ458" s="55"/>
      <c r="AR458" s="55"/>
      <c r="AS458" s="55"/>
      <c r="AT458" s="55"/>
      <c r="AU458" s="55"/>
      <c r="AV458" s="55"/>
      <c r="AW458" s="55"/>
      <c r="AX458" s="55"/>
      <c r="AY458" s="55"/>
      <c r="AZ458" s="55"/>
      <c r="BA458" s="55"/>
      <c r="BB458" s="55"/>
      <c r="BC458" s="55"/>
      <c r="BD458" s="55"/>
      <c r="BE458" s="55"/>
      <c r="BF458" s="55"/>
      <c r="BG458" s="55"/>
      <c r="BH458" s="55"/>
      <c r="BI458" s="55"/>
      <c r="BJ458" s="55"/>
      <c r="BK458" s="55"/>
      <c r="BL458" s="55"/>
      <c r="BM458" s="55"/>
      <c r="BN458" s="55"/>
      <c r="BO458" s="55"/>
      <c r="BP458" s="55"/>
      <c r="BQ458" s="55"/>
      <c r="BR458" s="55"/>
      <c r="BS458" s="55"/>
      <c r="BT458" s="55"/>
      <c r="BU458" s="55"/>
      <c r="BV458" s="55"/>
      <c r="BW458" s="55"/>
      <c r="BX458" s="55"/>
      <c r="BY458" s="55"/>
      <c r="BZ458" s="55"/>
      <c r="CA458" s="55"/>
      <c r="CB458" s="55"/>
      <c r="CC458" s="55"/>
      <c r="CD458" s="55"/>
      <c r="CE458" s="55"/>
      <c r="CF458" s="55"/>
      <c r="CG458" s="55"/>
      <c r="CH458" s="55"/>
      <c r="CI458" s="55"/>
      <c r="CJ458" s="55"/>
      <c r="CK458" s="55"/>
      <c r="CL458" s="55"/>
      <c r="CM458" s="55"/>
      <c r="CN458" s="55"/>
      <c r="CO458" s="55"/>
      <c r="CP458" s="55"/>
      <c r="CQ458" s="55"/>
      <c r="CR458" s="55"/>
      <c r="CS458" s="55"/>
      <c r="CT458" s="55"/>
      <c r="CU458" s="55"/>
      <c r="CV458" s="55"/>
      <c r="CW458" s="55"/>
      <c r="CX458" s="55"/>
      <c r="CY458" s="55"/>
      <c r="CZ458" s="55"/>
      <c r="DA458" s="55"/>
      <c r="DB458" s="55"/>
      <c r="DC458" s="55"/>
      <c r="DD458" s="55"/>
      <c r="DE458" s="55"/>
      <c r="DF458" s="55"/>
      <c r="DG458" s="55"/>
      <c r="DH458" s="55"/>
      <c r="DI458" s="55"/>
      <c r="DJ458" s="55"/>
    </row>
    <row r="459" spans="1:114" x14ac:dyDescent="0.25">
      <c r="A459" s="127">
        <v>2</v>
      </c>
      <c r="B459" s="213" t="s">
        <v>783</v>
      </c>
      <c r="C459" s="43">
        <f>3000*3</f>
        <v>9000</v>
      </c>
      <c r="D459" s="232">
        <v>446.7</v>
      </c>
      <c r="E459" s="43">
        <v>0</v>
      </c>
      <c r="F459" s="59"/>
      <c r="G459" s="56">
        <f t="shared" si="189"/>
        <v>0</v>
      </c>
      <c r="H459" s="43">
        <f>3200+40-3240+860-860</f>
        <v>0</v>
      </c>
      <c r="I459" s="56">
        <f t="shared" si="190"/>
        <v>0</v>
      </c>
      <c r="J459" s="56">
        <f t="shared" si="191"/>
        <v>0</v>
      </c>
      <c r="K459" s="57">
        <f t="shared" si="192"/>
        <v>0</v>
      </c>
      <c r="L459" s="297"/>
      <c r="M459" s="297"/>
      <c r="N459" s="314">
        <f t="shared" si="188"/>
        <v>0</v>
      </c>
      <c r="O459" s="310"/>
      <c r="P459" s="315"/>
      <c r="Q459" s="315"/>
      <c r="R459" s="315"/>
      <c r="S459" s="315"/>
      <c r="T459" s="55"/>
      <c r="U459" s="55"/>
      <c r="V459" s="55"/>
      <c r="W459" s="55"/>
      <c r="X459" s="55"/>
      <c r="Y459" s="55"/>
      <c r="Z459" s="55"/>
      <c r="AA459" s="55"/>
      <c r="AB459" s="55"/>
      <c r="AC459" s="55"/>
      <c r="AD459" s="55"/>
      <c r="AE459" s="55"/>
      <c r="AF459" s="55"/>
      <c r="AG459" s="55"/>
      <c r="AH459" s="55"/>
      <c r="AI459" s="55"/>
      <c r="AJ459" s="55"/>
      <c r="AK459" s="55"/>
      <c r="AL459" s="55"/>
      <c r="AM459" s="55"/>
      <c r="AN459" s="55"/>
      <c r="AO459" s="55"/>
      <c r="AP459" s="55"/>
      <c r="AQ459" s="55"/>
      <c r="AR459" s="55"/>
      <c r="AS459" s="55"/>
      <c r="AT459" s="55"/>
      <c r="AU459" s="55"/>
      <c r="AV459" s="55"/>
      <c r="AW459" s="55"/>
      <c r="AX459" s="55"/>
      <c r="AY459" s="55"/>
      <c r="AZ459" s="55"/>
      <c r="BA459" s="55"/>
      <c r="BB459" s="55"/>
      <c r="BC459" s="55"/>
      <c r="BD459" s="55"/>
      <c r="BE459" s="55"/>
      <c r="BF459" s="55"/>
      <c r="BG459" s="55"/>
      <c r="BH459" s="55"/>
      <c r="BI459" s="55"/>
      <c r="BJ459" s="55"/>
      <c r="BK459" s="55"/>
      <c r="BL459" s="55"/>
      <c r="BM459" s="55"/>
      <c r="BN459" s="55"/>
      <c r="BO459" s="55"/>
      <c r="BP459" s="55"/>
      <c r="BQ459" s="55"/>
      <c r="BR459" s="55"/>
      <c r="BS459" s="55"/>
      <c r="BT459" s="55"/>
      <c r="BU459" s="55"/>
      <c r="BV459" s="55"/>
      <c r="BW459" s="55"/>
      <c r="BX459" s="55"/>
      <c r="BY459" s="55"/>
      <c r="BZ459" s="55"/>
      <c r="CA459" s="55"/>
      <c r="CB459" s="55"/>
      <c r="CC459" s="55"/>
      <c r="CD459" s="55"/>
      <c r="CE459" s="55"/>
      <c r="CF459" s="55"/>
      <c r="CG459" s="55"/>
      <c r="CH459" s="55"/>
      <c r="CI459" s="55"/>
      <c r="CJ459" s="55"/>
      <c r="CK459" s="55"/>
      <c r="CL459" s="55"/>
      <c r="CM459" s="55"/>
      <c r="CN459" s="55"/>
      <c r="CO459" s="55"/>
      <c r="CP459" s="55"/>
      <c r="CQ459" s="55"/>
      <c r="CR459" s="55"/>
      <c r="CS459" s="55"/>
      <c r="CT459" s="55"/>
      <c r="CU459" s="55"/>
      <c r="CV459" s="55"/>
      <c r="CW459" s="55"/>
      <c r="CX459" s="55"/>
      <c r="CY459" s="55"/>
      <c r="CZ459" s="55"/>
      <c r="DA459" s="55"/>
      <c r="DB459" s="55"/>
      <c r="DC459" s="55"/>
      <c r="DD459" s="55"/>
      <c r="DE459" s="55"/>
      <c r="DF459" s="55"/>
      <c r="DG459" s="55"/>
      <c r="DH459" s="55"/>
      <c r="DI459" s="55"/>
      <c r="DJ459" s="55"/>
    </row>
    <row r="460" spans="1:114" x14ac:dyDescent="0.25">
      <c r="A460" s="127">
        <v>3</v>
      </c>
      <c r="B460" s="213" t="s">
        <v>794</v>
      </c>
      <c r="C460" s="43">
        <v>9000</v>
      </c>
      <c r="D460" s="232">
        <v>446.7</v>
      </c>
      <c r="E460" s="43">
        <v>0</v>
      </c>
      <c r="F460" s="59">
        <f>188000-188000</f>
        <v>0</v>
      </c>
      <c r="G460" s="56">
        <f t="shared" si="189"/>
        <v>0</v>
      </c>
      <c r="H460" s="43">
        <f>776-776</f>
        <v>0</v>
      </c>
      <c r="I460" s="56">
        <f t="shared" si="190"/>
        <v>0</v>
      </c>
      <c r="J460" s="56">
        <f t="shared" si="191"/>
        <v>0</v>
      </c>
      <c r="K460" s="57">
        <f t="shared" si="192"/>
        <v>0</v>
      </c>
      <c r="L460" s="297"/>
      <c r="M460" s="297"/>
      <c r="N460" s="314">
        <f t="shared" si="188"/>
        <v>0</v>
      </c>
      <c r="O460" s="310"/>
      <c r="P460" s="315"/>
      <c r="Q460" s="315"/>
      <c r="R460" s="315"/>
      <c r="S460" s="315"/>
      <c r="T460" s="55"/>
      <c r="U460" s="55"/>
      <c r="V460" s="55"/>
      <c r="W460" s="55"/>
      <c r="X460" s="55"/>
      <c r="Y460" s="55"/>
      <c r="Z460" s="55"/>
      <c r="AA460" s="55"/>
      <c r="AB460" s="55"/>
      <c r="AC460" s="55"/>
      <c r="AD460" s="55"/>
      <c r="AE460" s="55"/>
      <c r="AF460" s="55"/>
      <c r="AG460" s="55"/>
      <c r="AH460" s="55"/>
      <c r="AI460" s="55"/>
      <c r="AJ460" s="55"/>
      <c r="AK460" s="55"/>
      <c r="AL460" s="55"/>
      <c r="AM460" s="55"/>
      <c r="AN460" s="55"/>
      <c r="AO460" s="55"/>
      <c r="AP460" s="55"/>
      <c r="AQ460" s="55"/>
      <c r="AR460" s="55"/>
      <c r="AS460" s="55"/>
      <c r="AT460" s="55"/>
      <c r="AU460" s="55"/>
      <c r="AV460" s="55"/>
      <c r="AW460" s="55"/>
      <c r="AX460" s="55"/>
      <c r="AY460" s="55"/>
      <c r="AZ460" s="55"/>
      <c r="BA460" s="55"/>
      <c r="BB460" s="55"/>
      <c r="BC460" s="55"/>
      <c r="BD460" s="55"/>
      <c r="BE460" s="55"/>
      <c r="BF460" s="55"/>
      <c r="BG460" s="55"/>
      <c r="BH460" s="55"/>
      <c r="BI460" s="55"/>
      <c r="BJ460" s="55"/>
      <c r="BK460" s="55"/>
      <c r="BL460" s="55"/>
      <c r="BM460" s="55"/>
      <c r="BN460" s="55"/>
      <c r="BO460" s="55"/>
      <c r="BP460" s="55"/>
      <c r="BQ460" s="55"/>
      <c r="BR460" s="55"/>
      <c r="BS460" s="55"/>
      <c r="BT460" s="55"/>
      <c r="BU460" s="55"/>
      <c r="BV460" s="55"/>
      <c r="BW460" s="55"/>
      <c r="BX460" s="55"/>
      <c r="BY460" s="55"/>
      <c r="BZ460" s="55"/>
      <c r="CA460" s="55"/>
      <c r="CB460" s="55"/>
      <c r="CC460" s="55"/>
      <c r="CD460" s="55"/>
      <c r="CE460" s="55"/>
      <c r="CF460" s="55"/>
      <c r="CG460" s="55"/>
      <c r="CH460" s="55"/>
      <c r="CI460" s="55"/>
      <c r="CJ460" s="55"/>
      <c r="CK460" s="55"/>
      <c r="CL460" s="55"/>
      <c r="CM460" s="55"/>
      <c r="CN460" s="55"/>
      <c r="CO460" s="55"/>
      <c r="CP460" s="55"/>
      <c r="CQ460" s="55"/>
      <c r="CR460" s="55"/>
      <c r="CS460" s="55"/>
      <c r="CT460" s="55"/>
      <c r="CU460" s="55"/>
      <c r="CV460" s="55"/>
      <c r="CW460" s="55"/>
      <c r="CX460" s="55"/>
      <c r="CY460" s="55"/>
      <c r="CZ460" s="55"/>
      <c r="DA460" s="55"/>
      <c r="DB460" s="55"/>
      <c r="DC460" s="55"/>
      <c r="DD460" s="55"/>
      <c r="DE460" s="55"/>
      <c r="DF460" s="55"/>
      <c r="DG460" s="55"/>
      <c r="DH460" s="55"/>
      <c r="DI460" s="55"/>
      <c r="DJ460" s="55"/>
    </row>
    <row r="461" spans="1:114" x14ac:dyDescent="0.25">
      <c r="A461" s="127">
        <v>4</v>
      </c>
      <c r="B461" s="213" t="s">
        <v>836</v>
      </c>
      <c r="C461" s="43">
        <v>12000</v>
      </c>
      <c r="D461" s="261">
        <f>175.72*4</f>
        <v>702.88</v>
      </c>
      <c r="E461" s="43">
        <v>0</v>
      </c>
      <c r="F461" s="59">
        <f>150000-150000</f>
        <v>0</v>
      </c>
      <c r="G461" s="56">
        <f t="shared" si="189"/>
        <v>0</v>
      </c>
      <c r="H461" s="43">
        <f>59800/4-14950+3050-3050</f>
        <v>0</v>
      </c>
      <c r="I461" s="56">
        <f t="shared" si="190"/>
        <v>0</v>
      </c>
      <c r="J461" s="56">
        <f t="shared" si="191"/>
        <v>0</v>
      </c>
      <c r="K461" s="57">
        <f t="shared" si="192"/>
        <v>0</v>
      </c>
      <c r="L461" s="297"/>
      <c r="M461" s="297"/>
      <c r="N461" s="314">
        <f t="shared" si="188"/>
        <v>0</v>
      </c>
      <c r="O461" s="310"/>
      <c r="P461" s="315"/>
      <c r="Q461" s="315"/>
      <c r="R461" s="315"/>
      <c r="S461" s="315"/>
      <c r="T461" s="55"/>
      <c r="U461" s="55"/>
      <c r="V461" s="55"/>
      <c r="W461" s="55"/>
      <c r="X461" s="55"/>
      <c r="Y461" s="55"/>
      <c r="Z461" s="55"/>
      <c r="AA461" s="55"/>
      <c r="AB461" s="55"/>
      <c r="AC461" s="55"/>
      <c r="AD461" s="55"/>
      <c r="AE461" s="55"/>
      <c r="AF461" s="55"/>
      <c r="AG461" s="55"/>
      <c r="AH461" s="55"/>
      <c r="AI461" s="55"/>
      <c r="AJ461" s="55"/>
      <c r="AK461" s="55"/>
      <c r="AL461" s="55"/>
      <c r="AM461" s="55"/>
      <c r="AN461" s="55"/>
      <c r="AO461" s="55"/>
      <c r="AP461" s="55"/>
      <c r="AQ461" s="55"/>
      <c r="AR461" s="55"/>
      <c r="AS461" s="55"/>
      <c r="AT461" s="55"/>
      <c r="AU461" s="55"/>
      <c r="AV461" s="55"/>
      <c r="AW461" s="55"/>
      <c r="AX461" s="55"/>
      <c r="AY461" s="55"/>
      <c r="AZ461" s="55"/>
      <c r="BA461" s="55"/>
      <c r="BB461" s="55"/>
      <c r="BC461" s="55"/>
      <c r="BD461" s="55"/>
      <c r="BE461" s="55"/>
      <c r="BF461" s="55"/>
      <c r="BG461" s="55"/>
      <c r="BH461" s="55"/>
      <c r="BI461" s="55"/>
      <c r="BJ461" s="55"/>
      <c r="BK461" s="55"/>
      <c r="BL461" s="55"/>
      <c r="BM461" s="55"/>
      <c r="BN461" s="55"/>
      <c r="BO461" s="55"/>
      <c r="BP461" s="55"/>
      <c r="BQ461" s="55"/>
      <c r="BR461" s="55"/>
      <c r="BS461" s="55"/>
      <c r="BT461" s="55"/>
      <c r="BU461" s="55"/>
      <c r="BV461" s="55"/>
      <c r="BW461" s="55"/>
      <c r="BX461" s="55"/>
      <c r="BY461" s="55"/>
      <c r="BZ461" s="55"/>
      <c r="CA461" s="55"/>
      <c r="CB461" s="55"/>
      <c r="CC461" s="55"/>
      <c r="CD461" s="55"/>
      <c r="CE461" s="55"/>
      <c r="CF461" s="55"/>
      <c r="CG461" s="55"/>
      <c r="CH461" s="55"/>
      <c r="CI461" s="55"/>
      <c r="CJ461" s="55"/>
      <c r="CK461" s="55"/>
      <c r="CL461" s="55"/>
      <c r="CM461" s="55"/>
      <c r="CN461" s="55"/>
      <c r="CO461" s="55"/>
      <c r="CP461" s="55"/>
      <c r="CQ461" s="55"/>
      <c r="CR461" s="55"/>
      <c r="CS461" s="55"/>
      <c r="CT461" s="55"/>
      <c r="CU461" s="55"/>
      <c r="CV461" s="55"/>
      <c r="CW461" s="55"/>
      <c r="CX461" s="55"/>
      <c r="CY461" s="55"/>
      <c r="CZ461" s="55"/>
      <c r="DA461" s="55"/>
      <c r="DB461" s="55"/>
      <c r="DC461" s="55"/>
      <c r="DD461" s="55"/>
      <c r="DE461" s="55"/>
      <c r="DF461" s="55"/>
      <c r="DG461" s="55"/>
      <c r="DH461" s="55"/>
      <c r="DI461" s="55"/>
      <c r="DJ461" s="55"/>
    </row>
    <row r="462" spans="1:114" x14ac:dyDescent="0.25">
      <c r="A462" s="127">
        <v>5</v>
      </c>
      <c r="B462" s="60" t="s">
        <v>876</v>
      </c>
      <c r="C462" s="43">
        <v>24000</v>
      </c>
      <c r="D462" s="232">
        <v>928.26</v>
      </c>
      <c r="E462" s="43">
        <v>0</v>
      </c>
      <c r="F462" s="59">
        <f>4000+4000-8000</f>
        <v>0</v>
      </c>
      <c r="G462" s="56">
        <f t="shared" si="189"/>
        <v>0</v>
      </c>
      <c r="H462" s="43">
        <f>1000+16000+80-17080+139720-139720+4000+4000-8000</f>
        <v>0</v>
      </c>
      <c r="I462" s="56">
        <f t="shared" si="190"/>
        <v>0</v>
      </c>
      <c r="J462" s="56">
        <f t="shared" si="191"/>
        <v>0</v>
      </c>
      <c r="K462" s="57">
        <f t="shared" si="192"/>
        <v>0</v>
      </c>
      <c r="L462" s="297"/>
      <c r="M462" s="297"/>
      <c r="N462" s="314">
        <f t="shared" si="188"/>
        <v>0</v>
      </c>
      <c r="O462" s="310"/>
      <c r="P462" s="315"/>
      <c r="Q462" s="315"/>
      <c r="R462" s="315"/>
      <c r="S462" s="315"/>
      <c r="T462" s="55"/>
      <c r="U462" s="55"/>
      <c r="V462" s="55"/>
      <c r="W462" s="55"/>
      <c r="X462" s="55"/>
      <c r="Y462" s="55"/>
      <c r="Z462" s="55"/>
      <c r="AA462" s="55"/>
      <c r="AB462" s="55"/>
      <c r="AC462" s="55"/>
      <c r="AD462" s="55"/>
      <c r="AE462" s="55"/>
      <c r="AF462" s="55"/>
      <c r="AG462" s="55"/>
      <c r="AH462" s="55"/>
      <c r="AI462" s="55"/>
      <c r="AJ462" s="55"/>
      <c r="AK462" s="55"/>
      <c r="AL462" s="55"/>
      <c r="AM462" s="55"/>
      <c r="AN462" s="55"/>
      <c r="AO462" s="55"/>
      <c r="AP462" s="55"/>
      <c r="AQ462" s="55"/>
      <c r="AR462" s="55"/>
      <c r="AS462" s="55"/>
      <c r="AT462" s="55"/>
      <c r="AU462" s="55"/>
      <c r="AV462" s="55"/>
      <c r="AW462" s="55"/>
      <c r="AX462" s="55"/>
      <c r="AY462" s="55"/>
      <c r="AZ462" s="55"/>
      <c r="BA462" s="55"/>
      <c r="BB462" s="55"/>
      <c r="BC462" s="55"/>
      <c r="BD462" s="55"/>
      <c r="BE462" s="55"/>
      <c r="BF462" s="55"/>
      <c r="BG462" s="55"/>
      <c r="BH462" s="55"/>
      <c r="BI462" s="55"/>
      <c r="BJ462" s="55"/>
      <c r="BK462" s="55"/>
      <c r="BL462" s="55"/>
      <c r="BM462" s="55"/>
      <c r="BN462" s="55"/>
      <c r="BO462" s="55"/>
      <c r="BP462" s="55"/>
      <c r="BQ462" s="55"/>
      <c r="BR462" s="55"/>
      <c r="BS462" s="55"/>
      <c r="BT462" s="55"/>
      <c r="BU462" s="55"/>
      <c r="BV462" s="55"/>
      <c r="BW462" s="55"/>
      <c r="BX462" s="55"/>
      <c r="BY462" s="55"/>
      <c r="BZ462" s="55"/>
      <c r="CA462" s="55"/>
      <c r="CB462" s="55"/>
      <c r="CC462" s="55"/>
      <c r="CD462" s="55"/>
      <c r="CE462" s="55"/>
      <c r="CF462" s="55"/>
      <c r="CG462" s="55"/>
      <c r="CH462" s="55"/>
      <c r="CI462" s="55"/>
      <c r="CJ462" s="55"/>
      <c r="CK462" s="55"/>
      <c r="CL462" s="55"/>
      <c r="CM462" s="55"/>
      <c r="CN462" s="55"/>
      <c r="CO462" s="55"/>
      <c r="CP462" s="55"/>
      <c r="CQ462" s="55"/>
      <c r="CR462" s="55"/>
      <c r="CS462" s="55"/>
      <c r="CT462" s="55"/>
      <c r="CU462" s="55"/>
      <c r="CV462" s="55"/>
      <c r="CW462" s="55"/>
      <c r="CX462" s="55"/>
      <c r="CY462" s="55"/>
      <c r="CZ462" s="55"/>
      <c r="DA462" s="55"/>
      <c r="DB462" s="55"/>
      <c r="DC462" s="55"/>
      <c r="DD462" s="55"/>
      <c r="DE462" s="55"/>
      <c r="DF462" s="55"/>
      <c r="DG462" s="55"/>
      <c r="DH462" s="55"/>
      <c r="DI462" s="55"/>
      <c r="DJ462" s="55"/>
    </row>
    <row r="463" spans="1:114" x14ac:dyDescent="0.25">
      <c r="A463" s="127">
        <v>6</v>
      </c>
      <c r="B463" s="60"/>
      <c r="C463" s="43">
        <v>0</v>
      </c>
      <c r="D463" s="232"/>
      <c r="E463" s="43">
        <v>0</v>
      </c>
      <c r="F463" s="59"/>
      <c r="G463" s="56">
        <f t="shared" si="189"/>
        <v>0</v>
      </c>
      <c r="H463" s="43"/>
      <c r="I463" s="56">
        <f t="shared" si="190"/>
        <v>0</v>
      </c>
      <c r="J463" s="56">
        <f t="shared" si="191"/>
        <v>0</v>
      </c>
      <c r="K463" s="57">
        <f t="shared" si="192"/>
        <v>0</v>
      </c>
      <c r="L463" s="297"/>
      <c r="M463" s="297"/>
      <c r="N463" s="314">
        <f t="shared" si="188"/>
        <v>0</v>
      </c>
      <c r="O463" s="310"/>
      <c r="P463" s="315"/>
      <c r="Q463" s="315"/>
      <c r="R463" s="315"/>
      <c r="S463" s="315"/>
      <c r="T463" s="55"/>
      <c r="U463" s="55"/>
      <c r="V463" s="55"/>
      <c r="W463" s="55"/>
      <c r="X463" s="55"/>
      <c r="Y463" s="55"/>
      <c r="Z463" s="55"/>
      <c r="AA463" s="55"/>
      <c r="AB463" s="55"/>
      <c r="AC463" s="55"/>
      <c r="AD463" s="55"/>
      <c r="AE463" s="55"/>
      <c r="AF463" s="55"/>
      <c r="AG463" s="55"/>
      <c r="AH463" s="55"/>
      <c r="AI463" s="55"/>
      <c r="AJ463" s="55"/>
      <c r="AK463" s="55"/>
      <c r="AL463" s="55"/>
      <c r="AM463" s="55"/>
      <c r="AN463" s="55"/>
      <c r="AO463" s="55"/>
      <c r="AP463" s="55"/>
      <c r="AQ463" s="55"/>
      <c r="AR463" s="55"/>
      <c r="AS463" s="55"/>
      <c r="AT463" s="55"/>
      <c r="AU463" s="55"/>
      <c r="AV463" s="55"/>
      <c r="AW463" s="55"/>
      <c r="AX463" s="55"/>
      <c r="AY463" s="55"/>
      <c r="AZ463" s="55"/>
      <c r="BA463" s="55"/>
      <c r="BB463" s="55"/>
      <c r="BC463" s="55"/>
      <c r="BD463" s="55"/>
      <c r="BE463" s="55"/>
      <c r="BF463" s="55"/>
      <c r="BG463" s="55"/>
      <c r="BH463" s="55"/>
      <c r="BI463" s="55"/>
      <c r="BJ463" s="55"/>
      <c r="BK463" s="55"/>
      <c r="BL463" s="55"/>
      <c r="BM463" s="55"/>
      <c r="BN463" s="55"/>
      <c r="BO463" s="55"/>
      <c r="BP463" s="55"/>
      <c r="BQ463" s="55"/>
      <c r="BR463" s="55"/>
      <c r="BS463" s="55"/>
      <c r="BT463" s="55"/>
      <c r="BU463" s="55"/>
      <c r="BV463" s="55"/>
      <c r="BW463" s="55"/>
      <c r="BX463" s="55"/>
      <c r="BY463" s="55"/>
      <c r="BZ463" s="55"/>
      <c r="CA463" s="55"/>
      <c r="CB463" s="55"/>
      <c r="CC463" s="55"/>
      <c r="CD463" s="55"/>
      <c r="CE463" s="55"/>
      <c r="CF463" s="55"/>
      <c r="CG463" s="55"/>
      <c r="CH463" s="55"/>
      <c r="CI463" s="55"/>
      <c r="CJ463" s="55"/>
      <c r="CK463" s="55"/>
      <c r="CL463" s="55"/>
      <c r="CM463" s="55"/>
      <c r="CN463" s="55"/>
      <c r="CO463" s="55"/>
      <c r="CP463" s="55"/>
      <c r="CQ463" s="55"/>
      <c r="CR463" s="55"/>
      <c r="CS463" s="55"/>
      <c r="CT463" s="55"/>
      <c r="CU463" s="55"/>
      <c r="CV463" s="55"/>
      <c r="CW463" s="55"/>
      <c r="CX463" s="55"/>
      <c r="CY463" s="55"/>
      <c r="CZ463" s="55"/>
      <c r="DA463" s="55"/>
      <c r="DB463" s="55"/>
      <c r="DC463" s="55"/>
      <c r="DD463" s="55"/>
      <c r="DE463" s="55"/>
      <c r="DF463" s="55"/>
      <c r="DG463" s="55"/>
      <c r="DH463" s="55"/>
      <c r="DI463" s="55"/>
      <c r="DJ463" s="55"/>
    </row>
    <row r="464" spans="1:114" ht="15.75" thickBot="1" x14ac:dyDescent="0.3">
      <c r="A464" s="127"/>
      <c r="B464" s="121"/>
      <c r="C464" s="122"/>
      <c r="D464" s="121"/>
      <c r="E464" s="122">
        <v>0</v>
      </c>
      <c r="F464" s="118"/>
      <c r="G464" s="109">
        <f t="shared" si="189"/>
        <v>0</v>
      </c>
      <c r="H464" s="122">
        <v>0</v>
      </c>
      <c r="I464" s="109">
        <f t="shared" si="190"/>
        <v>0</v>
      </c>
      <c r="J464" s="109">
        <f t="shared" si="191"/>
        <v>0</v>
      </c>
      <c r="K464" s="110">
        <f t="shared" si="192"/>
        <v>0</v>
      </c>
      <c r="L464" s="297"/>
      <c r="M464" s="297"/>
      <c r="N464" s="321">
        <f t="shared" si="188"/>
        <v>0</v>
      </c>
      <c r="O464" s="312"/>
      <c r="P464" s="318"/>
      <c r="Q464" s="318"/>
      <c r="R464" s="318"/>
      <c r="S464" s="318"/>
      <c r="T464" s="108"/>
      <c r="U464" s="108"/>
      <c r="V464" s="108"/>
      <c r="W464" s="108"/>
      <c r="X464" s="108"/>
      <c r="Y464" s="108"/>
      <c r="Z464" s="108"/>
      <c r="AA464" s="108"/>
      <c r="AB464" s="108"/>
      <c r="AC464" s="108"/>
      <c r="AD464" s="108"/>
      <c r="AE464" s="108"/>
      <c r="AF464" s="108"/>
      <c r="AG464" s="108"/>
      <c r="AH464" s="108"/>
      <c r="AI464" s="108"/>
      <c r="AJ464" s="108"/>
      <c r="AK464" s="108"/>
      <c r="AL464" s="108"/>
      <c r="AM464" s="108"/>
      <c r="AN464" s="108"/>
      <c r="AO464" s="108"/>
      <c r="AP464" s="108"/>
      <c r="AQ464" s="108"/>
      <c r="AR464" s="108"/>
      <c r="AS464" s="108"/>
      <c r="AT464" s="108"/>
      <c r="AU464" s="108"/>
      <c r="AV464" s="108"/>
      <c r="AW464" s="108"/>
      <c r="AX464" s="108"/>
      <c r="AY464" s="108"/>
      <c r="AZ464" s="108"/>
      <c r="BA464" s="108"/>
      <c r="BB464" s="108"/>
      <c r="BC464" s="108"/>
      <c r="BD464" s="108"/>
      <c r="BE464" s="108"/>
      <c r="BF464" s="108"/>
      <c r="BG464" s="108"/>
      <c r="BH464" s="108"/>
      <c r="BI464" s="108"/>
      <c r="BJ464" s="108"/>
      <c r="BK464" s="108"/>
      <c r="BL464" s="108"/>
      <c r="BM464" s="108"/>
      <c r="BN464" s="108"/>
      <c r="BO464" s="108"/>
      <c r="BP464" s="108"/>
      <c r="BQ464" s="108"/>
      <c r="BR464" s="108"/>
      <c r="BS464" s="108"/>
      <c r="BT464" s="108"/>
      <c r="BU464" s="108"/>
      <c r="BV464" s="108"/>
      <c r="BW464" s="108"/>
      <c r="BX464" s="108"/>
      <c r="BY464" s="108"/>
      <c r="BZ464" s="108"/>
      <c r="CA464" s="108"/>
      <c r="CB464" s="108"/>
      <c r="CC464" s="108"/>
      <c r="CD464" s="108"/>
      <c r="CE464" s="108"/>
      <c r="CF464" s="108"/>
      <c r="CG464" s="108"/>
      <c r="CH464" s="108"/>
      <c r="CI464" s="108"/>
      <c r="CJ464" s="108"/>
      <c r="CK464" s="108"/>
      <c r="CL464" s="108"/>
      <c r="CM464" s="108"/>
      <c r="CN464" s="108"/>
      <c r="CO464" s="108"/>
      <c r="CP464" s="108"/>
      <c r="CQ464" s="108"/>
      <c r="CR464" s="108"/>
      <c r="CS464" s="108"/>
      <c r="CT464" s="108"/>
      <c r="CU464" s="108"/>
      <c r="CV464" s="108"/>
      <c r="CW464" s="108"/>
      <c r="CX464" s="108"/>
      <c r="CY464" s="108"/>
      <c r="CZ464" s="108"/>
      <c r="DA464" s="108"/>
      <c r="DB464" s="108"/>
      <c r="DC464" s="108"/>
      <c r="DD464" s="108"/>
      <c r="DE464" s="108"/>
      <c r="DF464" s="108"/>
      <c r="DG464" s="108"/>
      <c r="DH464" s="108"/>
      <c r="DI464" s="108"/>
      <c r="DJ464" s="108"/>
    </row>
    <row r="465" spans="1:114" ht="15.75" thickBot="1" x14ac:dyDescent="0.3">
      <c r="A465" s="37"/>
      <c r="B465" s="41" t="s">
        <v>730</v>
      </c>
      <c r="C465" s="36"/>
      <c r="D465" s="36"/>
      <c r="E465" s="35">
        <f t="shared" ref="E465:K465" si="193">SUM(E458:E464)</f>
        <v>0</v>
      </c>
      <c r="F465" s="35">
        <f t="shared" si="193"/>
        <v>0</v>
      </c>
      <c r="G465" s="35">
        <f t="shared" si="193"/>
        <v>0</v>
      </c>
      <c r="H465" s="35">
        <f t="shared" si="193"/>
        <v>0</v>
      </c>
      <c r="I465" s="35">
        <f t="shared" si="193"/>
        <v>0</v>
      </c>
      <c r="J465" s="35">
        <f t="shared" si="193"/>
        <v>0</v>
      </c>
      <c r="K465" s="198">
        <f t="shared" si="193"/>
        <v>0</v>
      </c>
      <c r="L465" s="297"/>
      <c r="M465" s="297"/>
      <c r="N465" s="322">
        <f t="shared" ref="N465" si="194">SUM(O465:DK465)</f>
        <v>0</v>
      </c>
      <c r="O465" s="325"/>
      <c r="P465" s="325"/>
      <c r="Q465" s="325"/>
      <c r="R465" s="325"/>
      <c r="S465" s="325"/>
      <c r="T465" s="324"/>
      <c r="U465" s="324"/>
      <c r="V465" s="324"/>
      <c r="W465" s="324"/>
      <c r="X465" s="324"/>
      <c r="Y465" s="324"/>
      <c r="Z465" s="324"/>
      <c r="AA465" s="324"/>
      <c r="AB465" s="324"/>
      <c r="AC465" s="324"/>
      <c r="AD465" s="324"/>
      <c r="AE465" s="324"/>
      <c r="AF465" s="324"/>
      <c r="AG465" s="324"/>
      <c r="AH465" s="324"/>
      <c r="AI465" s="324"/>
      <c r="AJ465" s="324"/>
      <c r="AK465" s="324"/>
      <c r="AL465" s="324"/>
      <c r="AM465" s="324"/>
      <c r="AN465" s="324"/>
      <c r="AO465" s="324"/>
      <c r="AP465" s="324"/>
      <c r="AQ465" s="324"/>
      <c r="AR465" s="324"/>
      <c r="AS465" s="324"/>
      <c r="AT465" s="324"/>
      <c r="AU465" s="324"/>
      <c r="AV465" s="324"/>
      <c r="AW465" s="324"/>
      <c r="AX465" s="324"/>
      <c r="AY465" s="324"/>
      <c r="AZ465" s="324"/>
      <c r="BA465" s="324"/>
      <c r="BB465" s="324"/>
      <c r="BC465" s="324"/>
      <c r="BD465" s="324"/>
      <c r="BE465" s="324"/>
      <c r="BF465" s="324"/>
      <c r="BG465" s="324"/>
      <c r="BH465" s="324"/>
      <c r="BI465" s="324"/>
      <c r="BJ465" s="324"/>
      <c r="BK465" s="324"/>
      <c r="BL465" s="324"/>
      <c r="BM465" s="324"/>
      <c r="BN465" s="324"/>
      <c r="BO465" s="324"/>
      <c r="BP465" s="324"/>
      <c r="BQ465" s="324"/>
      <c r="BR465" s="324"/>
      <c r="BS465" s="324"/>
      <c r="BT465" s="324"/>
      <c r="BU465" s="324"/>
      <c r="BV465" s="324"/>
      <c r="BW465" s="324"/>
      <c r="BX465" s="324"/>
      <c r="BY465" s="324"/>
      <c r="BZ465" s="324"/>
      <c r="CA465" s="324"/>
      <c r="CB465" s="324"/>
      <c r="CC465" s="324"/>
      <c r="CD465" s="324"/>
      <c r="CE465" s="324"/>
      <c r="CF465" s="324"/>
      <c r="CG465" s="324"/>
      <c r="CH465" s="324"/>
      <c r="CI465" s="324"/>
      <c r="CJ465" s="324"/>
      <c r="CK465" s="324"/>
      <c r="CL465" s="324"/>
      <c r="CM465" s="324"/>
      <c r="CN465" s="324"/>
      <c r="CO465" s="324"/>
      <c r="CP465" s="324"/>
      <c r="CQ465" s="324"/>
      <c r="CR465" s="324"/>
      <c r="CS465" s="324"/>
      <c r="CT465" s="324"/>
      <c r="CU465" s="324"/>
      <c r="CV465" s="324"/>
      <c r="CW465" s="324"/>
      <c r="CX465" s="324"/>
      <c r="CY465" s="324"/>
      <c r="CZ465" s="324"/>
      <c r="DA465" s="324"/>
      <c r="DB465" s="324"/>
      <c r="DC465" s="324"/>
      <c r="DD465" s="324"/>
      <c r="DE465" s="324"/>
      <c r="DF465" s="324"/>
      <c r="DG465" s="324"/>
      <c r="DH465" s="324"/>
      <c r="DI465" s="324"/>
      <c r="DJ465" s="324"/>
    </row>
    <row r="466" spans="1:114" ht="15.75" thickBot="1" x14ac:dyDescent="0.3">
      <c r="E466" s="26"/>
      <c r="F466" s="26"/>
      <c r="G466" s="26"/>
      <c r="H466" s="26"/>
      <c r="I466" s="26"/>
      <c r="J466" s="26"/>
      <c r="K466" s="305"/>
      <c r="L466" s="301"/>
      <c r="M466" s="301"/>
      <c r="N466" s="295"/>
      <c r="O466" s="234"/>
      <c r="P466" s="234"/>
      <c r="Q466" s="234"/>
      <c r="R466" s="234"/>
      <c r="S466" s="234"/>
      <c r="T466" s="67"/>
      <c r="U466" s="67"/>
      <c r="V466" s="67"/>
    </row>
    <row r="467" spans="1:114" ht="15.75" thickBot="1" x14ac:dyDescent="0.3">
      <c r="A467" s="407" t="s">
        <v>657</v>
      </c>
      <c r="B467" s="414" t="s">
        <v>0</v>
      </c>
      <c r="C467" s="414" t="s">
        <v>1</v>
      </c>
      <c r="D467" s="415" t="s">
        <v>649</v>
      </c>
      <c r="E467" s="416" t="s">
        <v>19</v>
      </c>
      <c r="F467" s="416"/>
      <c r="G467" s="416"/>
      <c r="H467" s="416"/>
      <c r="I467" s="416"/>
      <c r="J467" s="410" t="s">
        <v>21</v>
      </c>
      <c r="K467" s="412" t="s">
        <v>602</v>
      </c>
      <c r="L467" s="295"/>
      <c r="M467" s="295"/>
      <c r="N467" s="400" t="s">
        <v>601</v>
      </c>
      <c r="O467" s="404" t="s">
        <v>924</v>
      </c>
      <c r="P467" s="405"/>
      <c r="Q467" s="405"/>
      <c r="R467" s="405"/>
      <c r="S467" s="405"/>
      <c r="T467" s="405"/>
      <c r="U467" s="405"/>
      <c r="V467" s="405"/>
      <c r="W467" s="405"/>
      <c r="X467" s="405"/>
      <c r="Y467" s="405"/>
      <c r="Z467" s="405"/>
      <c r="AA467" s="405"/>
      <c r="AB467" s="405"/>
      <c r="AC467" s="405"/>
      <c r="AD467" s="405"/>
      <c r="AE467" s="405"/>
      <c r="AF467" s="405"/>
      <c r="AG467" s="405"/>
      <c r="AH467" s="405"/>
      <c r="AI467" s="405"/>
      <c r="AJ467" s="405"/>
      <c r="AK467" s="405"/>
      <c r="AL467" s="405"/>
      <c r="AM467" s="405"/>
      <c r="AN467" s="405"/>
      <c r="AO467" s="405"/>
      <c r="AP467" s="405"/>
      <c r="AQ467" s="405"/>
      <c r="AR467" s="405"/>
      <c r="AS467" s="405"/>
      <c r="AT467" s="405"/>
      <c r="AU467" s="405"/>
      <c r="AV467" s="405"/>
      <c r="AW467" s="405"/>
      <c r="AX467" s="405"/>
      <c r="AY467" s="405"/>
      <c r="AZ467" s="405"/>
      <c r="BA467" s="405"/>
      <c r="BB467" s="405"/>
      <c r="BC467" s="405"/>
      <c r="BD467" s="405"/>
      <c r="BE467" s="405"/>
      <c r="BF467" s="405"/>
      <c r="BG467" s="405"/>
      <c r="BH467" s="405"/>
      <c r="BI467" s="405"/>
      <c r="BJ467" s="405"/>
      <c r="BK467" s="405"/>
      <c r="BL467" s="405"/>
      <c r="BM467" s="405"/>
      <c r="BN467" s="405"/>
      <c r="BO467" s="405"/>
      <c r="BP467" s="405"/>
      <c r="BQ467" s="405"/>
      <c r="BR467" s="405"/>
      <c r="BS467" s="405"/>
      <c r="BT467" s="405"/>
      <c r="BU467" s="405"/>
      <c r="BV467" s="405"/>
      <c r="BW467" s="405"/>
      <c r="BX467" s="405"/>
      <c r="BY467" s="405"/>
      <c r="BZ467" s="405"/>
      <c r="CA467" s="405"/>
      <c r="CB467" s="405"/>
      <c r="CC467" s="405"/>
      <c r="CD467" s="405"/>
      <c r="CE467" s="405"/>
      <c r="CF467" s="405"/>
      <c r="CG467" s="405"/>
      <c r="CH467" s="405"/>
      <c r="CI467" s="405"/>
      <c r="CJ467" s="405"/>
      <c r="CK467" s="405"/>
      <c r="CL467" s="405"/>
      <c r="CM467" s="405"/>
      <c r="CN467" s="405"/>
      <c r="CO467" s="405"/>
      <c r="CP467" s="405"/>
      <c r="CQ467" s="405"/>
      <c r="CR467" s="405"/>
      <c r="CS467" s="405"/>
      <c r="CT467" s="405"/>
      <c r="CU467" s="405"/>
      <c r="CV467" s="405"/>
      <c r="CW467" s="405"/>
      <c r="CX467" s="405"/>
      <c r="CY467" s="405"/>
      <c r="CZ467" s="405"/>
      <c r="DA467" s="405"/>
      <c r="DB467" s="405"/>
      <c r="DC467" s="405"/>
      <c r="DD467" s="405"/>
      <c r="DE467" s="405"/>
      <c r="DF467" s="405"/>
      <c r="DG467" s="405"/>
      <c r="DH467" s="405"/>
      <c r="DI467" s="405"/>
      <c r="DJ467" s="406"/>
    </row>
    <row r="468" spans="1:114" ht="15.75" thickBot="1" x14ac:dyDescent="0.3">
      <c r="A468" s="408"/>
      <c r="B468" s="414"/>
      <c r="C468" s="414"/>
      <c r="D468" s="415"/>
      <c r="E468" s="68" t="s">
        <v>22</v>
      </c>
      <c r="F468" s="68" t="s">
        <v>600</v>
      </c>
      <c r="G468" s="68" t="s">
        <v>601</v>
      </c>
      <c r="H468" s="68" t="s">
        <v>589</v>
      </c>
      <c r="I468" s="68" t="s">
        <v>601</v>
      </c>
      <c r="J468" s="411"/>
      <c r="K468" s="413"/>
      <c r="L468" s="295"/>
      <c r="M468" s="295"/>
      <c r="N468" s="401"/>
      <c r="O468" s="400" t="s">
        <v>925</v>
      </c>
      <c r="P468" s="400" t="s">
        <v>926</v>
      </c>
      <c r="Q468" s="400"/>
      <c r="R468" s="400"/>
      <c r="S468" s="400"/>
      <c r="T468" s="398"/>
      <c r="U468" s="398"/>
      <c r="V468" s="398"/>
      <c r="W468" s="398"/>
      <c r="X468" s="398"/>
      <c r="Y468" s="398"/>
      <c r="Z468" s="398"/>
      <c r="AA468" s="398"/>
      <c r="AB468" s="398"/>
      <c r="AC468" s="398"/>
      <c r="AD468" s="398"/>
      <c r="AE468" s="398"/>
      <c r="AF468" s="398"/>
      <c r="AG468" s="398"/>
      <c r="AH468" s="398"/>
      <c r="AI468" s="398"/>
      <c r="AJ468" s="398"/>
      <c r="AK468" s="398"/>
      <c r="AL468" s="398"/>
      <c r="AM468" s="398"/>
      <c r="AN468" s="398"/>
      <c r="AO468" s="398"/>
      <c r="AP468" s="398"/>
      <c r="AQ468" s="398"/>
      <c r="AR468" s="398"/>
      <c r="AS468" s="398"/>
      <c r="AT468" s="398"/>
      <c r="AU468" s="398"/>
      <c r="AV468" s="398"/>
      <c r="AW468" s="398"/>
      <c r="AX468" s="398"/>
      <c r="AY468" s="398"/>
      <c r="AZ468" s="398"/>
      <c r="BA468" s="398"/>
      <c r="BB468" s="398"/>
      <c r="BC468" s="398"/>
      <c r="BD468" s="398"/>
      <c r="BE468" s="398"/>
      <c r="BF468" s="398"/>
      <c r="BG468" s="398"/>
      <c r="BH468" s="398"/>
      <c r="BI468" s="398"/>
      <c r="BJ468" s="398"/>
      <c r="BK468" s="398"/>
      <c r="BL468" s="398"/>
      <c r="BM468" s="398"/>
      <c r="BN468" s="398"/>
      <c r="BO468" s="398"/>
      <c r="BP468" s="398"/>
      <c r="BQ468" s="398"/>
      <c r="BR468" s="398"/>
      <c r="BS468" s="398"/>
      <c r="BT468" s="398"/>
      <c r="BU468" s="398"/>
      <c r="BV468" s="398"/>
      <c r="BW468" s="398"/>
      <c r="BX468" s="398"/>
      <c r="BY468" s="398"/>
      <c r="BZ468" s="398"/>
      <c r="CA468" s="398"/>
      <c r="CB468" s="398"/>
      <c r="CC468" s="398"/>
      <c r="CD468" s="398"/>
      <c r="CE468" s="398"/>
      <c r="CF468" s="398"/>
      <c r="CG468" s="398"/>
      <c r="CH468" s="398"/>
      <c r="CI468" s="398"/>
      <c r="CJ468" s="398"/>
      <c r="CK468" s="398"/>
      <c r="CL468" s="398"/>
      <c r="CM468" s="398"/>
      <c r="CN468" s="398"/>
      <c r="CO468" s="398"/>
      <c r="CP468" s="398"/>
      <c r="CQ468" s="398"/>
      <c r="CR468" s="398"/>
      <c r="CS468" s="398"/>
      <c r="CT468" s="398"/>
      <c r="CU468" s="398"/>
      <c r="CV468" s="398"/>
      <c r="CW468" s="398"/>
      <c r="CX468" s="398"/>
      <c r="CY468" s="398"/>
      <c r="CZ468" s="398"/>
      <c r="DA468" s="398"/>
      <c r="DB468" s="398"/>
      <c r="DC468" s="398"/>
      <c r="DD468" s="398"/>
      <c r="DE468" s="398"/>
      <c r="DF468" s="398"/>
      <c r="DG468" s="398"/>
      <c r="DH468" s="398"/>
      <c r="DI468" s="398"/>
      <c r="DJ468" s="398"/>
    </row>
    <row r="469" spans="1:114" ht="15.75" thickBot="1" x14ac:dyDescent="0.3">
      <c r="A469" s="409"/>
      <c r="B469" s="286">
        <v>1</v>
      </c>
      <c r="C469" s="286">
        <v>2</v>
      </c>
      <c r="D469" s="286">
        <v>3</v>
      </c>
      <c r="E469" s="70">
        <v>4</v>
      </c>
      <c r="F469" s="70">
        <f>+E469+1</f>
        <v>5</v>
      </c>
      <c r="G469" s="70" t="s">
        <v>652</v>
      </c>
      <c r="H469" s="70">
        <v>7</v>
      </c>
      <c r="I469" s="71" t="s">
        <v>651</v>
      </c>
      <c r="J469" s="42" t="s">
        <v>650</v>
      </c>
      <c r="K469" s="303" t="s">
        <v>653</v>
      </c>
      <c r="L469" s="296"/>
      <c r="M469" s="296"/>
      <c r="N469" s="402"/>
      <c r="O469" s="402"/>
      <c r="P469" s="402"/>
      <c r="Q469" s="402"/>
      <c r="R469" s="402"/>
      <c r="S469" s="402"/>
      <c r="T469" s="399"/>
      <c r="U469" s="399"/>
      <c r="V469" s="399"/>
      <c r="W469" s="399"/>
      <c r="X469" s="399"/>
      <c r="Y469" s="399"/>
      <c r="Z469" s="399"/>
      <c r="AA469" s="399"/>
      <c r="AB469" s="399"/>
      <c r="AC469" s="399"/>
      <c r="AD469" s="399"/>
      <c r="AE469" s="399"/>
      <c r="AF469" s="399"/>
      <c r="AG469" s="399"/>
      <c r="AH469" s="399"/>
      <c r="AI469" s="399"/>
      <c r="AJ469" s="399"/>
      <c r="AK469" s="399"/>
      <c r="AL469" s="399"/>
      <c r="AM469" s="399"/>
      <c r="AN469" s="399"/>
      <c r="AO469" s="399"/>
      <c r="AP469" s="399"/>
      <c r="AQ469" s="399"/>
      <c r="AR469" s="399"/>
      <c r="AS469" s="399"/>
      <c r="AT469" s="399"/>
      <c r="AU469" s="399"/>
      <c r="AV469" s="399"/>
      <c r="AW469" s="399"/>
      <c r="AX469" s="399"/>
      <c r="AY469" s="399"/>
      <c r="AZ469" s="399"/>
      <c r="BA469" s="399"/>
      <c r="BB469" s="399"/>
      <c r="BC469" s="399"/>
      <c r="BD469" s="399"/>
      <c r="BE469" s="399"/>
      <c r="BF469" s="399"/>
      <c r="BG469" s="399"/>
      <c r="BH469" s="399"/>
      <c r="BI469" s="399"/>
      <c r="BJ469" s="399"/>
      <c r="BK469" s="399"/>
      <c r="BL469" s="399"/>
      <c r="BM469" s="399"/>
      <c r="BN469" s="399"/>
      <c r="BO469" s="399"/>
      <c r="BP469" s="399"/>
      <c r="BQ469" s="399"/>
      <c r="BR469" s="399"/>
      <c r="BS469" s="399"/>
      <c r="BT469" s="399"/>
      <c r="BU469" s="399"/>
      <c r="BV469" s="399"/>
      <c r="BW469" s="399"/>
      <c r="BX469" s="399"/>
      <c r="BY469" s="399"/>
      <c r="BZ469" s="399"/>
      <c r="CA469" s="399"/>
      <c r="CB469" s="399"/>
      <c r="CC469" s="399"/>
      <c r="CD469" s="399"/>
      <c r="CE469" s="399"/>
      <c r="CF469" s="399"/>
      <c r="CG469" s="399"/>
      <c r="CH469" s="399"/>
      <c r="CI469" s="399"/>
      <c r="CJ469" s="399"/>
      <c r="CK469" s="399"/>
      <c r="CL469" s="399"/>
      <c r="CM469" s="399"/>
      <c r="CN469" s="399"/>
      <c r="CO469" s="399"/>
      <c r="CP469" s="399"/>
      <c r="CQ469" s="399"/>
      <c r="CR469" s="399"/>
      <c r="CS469" s="399"/>
      <c r="CT469" s="399"/>
      <c r="CU469" s="399"/>
      <c r="CV469" s="399"/>
      <c r="CW469" s="399"/>
      <c r="CX469" s="399"/>
      <c r="CY469" s="399"/>
      <c r="CZ469" s="399"/>
      <c r="DA469" s="399"/>
      <c r="DB469" s="399"/>
      <c r="DC469" s="399"/>
      <c r="DD469" s="399"/>
      <c r="DE469" s="399"/>
      <c r="DF469" s="399"/>
      <c r="DG469" s="399"/>
      <c r="DH469" s="399"/>
      <c r="DI469" s="399"/>
      <c r="DJ469" s="399"/>
    </row>
    <row r="470" spans="1:114" x14ac:dyDescent="0.25">
      <c r="A470" s="72"/>
      <c r="B470" s="72" t="s">
        <v>881</v>
      </c>
      <c r="C470" s="54"/>
      <c r="D470" s="54"/>
      <c r="E470" s="54"/>
      <c r="F470" s="54"/>
      <c r="G470" s="54"/>
      <c r="H470" s="54"/>
      <c r="I470" s="54"/>
      <c r="J470" s="54"/>
      <c r="K470" s="54"/>
      <c r="L470" s="234"/>
      <c r="M470" s="234"/>
      <c r="N470" s="314">
        <f t="shared" ref="N470:N477" si="195">SUM(O470:DK470)</f>
        <v>0</v>
      </c>
      <c r="O470" s="310"/>
      <c r="P470" s="315"/>
      <c r="Q470" s="315"/>
      <c r="R470" s="315"/>
      <c r="S470" s="315"/>
      <c r="T470" s="55"/>
      <c r="U470" s="55"/>
      <c r="V470" s="55"/>
      <c r="W470" s="55"/>
      <c r="X470" s="55"/>
      <c r="Y470" s="55"/>
      <c r="Z470" s="55"/>
      <c r="AA470" s="55"/>
      <c r="AB470" s="55"/>
      <c r="AC470" s="55"/>
      <c r="AD470" s="55"/>
      <c r="AE470" s="55"/>
      <c r="AF470" s="55"/>
      <c r="AG470" s="55"/>
      <c r="AH470" s="55"/>
      <c r="AI470" s="55"/>
      <c r="AJ470" s="55"/>
      <c r="AK470" s="55"/>
      <c r="AL470" s="55"/>
      <c r="AM470" s="55"/>
      <c r="AN470" s="55"/>
      <c r="AO470" s="55"/>
      <c r="AP470" s="55"/>
      <c r="AQ470" s="55"/>
      <c r="AR470" s="55"/>
      <c r="AS470" s="55"/>
      <c r="AT470" s="55"/>
      <c r="AU470" s="55"/>
      <c r="AV470" s="55"/>
      <c r="AW470" s="55"/>
      <c r="AX470" s="55"/>
      <c r="AY470" s="55"/>
      <c r="AZ470" s="55"/>
      <c r="BA470" s="55"/>
      <c r="BB470" s="55"/>
      <c r="BC470" s="55"/>
      <c r="BD470" s="55"/>
      <c r="BE470" s="55"/>
      <c r="BF470" s="55"/>
      <c r="BG470" s="55"/>
      <c r="BH470" s="55"/>
      <c r="BI470" s="55"/>
      <c r="BJ470" s="55"/>
      <c r="BK470" s="55"/>
      <c r="BL470" s="55"/>
      <c r="BM470" s="55"/>
      <c r="BN470" s="55"/>
      <c r="BO470" s="55"/>
      <c r="BP470" s="55"/>
      <c r="BQ470" s="55"/>
      <c r="BR470" s="55"/>
      <c r="BS470" s="55"/>
      <c r="BT470" s="55"/>
      <c r="BU470" s="55"/>
      <c r="BV470" s="55"/>
      <c r="BW470" s="55"/>
      <c r="BX470" s="55"/>
      <c r="BY470" s="55"/>
      <c r="BZ470" s="55"/>
      <c r="CA470" s="55"/>
      <c r="CB470" s="55"/>
      <c r="CC470" s="55"/>
      <c r="CD470" s="55"/>
      <c r="CE470" s="55"/>
      <c r="CF470" s="55"/>
      <c r="CG470" s="55"/>
      <c r="CH470" s="55"/>
      <c r="CI470" s="55"/>
      <c r="CJ470" s="55"/>
      <c r="CK470" s="55"/>
      <c r="CL470" s="55"/>
      <c r="CM470" s="55"/>
      <c r="CN470" s="55"/>
      <c r="CO470" s="55"/>
      <c r="CP470" s="55"/>
      <c r="CQ470" s="55"/>
      <c r="CR470" s="55"/>
      <c r="CS470" s="55"/>
      <c r="CT470" s="55"/>
      <c r="CU470" s="55"/>
      <c r="CV470" s="55"/>
      <c r="CW470" s="55"/>
      <c r="CX470" s="55"/>
      <c r="CY470" s="55"/>
      <c r="CZ470" s="55"/>
      <c r="DA470" s="55"/>
      <c r="DB470" s="55"/>
      <c r="DC470" s="55"/>
      <c r="DD470" s="55"/>
      <c r="DE470" s="55"/>
      <c r="DF470" s="55"/>
      <c r="DG470" s="55"/>
      <c r="DH470" s="55"/>
      <c r="DI470" s="55"/>
      <c r="DJ470" s="55"/>
    </row>
    <row r="471" spans="1:114" x14ac:dyDescent="0.25">
      <c r="A471" s="127">
        <v>1</v>
      </c>
      <c r="B471" s="213" t="s">
        <v>889</v>
      </c>
      <c r="C471" s="43">
        <v>9000</v>
      </c>
      <c r="D471" s="232">
        <v>0</v>
      </c>
      <c r="E471" s="43">
        <v>40</v>
      </c>
      <c r="F471" s="59">
        <f>50000*8-400000</f>
        <v>0</v>
      </c>
      <c r="G471" s="56">
        <f t="shared" ref="G471:G484" si="196">+E471+F471</f>
        <v>40</v>
      </c>
      <c r="H471" s="43">
        <f>35200+23200+600-59000+40</f>
        <v>40</v>
      </c>
      <c r="I471" s="56">
        <f t="shared" ref="I471:I484" si="197">+G471-H471</f>
        <v>0</v>
      </c>
      <c r="J471" s="290">
        <f t="shared" ref="J471:J484" si="198">I471*C471</f>
        <v>0</v>
      </c>
      <c r="K471" s="57">
        <f t="shared" ref="K471:K484" si="199">+D471*I471</f>
        <v>0</v>
      </c>
      <c r="L471" s="297"/>
      <c r="M471" s="297"/>
      <c r="N471" s="314">
        <f t="shared" si="195"/>
        <v>0</v>
      </c>
      <c r="O471" s="310"/>
      <c r="P471" s="315"/>
      <c r="Q471" s="315"/>
      <c r="R471" s="315"/>
      <c r="S471" s="315"/>
      <c r="T471" s="55"/>
      <c r="U471" s="55"/>
      <c r="V471" s="55"/>
      <c r="W471" s="55"/>
      <c r="X471" s="55"/>
      <c r="Y471" s="55"/>
      <c r="Z471" s="55"/>
      <c r="AA471" s="55"/>
      <c r="AB471" s="55"/>
      <c r="AC471" s="55"/>
      <c r="AD471" s="55"/>
      <c r="AE471" s="55"/>
      <c r="AF471" s="55"/>
      <c r="AG471" s="55"/>
      <c r="AH471" s="55"/>
      <c r="AI471" s="55"/>
      <c r="AJ471" s="55"/>
      <c r="AK471" s="55"/>
      <c r="AL471" s="55"/>
      <c r="AM471" s="55"/>
      <c r="AN471" s="55"/>
      <c r="AO471" s="55"/>
      <c r="AP471" s="55"/>
      <c r="AQ471" s="55"/>
      <c r="AR471" s="55"/>
      <c r="AS471" s="55"/>
      <c r="AT471" s="55"/>
      <c r="AU471" s="55"/>
      <c r="AV471" s="55"/>
      <c r="AW471" s="55"/>
      <c r="AX471" s="55"/>
      <c r="AY471" s="55"/>
      <c r="AZ471" s="55"/>
      <c r="BA471" s="55"/>
      <c r="BB471" s="55"/>
      <c r="BC471" s="55"/>
      <c r="BD471" s="55"/>
      <c r="BE471" s="55"/>
      <c r="BF471" s="55"/>
      <c r="BG471" s="55"/>
      <c r="BH471" s="55"/>
      <c r="BI471" s="55"/>
      <c r="BJ471" s="55"/>
      <c r="BK471" s="55"/>
      <c r="BL471" s="55"/>
      <c r="BM471" s="55"/>
      <c r="BN471" s="55"/>
      <c r="BO471" s="55"/>
      <c r="BP471" s="55"/>
      <c r="BQ471" s="55"/>
      <c r="BR471" s="55"/>
      <c r="BS471" s="55"/>
      <c r="BT471" s="55"/>
      <c r="BU471" s="55"/>
      <c r="BV471" s="55"/>
      <c r="BW471" s="55"/>
      <c r="BX471" s="55"/>
      <c r="BY471" s="55"/>
      <c r="BZ471" s="55"/>
      <c r="CA471" s="55"/>
      <c r="CB471" s="55"/>
      <c r="CC471" s="55"/>
      <c r="CD471" s="55"/>
      <c r="CE471" s="55"/>
      <c r="CF471" s="55"/>
      <c r="CG471" s="55"/>
      <c r="CH471" s="55"/>
      <c r="CI471" s="55"/>
      <c r="CJ471" s="55"/>
      <c r="CK471" s="55"/>
      <c r="CL471" s="55"/>
      <c r="CM471" s="55"/>
      <c r="CN471" s="55"/>
      <c r="CO471" s="55"/>
      <c r="CP471" s="55"/>
      <c r="CQ471" s="55"/>
      <c r="CR471" s="55"/>
      <c r="CS471" s="55"/>
      <c r="CT471" s="55"/>
      <c r="CU471" s="55"/>
      <c r="CV471" s="55"/>
      <c r="CW471" s="55"/>
      <c r="CX471" s="55"/>
      <c r="CY471" s="55"/>
      <c r="CZ471" s="55"/>
      <c r="DA471" s="55"/>
      <c r="DB471" s="55"/>
      <c r="DC471" s="55"/>
      <c r="DD471" s="55"/>
      <c r="DE471" s="55"/>
      <c r="DF471" s="55"/>
      <c r="DG471" s="55"/>
      <c r="DH471" s="55"/>
      <c r="DI471" s="55"/>
      <c r="DJ471" s="55"/>
    </row>
    <row r="472" spans="1:114" x14ac:dyDescent="0.25">
      <c r="A472" s="127">
        <v>2</v>
      </c>
      <c r="B472" s="213" t="s">
        <v>905</v>
      </c>
      <c r="C472" s="43">
        <v>8000</v>
      </c>
      <c r="D472" s="232">
        <v>221.94</v>
      </c>
      <c r="E472" s="43">
        <v>92500</v>
      </c>
      <c r="F472" s="59">
        <f>270000-270000</f>
        <v>0</v>
      </c>
      <c r="G472" s="56">
        <f t="shared" si="196"/>
        <v>92500</v>
      </c>
      <c r="H472" s="43">
        <f>175500+2000-177500+2700+6930+2250+4500+3060</f>
        <v>19440</v>
      </c>
      <c r="I472" s="56">
        <f t="shared" si="197"/>
        <v>73060</v>
      </c>
      <c r="J472" s="56">
        <f t="shared" si="198"/>
        <v>584480000</v>
      </c>
      <c r="K472" s="57">
        <f t="shared" si="199"/>
        <v>16214936.4</v>
      </c>
      <c r="L472" s="298"/>
      <c r="M472" s="298"/>
      <c r="N472" s="314">
        <f t="shared" si="195"/>
        <v>0</v>
      </c>
      <c r="O472" s="310"/>
      <c r="P472" s="315"/>
      <c r="Q472" s="315"/>
      <c r="R472" s="315"/>
      <c r="S472" s="315"/>
      <c r="T472" s="55"/>
      <c r="U472" s="55"/>
      <c r="V472" s="55"/>
      <c r="W472" s="55"/>
      <c r="X472" s="55"/>
      <c r="Y472" s="55"/>
      <c r="Z472" s="55"/>
      <c r="AA472" s="55"/>
      <c r="AB472" s="55"/>
      <c r="AC472" s="55"/>
      <c r="AD472" s="55"/>
      <c r="AE472" s="55"/>
      <c r="AF472" s="55"/>
      <c r="AG472" s="55"/>
      <c r="AH472" s="55"/>
      <c r="AI472" s="55"/>
      <c r="AJ472" s="55"/>
      <c r="AK472" s="55"/>
      <c r="AL472" s="55"/>
      <c r="AM472" s="55"/>
      <c r="AN472" s="55"/>
      <c r="AO472" s="55"/>
      <c r="AP472" s="55"/>
      <c r="AQ472" s="55"/>
      <c r="AR472" s="55"/>
      <c r="AS472" s="55"/>
      <c r="AT472" s="55"/>
      <c r="AU472" s="55"/>
      <c r="AV472" s="55"/>
      <c r="AW472" s="55"/>
      <c r="AX472" s="55"/>
      <c r="AY472" s="55"/>
      <c r="AZ472" s="55"/>
      <c r="BA472" s="55"/>
      <c r="BB472" s="55"/>
      <c r="BC472" s="55"/>
      <c r="BD472" s="55"/>
      <c r="BE472" s="55"/>
      <c r="BF472" s="55"/>
      <c r="BG472" s="55"/>
      <c r="BH472" s="55"/>
      <c r="BI472" s="55"/>
      <c r="BJ472" s="55"/>
      <c r="BK472" s="55"/>
      <c r="BL472" s="55"/>
      <c r="BM472" s="55"/>
      <c r="BN472" s="55"/>
      <c r="BO472" s="55"/>
      <c r="BP472" s="55"/>
      <c r="BQ472" s="55"/>
      <c r="BR472" s="55"/>
      <c r="BS472" s="55"/>
      <c r="BT472" s="55"/>
      <c r="BU472" s="55"/>
      <c r="BV472" s="55"/>
      <c r="BW472" s="55"/>
      <c r="BX472" s="55"/>
      <c r="BY472" s="55"/>
      <c r="BZ472" s="55"/>
      <c r="CA472" s="55"/>
      <c r="CB472" s="55"/>
      <c r="CC472" s="55"/>
      <c r="CD472" s="55"/>
      <c r="CE472" s="55"/>
      <c r="CF472" s="55"/>
      <c r="CG472" s="55"/>
      <c r="CH472" s="55"/>
      <c r="CI472" s="55"/>
      <c r="CJ472" s="55"/>
      <c r="CK472" s="55"/>
      <c r="CL472" s="55"/>
      <c r="CM472" s="55"/>
      <c r="CN472" s="55"/>
      <c r="CO472" s="55"/>
      <c r="CP472" s="55"/>
      <c r="CQ472" s="55"/>
      <c r="CR472" s="55"/>
      <c r="CS472" s="55"/>
      <c r="CT472" s="55"/>
      <c r="CU472" s="55"/>
      <c r="CV472" s="55"/>
      <c r="CW472" s="55"/>
      <c r="CX472" s="55"/>
      <c r="CY472" s="55"/>
      <c r="CZ472" s="55"/>
      <c r="DA472" s="55"/>
      <c r="DB472" s="55"/>
      <c r="DC472" s="55"/>
      <c r="DD472" s="55"/>
      <c r="DE472" s="55"/>
      <c r="DF472" s="55"/>
      <c r="DG472" s="55"/>
      <c r="DH472" s="55"/>
      <c r="DI472" s="55"/>
      <c r="DJ472" s="55"/>
    </row>
    <row r="473" spans="1:114" x14ac:dyDescent="0.25">
      <c r="A473" s="127">
        <v>3</v>
      </c>
      <c r="B473" s="213" t="s">
        <v>906</v>
      </c>
      <c r="C473" s="43">
        <v>3000</v>
      </c>
      <c r="D473" s="232">
        <v>376.9</v>
      </c>
      <c r="E473" s="43">
        <v>736000</v>
      </c>
      <c r="F473" s="59">
        <f>10000+40000+220000+720000+10000-1000000</f>
        <v>0</v>
      </c>
      <c r="G473" s="56">
        <f t="shared" si="196"/>
        <v>736000</v>
      </c>
      <c r="H473" s="43">
        <f>200000+60000+2000+2000-264000+255800+26400+63000+84000+30000+3000</f>
        <v>462200</v>
      </c>
      <c r="I473" s="56">
        <f t="shared" si="197"/>
        <v>273800</v>
      </c>
      <c r="J473" s="56">
        <f t="shared" si="198"/>
        <v>821400000</v>
      </c>
      <c r="K473" s="57">
        <f t="shared" si="199"/>
        <v>103195220</v>
      </c>
      <c r="L473" s="298"/>
      <c r="M473" s="298"/>
      <c r="N473" s="314">
        <f t="shared" si="195"/>
        <v>0</v>
      </c>
      <c r="O473" s="310"/>
      <c r="P473" s="315"/>
      <c r="Q473" s="315"/>
      <c r="R473" s="315"/>
      <c r="S473" s="315"/>
      <c r="T473" s="55"/>
      <c r="U473" s="55"/>
      <c r="V473" s="55"/>
      <c r="W473" s="55"/>
      <c r="X473" s="55"/>
      <c r="Y473" s="55"/>
      <c r="Z473" s="55"/>
      <c r="AA473" s="55"/>
      <c r="AB473" s="55"/>
      <c r="AC473" s="55"/>
      <c r="AD473" s="55"/>
      <c r="AE473" s="55"/>
      <c r="AF473" s="55"/>
      <c r="AG473" s="55"/>
      <c r="AH473" s="55"/>
      <c r="AI473" s="55"/>
      <c r="AJ473" s="55"/>
      <c r="AK473" s="55"/>
      <c r="AL473" s="55"/>
      <c r="AM473" s="55"/>
      <c r="AN473" s="55"/>
      <c r="AO473" s="55"/>
      <c r="AP473" s="55"/>
      <c r="AQ473" s="55"/>
      <c r="AR473" s="55"/>
      <c r="AS473" s="55"/>
      <c r="AT473" s="55"/>
      <c r="AU473" s="55"/>
      <c r="AV473" s="55"/>
      <c r="AW473" s="55"/>
      <c r="AX473" s="55"/>
      <c r="AY473" s="55"/>
      <c r="AZ473" s="55"/>
      <c r="BA473" s="55"/>
      <c r="BB473" s="55"/>
      <c r="BC473" s="55"/>
      <c r="BD473" s="55"/>
      <c r="BE473" s="55"/>
      <c r="BF473" s="55"/>
      <c r="BG473" s="55"/>
      <c r="BH473" s="55"/>
      <c r="BI473" s="55"/>
      <c r="BJ473" s="55"/>
      <c r="BK473" s="55"/>
      <c r="BL473" s="55"/>
      <c r="BM473" s="55"/>
      <c r="BN473" s="55"/>
      <c r="BO473" s="55"/>
      <c r="BP473" s="55"/>
      <c r="BQ473" s="55"/>
      <c r="BR473" s="55"/>
      <c r="BS473" s="55"/>
      <c r="BT473" s="55"/>
      <c r="BU473" s="55"/>
      <c r="BV473" s="55"/>
      <c r="BW473" s="55"/>
      <c r="BX473" s="55"/>
      <c r="BY473" s="55"/>
      <c r="BZ473" s="55"/>
      <c r="CA473" s="55"/>
      <c r="CB473" s="55"/>
      <c r="CC473" s="55"/>
      <c r="CD473" s="55"/>
      <c r="CE473" s="55"/>
      <c r="CF473" s="55"/>
      <c r="CG473" s="55"/>
      <c r="CH473" s="55"/>
      <c r="CI473" s="55"/>
      <c r="CJ473" s="55"/>
      <c r="CK473" s="55"/>
      <c r="CL473" s="55"/>
      <c r="CM473" s="55"/>
      <c r="CN473" s="55"/>
      <c r="CO473" s="55"/>
      <c r="CP473" s="55"/>
      <c r="CQ473" s="55"/>
      <c r="CR473" s="55"/>
      <c r="CS473" s="55"/>
      <c r="CT473" s="55"/>
      <c r="CU473" s="55"/>
      <c r="CV473" s="55"/>
      <c r="CW473" s="55"/>
      <c r="CX473" s="55"/>
      <c r="CY473" s="55"/>
      <c r="CZ473" s="55"/>
      <c r="DA473" s="55"/>
      <c r="DB473" s="55"/>
      <c r="DC473" s="55"/>
      <c r="DD473" s="55"/>
      <c r="DE473" s="55"/>
      <c r="DF473" s="55"/>
      <c r="DG473" s="55"/>
      <c r="DH473" s="55"/>
      <c r="DI473" s="55"/>
      <c r="DJ473" s="55"/>
    </row>
    <row r="474" spans="1:114" x14ac:dyDescent="0.25">
      <c r="A474" s="127">
        <v>4</v>
      </c>
      <c r="B474" s="213" t="s">
        <v>915</v>
      </c>
      <c r="C474" s="43">
        <v>10000</v>
      </c>
      <c r="D474" s="232">
        <v>0</v>
      </c>
      <c r="E474" s="43">
        <v>0</v>
      </c>
      <c r="F474" s="59">
        <v>80000</v>
      </c>
      <c r="G474" s="56">
        <f t="shared" si="196"/>
        <v>80000</v>
      </c>
      <c r="H474" s="43">
        <f>13000+3000+9600+29400+8000+4800+4000</f>
        <v>71800</v>
      </c>
      <c r="I474" s="56">
        <f t="shared" si="197"/>
        <v>8200</v>
      </c>
      <c r="J474" s="56">
        <f t="shared" si="198"/>
        <v>82000000</v>
      </c>
      <c r="K474" s="57">
        <f t="shared" si="199"/>
        <v>0</v>
      </c>
      <c r="L474" s="298"/>
      <c r="M474" s="298"/>
      <c r="N474" s="314">
        <f t="shared" si="195"/>
        <v>0</v>
      </c>
      <c r="O474" s="310"/>
      <c r="P474" s="315"/>
      <c r="Q474" s="315"/>
      <c r="R474" s="315"/>
      <c r="S474" s="315"/>
      <c r="T474" s="55"/>
      <c r="U474" s="55"/>
      <c r="V474" s="55"/>
      <c r="W474" s="55"/>
      <c r="X474" s="55"/>
      <c r="Y474" s="55"/>
      <c r="Z474" s="55"/>
      <c r="AA474" s="55"/>
      <c r="AB474" s="55"/>
      <c r="AC474" s="55"/>
      <c r="AD474" s="55"/>
      <c r="AE474" s="55"/>
      <c r="AF474" s="55"/>
      <c r="AG474" s="55"/>
      <c r="AH474" s="55"/>
      <c r="AI474" s="55"/>
      <c r="AJ474" s="55"/>
      <c r="AK474" s="55"/>
      <c r="AL474" s="55"/>
      <c r="AM474" s="55"/>
      <c r="AN474" s="55"/>
      <c r="AO474" s="55"/>
      <c r="AP474" s="55"/>
      <c r="AQ474" s="55"/>
      <c r="AR474" s="55"/>
      <c r="AS474" s="55"/>
      <c r="AT474" s="55"/>
      <c r="AU474" s="55"/>
      <c r="AV474" s="55"/>
      <c r="AW474" s="55"/>
      <c r="AX474" s="55"/>
      <c r="AY474" s="55"/>
      <c r="AZ474" s="55"/>
      <c r="BA474" s="55"/>
      <c r="BB474" s="55"/>
      <c r="BC474" s="55"/>
      <c r="BD474" s="55"/>
      <c r="BE474" s="55"/>
      <c r="BF474" s="55"/>
      <c r="BG474" s="55"/>
      <c r="BH474" s="55"/>
      <c r="BI474" s="55"/>
      <c r="BJ474" s="55"/>
      <c r="BK474" s="55"/>
      <c r="BL474" s="55"/>
      <c r="BM474" s="55"/>
      <c r="BN474" s="55"/>
      <c r="BO474" s="55"/>
      <c r="BP474" s="55"/>
      <c r="BQ474" s="55"/>
      <c r="BR474" s="55"/>
      <c r="BS474" s="55"/>
      <c r="BT474" s="55"/>
      <c r="BU474" s="55"/>
      <c r="BV474" s="55"/>
      <c r="BW474" s="55"/>
      <c r="BX474" s="55"/>
      <c r="BY474" s="55"/>
      <c r="BZ474" s="55"/>
      <c r="CA474" s="55"/>
      <c r="CB474" s="55"/>
      <c r="CC474" s="55"/>
      <c r="CD474" s="55"/>
      <c r="CE474" s="55"/>
      <c r="CF474" s="55"/>
      <c r="CG474" s="55"/>
      <c r="CH474" s="55"/>
      <c r="CI474" s="55"/>
      <c r="CJ474" s="55"/>
      <c r="CK474" s="55"/>
      <c r="CL474" s="55"/>
      <c r="CM474" s="55"/>
      <c r="CN474" s="55"/>
      <c r="CO474" s="55"/>
      <c r="CP474" s="55"/>
      <c r="CQ474" s="55"/>
      <c r="CR474" s="55"/>
      <c r="CS474" s="55"/>
      <c r="CT474" s="55"/>
      <c r="CU474" s="55"/>
      <c r="CV474" s="55"/>
      <c r="CW474" s="55"/>
      <c r="CX474" s="55"/>
      <c r="CY474" s="55"/>
      <c r="CZ474" s="55"/>
      <c r="DA474" s="55"/>
      <c r="DB474" s="55"/>
      <c r="DC474" s="55"/>
      <c r="DD474" s="55"/>
      <c r="DE474" s="55"/>
      <c r="DF474" s="55"/>
      <c r="DG474" s="55"/>
      <c r="DH474" s="55"/>
      <c r="DI474" s="55"/>
      <c r="DJ474" s="55"/>
    </row>
    <row r="475" spans="1:114" x14ac:dyDescent="0.25">
      <c r="A475" s="127">
        <v>5</v>
      </c>
      <c r="B475" s="213" t="s">
        <v>919</v>
      </c>
      <c r="C475" s="43">
        <v>8000</v>
      </c>
      <c r="D475" s="232">
        <v>0</v>
      </c>
      <c r="E475" s="43">
        <v>0</v>
      </c>
      <c r="F475" s="59">
        <f>295000+5000</f>
        <v>300000</v>
      </c>
      <c r="G475" s="56">
        <f t="shared" si="196"/>
        <v>300000</v>
      </c>
      <c r="H475" s="43">
        <f>17000+3000+71000</f>
        <v>91000</v>
      </c>
      <c r="I475" s="56">
        <f t="shared" si="197"/>
        <v>209000</v>
      </c>
      <c r="J475" s="56">
        <f t="shared" si="198"/>
        <v>1672000000</v>
      </c>
      <c r="K475" s="57">
        <f t="shared" si="199"/>
        <v>0</v>
      </c>
      <c r="L475" s="298"/>
      <c r="M475" s="298"/>
      <c r="N475" s="314">
        <f t="shared" si="195"/>
        <v>0</v>
      </c>
      <c r="O475" s="310"/>
      <c r="P475" s="315"/>
      <c r="Q475" s="315"/>
      <c r="R475" s="315"/>
      <c r="S475" s="315"/>
      <c r="T475" s="55"/>
      <c r="U475" s="55"/>
      <c r="V475" s="55"/>
      <c r="W475" s="55"/>
      <c r="X475" s="55"/>
      <c r="Y475" s="55"/>
      <c r="Z475" s="55"/>
      <c r="AA475" s="55"/>
      <c r="AB475" s="55"/>
      <c r="AC475" s="55"/>
      <c r="AD475" s="55"/>
      <c r="AE475" s="55"/>
      <c r="AF475" s="55"/>
      <c r="AG475" s="55"/>
      <c r="AH475" s="55"/>
      <c r="AI475" s="55"/>
      <c r="AJ475" s="55"/>
      <c r="AK475" s="55"/>
      <c r="AL475" s="55"/>
      <c r="AM475" s="55"/>
      <c r="AN475" s="55"/>
      <c r="AO475" s="55"/>
      <c r="AP475" s="55"/>
      <c r="AQ475" s="55"/>
      <c r="AR475" s="55"/>
      <c r="AS475" s="55"/>
      <c r="AT475" s="55"/>
      <c r="AU475" s="55"/>
      <c r="AV475" s="55"/>
      <c r="AW475" s="55"/>
      <c r="AX475" s="55"/>
      <c r="AY475" s="55"/>
      <c r="AZ475" s="55"/>
      <c r="BA475" s="55"/>
      <c r="BB475" s="55"/>
      <c r="BC475" s="55"/>
      <c r="BD475" s="55"/>
      <c r="BE475" s="55"/>
      <c r="BF475" s="55"/>
      <c r="BG475" s="55"/>
      <c r="BH475" s="55"/>
      <c r="BI475" s="55"/>
      <c r="BJ475" s="55"/>
      <c r="BK475" s="55"/>
      <c r="BL475" s="55"/>
      <c r="BM475" s="55"/>
      <c r="BN475" s="55"/>
      <c r="BO475" s="55"/>
      <c r="BP475" s="55"/>
      <c r="BQ475" s="55"/>
      <c r="BR475" s="55"/>
      <c r="BS475" s="55"/>
      <c r="BT475" s="55"/>
      <c r="BU475" s="55"/>
      <c r="BV475" s="55"/>
      <c r="BW475" s="55"/>
      <c r="BX475" s="55"/>
      <c r="BY475" s="55"/>
      <c r="BZ475" s="55"/>
      <c r="CA475" s="55"/>
      <c r="CB475" s="55"/>
      <c r="CC475" s="55"/>
      <c r="CD475" s="55"/>
      <c r="CE475" s="55"/>
      <c r="CF475" s="55"/>
      <c r="CG475" s="55"/>
      <c r="CH475" s="55"/>
      <c r="CI475" s="55"/>
      <c r="CJ475" s="55"/>
      <c r="CK475" s="55"/>
      <c r="CL475" s="55"/>
      <c r="CM475" s="55"/>
      <c r="CN475" s="55"/>
      <c r="CO475" s="55"/>
      <c r="CP475" s="55"/>
      <c r="CQ475" s="55"/>
      <c r="CR475" s="55"/>
      <c r="CS475" s="55"/>
      <c r="CT475" s="55"/>
      <c r="CU475" s="55"/>
      <c r="CV475" s="55"/>
      <c r="CW475" s="55"/>
      <c r="CX475" s="55"/>
      <c r="CY475" s="55"/>
      <c r="CZ475" s="55"/>
      <c r="DA475" s="55"/>
      <c r="DB475" s="55"/>
      <c r="DC475" s="55"/>
      <c r="DD475" s="55"/>
      <c r="DE475" s="55"/>
      <c r="DF475" s="55"/>
      <c r="DG475" s="55"/>
      <c r="DH475" s="55"/>
      <c r="DI475" s="55"/>
      <c r="DJ475" s="55"/>
    </row>
    <row r="476" spans="1:114" x14ac:dyDescent="0.25">
      <c r="A476" s="127">
        <v>6</v>
      </c>
      <c r="B476" s="60"/>
      <c r="C476" s="43">
        <v>0</v>
      </c>
      <c r="D476" s="232">
        <v>0</v>
      </c>
      <c r="E476" s="43">
        <v>0</v>
      </c>
      <c r="F476" s="59"/>
      <c r="G476" s="56">
        <f t="shared" si="196"/>
        <v>0</v>
      </c>
      <c r="H476" s="43"/>
      <c r="I476" s="56">
        <f t="shared" si="197"/>
        <v>0</v>
      </c>
      <c r="J476" s="56">
        <f t="shared" si="198"/>
        <v>0</v>
      </c>
      <c r="K476" s="57">
        <f t="shared" si="199"/>
        <v>0</v>
      </c>
      <c r="L476" s="297"/>
      <c r="M476" s="297"/>
      <c r="N476" s="314">
        <f t="shared" si="195"/>
        <v>0</v>
      </c>
      <c r="O476" s="310"/>
      <c r="P476" s="315"/>
      <c r="Q476" s="315"/>
      <c r="R476" s="315"/>
      <c r="S476" s="315"/>
      <c r="T476" s="55"/>
      <c r="U476" s="55"/>
      <c r="V476" s="55"/>
      <c r="W476" s="55"/>
      <c r="X476" s="55"/>
      <c r="Y476" s="55"/>
      <c r="Z476" s="55"/>
      <c r="AA476" s="55"/>
      <c r="AB476" s="55"/>
      <c r="AC476" s="55"/>
      <c r="AD476" s="55"/>
      <c r="AE476" s="55"/>
      <c r="AF476" s="55"/>
      <c r="AG476" s="55"/>
      <c r="AH476" s="55"/>
      <c r="AI476" s="55"/>
      <c r="AJ476" s="55"/>
      <c r="AK476" s="55"/>
      <c r="AL476" s="55"/>
      <c r="AM476" s="55"/>
      <c r="AN476" s="55"/>
      <c r="AO476" s="55"/>
      <c r="AP476" s="55"/>
      <c r="AQ476" s="55"/>
      <c r="AR476" s="55"/>
      <c r="AS476" s="55"/>
      <c r="AT476" s="55"/>
      <c r="AU476" s="55"/>
      <c r="AV476" s="55"/>
      <c r="AW476" s="55"/>
      <c r="AX476" s="55"/>
      <c r="AY476" s="55"/>
      <c r="AZ476" s="55"/>
      <c r="BA476" s="55"/>
      <c r="BB476" s="55"/>
      <c r="BC476" s="55"/>
      <c r="BD476" s="55"/>
      <c r="BE476" s="55"/>
      <c r="BF476" s="55"/>
      <c r="BG476" s="55"/>
      <c r="BH476" s="55"/>
      <c r="BI476" s="55"/>
      <c r="BJ476" s="55"/>
      <c r="BK476" s="55"/>
      <c r="BL476" s="55"/>
      <c r="BM476" s="55"/>
      <c r="BN476" s="55"/>
      <c r="BO476" s="55"/>
      <c r="BP476" s="55"/>
      <c r="BQ476" s="55"/>
      <c r="BR476" s="55"/>
      <c r="BS476" s="55"/>
      <c r="BT476" s="55"/>
      <c r="BU476" s="55"/>
      <c r="BV476" s="55"/>
      <c r="BW476" s="55"/>
      <c r="BX476" s="55"/>
      <c r="BY476" s="55"/>
      <c r="BZ476" s="55"/>
      <c r="CA476" s="55"/>
      <c r="CB476" s="55"/>
      <c r="CC476" s="55"/>
      <c r="CD476" s="55"/>
      <c r="CE476" s="55"/>
      <c r="CF476" s="55"/>
      <c r="CG476" s="55"/>
      <c r="CH476" s="55"/>
      <c r="CI476" s="55"/>
      <c r="CJ476" s="55"/>
      <c r="CK476" s="55"/>
      <c r="CL476" s="55"/>
      <c r="CM476" s="55"/>
      <c r="CN476" s="55"/>
      <c r="CO476" s="55"/>
      <c r="CP476" s="55"/>
      <c r="CQ476" s="55"/>
      <c r="CR476" s="55"/>
      <c r="CS476" s="55"/>
      <c r="CT476" s="55"/>
      <c r="CU476" s="55"/>
      <c r="CV476" s="55"/>
      <c r="CW476" s="55"/>
      <c r="CX476" s="55"/>
      <c r="CY476" s="55"/>
      <c r="CZ476" s="55"/>
      <c r="DA476" s="55"/>
      <c r="DB476" s="55"/>
      <c r="DC476" s="55"/>
      <c r="DD476" s="55"/>
      <c r="DE476" s="55"/>
      <c r="DF476" s="55"/>
      <c r="DG476" s="55"/>
      <c r="DH476" s="55"/>
      <c r="DI476" s="55"/>
      <c r="DJ476" s="55"/>
    </row>
    <row r="477" spans="1:114" x14ac:dyDescent="0.25">
      <c r="A477" s="127">
        <v>7</v>
      </c>
      <c r="B477" s="60"/>
      <c r="C477" s="43">
        <v>0</v>
      </c>
      <c r="D477" s="232">
        <v>0</v>
      </c>
      <c r="E477" s="43">
        <v>0</v>
      </c>
      <c r="F477" s="59"/>
      <c r="G477" s="56">
        <f t="shared" si="196"/>
        <v>0</v>
      </c>
      <c r="H477" s="43"/>
      <c r="I477" s="56">
        <f t="shared" si="197"/>
        <v>0</v>
      </c>
      <c r="J477" s="56">
        <f t="shared" si="198"/>
        <v>0</v>
      </c>
      <c r="K477" s="57">
        <f t="shared" si="199"/>
        <v>0</v>
      </c>
      <c r="L477" s="297"/>
      <c r="M477" s="297"/>
      <c r="N477" s="314">
        <f t="shared" si="195"/>
        <v>0</v>
      </c>
      <c r="O477" s="310"/>
      <c r="P477" s="315"/>
      <c r="Q477" s="315"/>
      <c r="R477" s="315"/>
      <c r="S477" s="315"/>
      <c r="T477" s="55"/>
      <c r="U477" s="55"/>
      <c r="V477" s="55"/>
      <c r="W477" s="55"/>
      <c r="X477" s="55"/>
      <c r="Y477" s="55"/>
      <c r="Z477" s="55"/>
      <c r="AA477" s="55"/>
      <c r="AB477" s="55"/>
      <c r="AC477" s="55"/>
      <c r="AD477" s="55"/>
      <c r="AE477" s="55"/>
      <c r="AF477" s="55"/>
      <c r="AG477" s="55"/>
      <c r="AH477" s="55"/>
      <c r="AI477" s="55"/>
      <c r="AJ477" s="55"/>
      <c r="AK477" s="55"/>
      <c r="AL477" s="55"/>
      <c r="AM477" s="55"/>
      <c r="AN477" s="55"/>
      <c r="AO477" s="55"/>
      <c r="AP477" s="55"/>
      <c r="AQ477" s="55"/>
      <c r="AR477" s="55"/>
      <c r="AS477" s="55"/>
      <c r="AT477" s="55"/>
      <c r="AU477" s="55"/>
      <c r="AV477" s="55"/>
      <c r="AW477" s="55"/>
      <c r="AX477" s="55"/>
      <c r="AY477" s="55"/>
      <c r="AZ477" s="55"/>
      <c r="BA477" s="55"/>
      <c r="BB477" s="55"/>
      <c r="BC477" s="55"/>
      <c r="BD477" s="55"/>
      <c r="BE477" s="55"/>
      <c r="BF477" s="55"/>
      <c r="BG477" s="55"/>
      <c r="BH477" s="55"/>
      <c r="BI477" s="55"/>
      <c r="BJ477" s="55"/>
      <c r="BK477" s="55"/>
      <c r="BL477" s="55"/>
      <c r="BM477" s="55"/>
      <c r="BN477" s="55"/>
      <c r="BO477" s="55"/>
      <c r="BP477" s="55"/>
      <c r="BQ477" s="55"/>
      <c r="BR477" s="55"/>
      <c r="BS477" s="55"/>
      <c r="BT477" s="55"/>
      <c r="BU477" s="55"/>
      <c r="BV477" s="55"/>
      <c r="BW477" s="55"/>
      <c r="BX477" s="55"/>
      <c r="BY477" s="55"/>
      <c r="BZ477" s="55"/>
      <c r="CA477" s="55"/>
      <c r="CB477" s="55"/>
      <c r="CC477" s="55"/>
      <c r="CD477" s="55"/>
      <c r="CE477" s="55"/>
      <c r="CF477" s="55"/>
      <c r="CG477" s="55"/>
      <c r="CH477" s="55"/>
      <c r="CI477" s="55"/>
      <c r="CJ477" s="55"/>
      <c r="CK477" s="55"/>
      <c r="CL477" s="55"/>
      <c r="CM477" s="55"/>
      <c r="CN477" s="55"/>
      <c r="CO477" s="55"/>
      <c r="CP477" s="55"/>
      <c r="CQ477" s="55"/>
      <c r="CR477" s="55"/>
      <c r="CS477" s="55"/>
      <c r="CT477" s="55"/>
      <c r="CU477" s="55"/>
      <c r="CV477" s="55"/>
      <c r="CW477" s="55"/>
      <c r="CX477" s="55"/>
      <c r="CY477" s="55"/>
      <c r="CZ477" s="55"/>
      <c r="DA477" s="55"/>
      <c r="DB477" s="55"/>
      <c r="DC477" s="55"/>
      <c r="DD477" s="55"/>
      <c r="DE477" s="55"/>
      <c r="DF477" s="55"/>
      <c r="DG477" s="55"/>
      <c r="DH477" s="55"/>
      <c r="DI477" s="55"/>
      <c r="DJ477" s="55"/>
    </row>
    <row r="478" spans="1:114" x14ac:dyDescent="0.25">
      <c r="A478" s="127">
        <v>8</v>
      </c>
      <c r="B478" s="79"/>
      <c r="C478" s="43"/>
      <c r="D478" s="60"/>
      <c r="E478" s="43">
        <v>0</v>
      </c>
      <c r="F478" s="59"/>
      <c r="G478" s="56">
        <f t="shared" si="196"/>
        <v>0</v>
      </c>
      <c r="H478" s="43"/>
      <c r="I478" s="56">
        <f t="shared" si="197"/>
        <v>0</v>
      </c>
      <c r="J478" s="56">
        <f t="shared" si="198"/>
        <v>0</v>
      </c>
      <c r="K478" s="57">
        <f t="shared" si="199"/>
        <v>0</v>
      </c>
      <c r="L478" s="297"/>
      <c r="M478" s="297"/>
      <c r="N478" s="314">
        <f t="shared" ref="N478:N485" si="200">SUM(O478:DK478)</f>
        <v>0</v>
      </c>
      <c r="O478" s="310"/>
      <c r="P478" s="315"/>
      <c r="Q478" s="315"/>
      <c r="R478" s="315"/>
      <c r="S478" s="315"/>
      <c r="T478" s="55"/>
      <c r="U478" s="55"/>
      <c r="V478" s="55"/>
      <c r="W478" s="55"/>
      <c r="X478" s="55"/>
      <c r="Y478" s="55"/>
      <c r="Z478" s="55"/>
      <c r="AA478" s="55"/>
      <c r="AB478" s="55"/>
      <c r="AC478" s="55"/>
      <c r="AD478" s="55"/>
      <c r="AE478" s="55"/>
      <c r="AF478" s="55"/>
      <c r="AG478" s="55"/>
      <c r="AH478" s="55"/>
      <c r="AI478" s="55"/>
      <c r="AJ478" s="55"/>
      <c r="AK478" s="55"/>
      <c r="AL478" s="55"/>
      <c r="AM478" s="55"/>
      <c r="AN478" s="55"/>
      <c r="AO478" s="55"/>
      <c r="AP478" s="55"/>
      <c r="AQ478" s="55"/>
      <c r="AR478" s="55"/>
      <c r="AS478" s="55"/>
      <c r="AT478" s="55"/>
      <c r="AU478" s="55"/>
      <c r="AV478" s="55"/>
      <c r="AW478" s="55"/>
      <c r="AX478" s="55"/>
      <c r="AY478" s="55"/>
      <c r="AZ478" s="55"/>
      <c r="BA478" s="55"/>
      <c r="BB478" s="55"/>
      <c r="BC478" s="55"/>
      <c r="BD478" s="55"/>
      <c r="BE478" s="55"/>
      <c r="BF478" s="55"/>
      <c r="BG478" s="55"/>
      <c r="BH478" s="55"/>
      <c r="BI478" s="55"/>
      <c r="BJ478" s="55"/>
      <c r="BK478" s="55"/>
      <c r="BL478" s="55"/>
      <c r="BM478" s="55"/>
      <c r="BN478" s="55"/>
      <c r="BO478" s="55"/>
      <c r="BP478" s="55"/>
      <c r="BQ478" s="55"/>
      <c r="BR478" s="55"/>
      <c r="BS478" s="55"/>
      <c r="BT478" s="55"/>
      <c r="BU478" s="55"/>
      <c r="BV478" s="55"/>
      <c r="BW478" s="55"/>
      <c r="BX478" s="55"/>
      <c r="BY478" s="55"/>
      <c r="BZ478" s="55"/>
      <c r="CA478" s="55"/>
      <c r="CB478" s="55"/>
      <c r="CC478" s="55"/>
      <c r="CD478" s="55"/>
      <c r="CE478" s="55"/>
      <c r="CF478" s="55"/>
      <c r="CG478" s="55"/>
      <c r="CH478" s="55"/>
      <c r="CI478" s="55"/>
      <c r="CJ478" s="55"/>
      <c r="CK478" s="55"/>
      <c r="CL478" s="55"/>
      <c r="CM478" s="55"/>
      <c r="CN478" s="55"/>
      <c r="CO478" s="55"/>
      <c r="CP478" s="55"/>
      <c r="CQ478" s="55"/>
      <c r="CR478" s="55"/>
      <c r="CS478" s="55"/>
      <c r="CT478" s="55"/>
      <c r="CU478" s="55"/>
      <c r="CV478" s="55"/>
      <c r="CW478" s="55"/>
      <c r="CX478" s="55"/>
      <c r="CY478" s="55"/>
      <c r="CZ478" s="55"/>
      <c r="DA478" s="55"/>
      <c r="DB478" s="55"/>
      <c r="DC478" s="55"/>
      <c r="DD478" s="55"/>
      <c r="DE478" s="55"/>
      <c r="DF478" s="55"/>
      <c r="DG478" s="55"/>
      <c r="DH478" s="55"/>
      <c r="DI478" s="55"/>
      <c r="DJ478" s="55"/>
    </row>
    <row r="479" spans="1:114" x14ac:dyDescent="0.25">
      <c r="A479" s="127">
        <v>9</v>
      </c>
      <c r="B479" s="60"/>
      <c r="C479" s="43"/>
      <c r="D479" s="60"/>
      <c r="E479" s="43">
        <v>0</v>
      </c>
      <c r="F479" s="59"/>
      <c r="G479" s="56">
        <f t="shared" si="196"/>
        <v>0</v>
      </c>
      <c r="H479" s="43"/>
      <c r="I479" s="56">
        <f t="shared" si="197"/>
        <v>0</v>
      </c>
      <c r="J479" s="56">
        <f t="shared" si="198"/>
        <v>0</v>
      </c>
      <c r="K479" s="57">
        <f t="shared" si="199"/>
        <v>0</v>
      </c>
      <c r="L479" s="297"/>
      <c r="M479" s="297"/>
      <c r="N479" s="314">
        <f t="shared" si="200"/>
        <v>0</v>
      </c>
      <c r="O479" s="310"/>
      <c r="P479" s="315"/>
      <c r="Q479" s="315"/>
      <c r="R479" s="315"/>
      <c r="S479" s="315"/>
      <c r="T479" s="55"/>
      <c r="U479" s="55"/>
      <c r="V479" s="55"/>
      <c r="W479" s="55"/>
      <c r="X479" s="55"/>
      <c r="Y479" s="55"/>
      <c r="Z479" s="55"/>
      <c r="AA479" s="55"/>
      <c r="AB479" s="55"/>
      <c r="AC479" s="55"/>
      <c r="AD479" s="55"/>
      <c r="AE479" s="55"/>
      <c r="AF479" s="55"/>
      <c r="AG479" s="55"/>
      <c r="AH479" s="55"/>
      <c r="AI479" s="55"/>
      <c r="AJ479" s="55"/>
      <c r="AK479" s="55"/>
      <c r="AL479" s="55"/>
      <c r="AM479" s="55"/>
      <c r="AN479" s="55"/>
      <c r="AO479" s="55"/>
      <c r="AP479" s="55"/>
      <c r="AQ479" s="55"/>
      <c r="AR479" s="55"/>
      <c r="AS479" s="55"/>
      <c r="AT479" s="55"/>
      <c r="AU479" s="55"/>
      <c r="AV479" s="55"/>
      <c r="AW479" s="55"/>
      <c r="AX479" s="55"/>
      <c r="AY479" s="55"/>
      <c r="AZ479" s="55"/>
      <c r="BA479" s="55"/>
      <c r="BB479" s="55"/>
      <c r="BC479" s="55"/>
      <c r="BD479" s="55"/>
      <c r="BE479" s="55"/>
      <c r="BF479" s="55"/>
      <c r="BG479" s="55"/>
      <c r="BH479" s="55"/>
      <c r="BI479" s="55"/>
      <c r="BJ479" s="55"/>
      <c r="BK479" s="55"/>
      <c r="BL479" s="55"/>
      <c r="BM479" s="55"/>
      <c r="BN479" s="55"/>
      <c r="BO479" s="55"/>
      <c r="BP479" s="55"/>
      <c r="BQ479" s="55"/>
      <c r="BR479" s="55"/>
      <c r="BS479" s="55"/>
      <c r="BT479" s="55"/>
      <c r="BU479" s="55"/>
      <c r="BV479" s="55"/>
      <c r="BW479" s="55"/>
      <c r="BX479" s="55"/>
      <c r="BY479" s="55"/>
      <c r="BZ479" s="55"/>
      <c r="CA479" s="55"/>
      <c r="CB479" s="55"/>
      <c r="CC479" s="55"/>
      <c r="CD479" s="55"/>
      <c r="CE479" s="55"/>
      <c r="CF479" s="55"/>
      <c r="CG479" s="55"/>
      <c r="CH479" s="55"/>
      <c r="CI479" s="55"/>
      <c r="CJ479" s="55"/>
      <c r="CK479" s="55"/>
      <c r="CL479" s="55"/>
      <c r="CM479" s="55"/>
      <c r="CN479" s="55"/>
      <c r="CO479" s="55"/>
      <c r="CP479" s="55"/>
      <c r="CQ479" s="55"/>
      <c r="CR479" s="55"/>
      <c r="CS479" s="55"/>
      <c r="CT479" s="55"/>
      <c r="CU479" s="55"/>
      <c r="CV479" s="55"/>
      <c r="CW479" s="55"/>
      <c r="CX479" s="55"/>
      <c r="CY479" s="55"/>
      <c r="CZ479" s="55"/>
      <c r="DA479" s="55"/>
      <c r="DB479" s="55"/>
      <c r="DC479" s="55"/>
      <c r="DD479" s="55"/>
      <c r="DE479" s="55"/>
      <c r="DF479" s="55"/>
      <c r="DG479" s="55"/>
      <c r="DH479" s="55"/>
      <c r="DI479" s="55"/>
      <c r="DJ479" s="55"/>
    </row>
    <row r="480" spans="1:114" x14ac:dyDescent="0.25">
      <c r="A480" s="127">
        <v>10</v>
      </c>
      <c r="B480" s="60"/>
      <c r="C480" s="43"/>
      <c r="D480" s="60"/>
      <c r="E480" s="43">
        <v>0</v>
      </c>
      <c r="F480" s="59"/>
      <c r="G480" s="56">
        <f t="shared" si="196"/>
        <v>0</v>
      </c>
      <c r="H480" s="43">
        <v>0</v>
      </c>
      <c r="I480" s="56">
        <f t="shared" si="197"/>
        <v>0</v>
      </c>
      <c r="J480" s="56">
        <f t="shared" si="198"/>
        <v>0</v>
      </c>
      <c r="K480" s="57">
        <f t="shared" si="199"/>
        <v>0</v>
      </c>
      <c r="L480" s="297"/>
      <c r="M480" s="297"/>
      <c r="N480" s="314">
        <f t="shared" si="200"/>
        <v>0</v>
      </c>
      <c r="O480" s="310"/>
      <c r="P480" s="315"/>
      <c r="Q480" s="315"/>
      <c r="R480" s="315"/>
      <c r="S480" s="315"/>
      <c r="T480" s="55"/>
      <c r="U480" s="55"/>
      <c r="V480" s="55"/>
      <c r="W480" s="55"/>
      <c r="X480" s="55"/>
      <c r="Y480" s="55"/>
      <c r="Z480" s="55"/>
      <c r="AA480" s="55"/>
      <c r="AB480" s="55"/>
      <c r="AC480" s="55"/>
      <c r="AD480" s="55"/>
      <c r="AE480" s="55"/>
      <c r="AF480" s="55"/>
      <c r="AG480" s="55"/>
      <c r="AH480" s="55"/>
      <c r="AI480" s="55"/>
      <c r="AJ480" s="55"/>
      <c r="AK480" s="55"/>
      <c r="AL480" s="55"/>
      <c r="AM480" s="55"/>
      <c r="AN480" s="55"/>
      <c r="AO480" s="55"/>
      <c r="AP480" s="55"/>
      <c r="AQ480" s="55"/>
      <c r="AR480" s="55"/>
      <c r="AS480" s="55"/>
      <c r="AT480" s="55"/>
      <c r="AU480" s="55"/>
      <c r="AV480" s="55"/>
      <c r="AW480" s="55"/>
      <c r="AX480" s="55"/>
      <c r="AY480" s="55"/>
      <c r="AZ480" s="55"/>
      <c r="BA480" s="55"/>
      <c r="BB480" s="55"/>
      <c r="BC480" s="55"/>
      <c r="BD480" s="55"/>
      <c r="BE480" s="55"/>
      <c r="BF480" s="55"/>
      <c r="BG480" s="55"/>
      <c r="BH480" s="55"/>
      <c r="BI480" s="55"/>
      <c r="BJ480" s="55"/>
      <c r="BK480" s="55"/>
      <c r="BL480" s="55"/>
      <c r="BM480" s="55"/>
      <c r="BN480" s="55"/>
      <c r="BO480" s="55"/>
      <c r="BP480" s="55"/>
      <c r="BQ480" s="55"/>
      <c r="BR480" s="55"/>
      <c r="BS480" s="55"/>
      <c r="BT480" s="55"/>
      <c r="BU480" s="55"/>
      <c r="BV480" s="55"/>
      <c r="BW480" s="55"/>
      <c r="BX480" s="55"/>
      <c r="BY480" s="55"/>
      <c r="BZ480" s="55"/>
      <c r="CA480" s="55"/>
      <c r="CB480" s="55"/>
      <c r="CC480" s="55"/>
      <c r="CD480" s="55"/>
      <c r="CE480" s="55"/>
      <c r="CF480" s="55"/>
      <c r="CG480" s="55"/>
      <c r="CH480" s="55"/>
      <c r="CI480" s="55"/>
      <c r="CJ480" s="55"/>
      <c r="CK480" s="55"/>
      <c r="CL480" s="55"/>
      <c r="CM480" s="55"/>
      <c r="CN480" s="55"/>
      <c r="CO480" s="55"/>
      <c r="CP480" s="55"/>
      <c r="CQ480" s="55"/>
      <c r="CR480" s="55"/>
      <c r="CS480" s="55"/>
      <c r="CT480" s="55"/>
      <c r="CU480" s="55"/>
      <c r="CV480" s="55"/>
      <c r="CW480" s="55"/>
      <c r="CX480" s="55"/>
      <c r="CY480" s="55"/>
      <c r="CZ480" s="55"/>
      <c r="DA480" s="55"/>
      <c r="DB480" s="55"/>
      <c r="DC480" s="55"/>
      <c r="DD480" s="55"/>
      <c r="DE480" s="55"/>
      <c r="DF480" s="55"/>
      <c r="DG480" s="55"/>
      <c r="DH480" s="55"/>
      <c r="DI480" s="55"/>
      <c r="DJ480" s="55"/>
    </row>
    <row r="481" spans="1:114" x14ac:dyDescent="0.25">
      <c r="A481" s="127">
        <v>11</v>
      </c>
      <c r="B481" s="60"/>
      <c r="C481" s="43"/>
      <c r="D481" s="60"/>
      <c r="E481" s="43">
        <v>0</v>
      </c>
      <c r="F481" s="59"/>
      <c r="G481" s="56">
        <f t="shared" si="196"/>
        <v>0</v>
      </c>
      <c r="H481" s="43"/>
      <c r="I481" s="56">
        <f t="shared" si="197"/>
        <v>0</v>
      </c>
      <c r="J481" s="56">
        <f t="shared" si="198"/>
        <v>0</v>
      </c>
      <c r="K481" s="57">
        <f t="shared" si="199"/>
        <v>0</v>
      </c>
      <c r="L481" s="297"/>
      <c r="M481" s="297"/>
      <c r="N481" s="314">
        <f t="shared" si="200"/>
        <v>0</v>
      </c>
      <c r="O481" s="310"/>
      <c r="P481" s="315"/>
      <c r="Q481" s="315"/>
      <c r="R481" s="315"/>
      <c r="S481" s="315"/>
      <c r="T481" s="55"/>
      <c r="U481" s="55"/>
      <c r="V481" s="55"/>
      <c r="W481" s="55"/>
      <c r="X481" s="55"/>
      <c r="Y481" s="55"/>
      <c r="Z481" s="55"/>
      <c r="AA481" s="55"/>
      <c r="AB481" s="55"/>
      <c r="AC481" s="55"/>
      <c r="AD481" s="55"/>
      <c r="AE481" s="55"/>
      <c r="AF481" s="55"/>
      <c r="AG481" s="55"/>
      <c r="AH481" s="55"/>
      <c r="AI481" s="55"/>
      <c r="AJ481" s="55"/>
      <c r="AK481" s="55"/>
      <c r="AL481" s="55"/>
      <c r="AM481" s="55"/>
      <c r="AN481" s="55"/>
      <c r="AO481" s="55"/>
      <c r="AP481" s="55"/>
      <c r="AQ481" s="55"/>
      <c r="AR481" s="55"/>
      <c r="AS481" s="55"/>
      <c r="AT481" s="55"/>
      <c r="AU481" s="55"/>
      <c r="AV481" s="55"/>
      <c r="AW481" s="55"/>
      <c r="AX481" s="55"/>
      <c r="AY481" s="55"/>
      <c r="AZ481" s="55"/>
      <c r="BA481" s="55"/>
      <c r="BB481" s="55"/>
      <c r="BC481" s="55"/>
      <c r="BD481" s="55"/>
      <c r="BE481" s="55"/>
      <c r="BF481" s="55"/>
      <c r="BG481" s="55"/>
      <c r="BH481" s="55"/>
      <c r="BI481" s="55"/>
      <c r="BJ481" s="55"/>
      <c r="BK481" s="55"/>
      <c r="BL481" s="55"/>
      <c r="BM481" s="55"/>
      <c r="BN481" s="55"/>
      <c r="BO481" s="55"/>
      <c r="BP481" s="55"/>
      <c r="BQ481" s="55"/>
      <c r="BR481" s="55"/>
      <c r="BS481" s="55"/>
      <c r="BT481" s="55"/>
      <c r="BU481" s="55"/>
      <c r="BV481" s="55"/>
      <c r="BW481" s="55"/>
      <c r="BX481" s="55"/>
      <c r="BY481" s="55"/>
      <c r="BZ481" s="55"/>
      <c r="CA481" s="55"/>
      <c r="CB481" s="55"/>
      <c r="CC481" s="55"/>
      <c r="CD481" s="55"/>
      <c r="CE481" s="55"/>
      <c r="CF481" s="55"/>
      <c r="CG481" s="55"/>
      <c r="CH481" s="55"/>
      <c r="CI481" s="55"/>
      <c r="CJ481" s="55"/>
      <c r="CK481" s="55"/>
      <c r="CL481" s="55"/>
      <c r="CM481" s="55"/>
      <c r="CN481" s="55"/>
      <c r="CO481" s="55"/>
      <c r="CP481" s="55"/>
      <c r="CQ481" s="55"/>
      <c r="CR481" s="55"/>
      <c r="CS481" s="55"/>
      <c r="CT481" s="55"/>
      <c r="CU481" s="55"/>
      <c r="CV481" s="55"/>
      <c r="CW481" s="55"/>
      <c r="CX481" s="55"/>
      <c r="CY481" s="55"/>
      <c r="CZ481" s="55"/>
      <c r="DA481" s="55"/>
      <c r="DB481" s="55"/>
      <c r="DC481" s="55"/>
      <c r="DD481" s="55"/>
      <c r="DE481" s="55"/>
      <c r="DF481" s="55"/>
      <c r="DG481" s="55"/>
      <c r="DH481" s="55"/>
      <c r="DI481" s="55"/>
      <c r="DJ481" s="55"/>
    </row>
    <row r="482" spans="1:114" x14ac:dyDescent="0.25">
      <c r="A482" s="127">
        <v>12</v>
      </c>
      <c r="B482" s="60"/>
      <c r="C482" s="43"/>
      <c r="D482" s="60"/>
      <c r="E482" s="43">
        <v>0</v>
      </c>
      <c r="F482" s="59"/>
      <c r="G482" s="56">
        <f t="shared" si="196"/>
        <v>0</v>
      </c>
      <c r="H482" s="43"/>
      <c r="I482" s="56">
        <f t="shared" si="197"/>
        <v>0</v>
      </c>
      <c r="J482" s="56">
        <f t="shared" si="198"/>
        <v>0</v>
      </c>
      <c r="K482" s="57">
        <f t="shared" si="199"/>
        <v>0</v>
      </c>
      <c r="L482" s="297"/>
      <c r="M482" s="297"/>
      <c r="N482" s="314">
        <f t="shared" si="200"/>
        <v>0</v>
      </c>
      <c r="O482" s="310"/>
      <c r="P482" s="315"/>
      <c r="Q482" s="315"/>
      <c r="R482" s="315"/>
      <c r="S482" s="315"/>
      <c r="T482" s="55"/>
      <c r="U482" s="55"/>
      <c r="V482" s="55"/>
      <c r="W482" s="55"/>
      <c r="X482" s="55"/>
      <c r="Y482" s="55"/>
      <c r="Z482" s="55"/>
      <c r="AA482" s="55"/>
      <c r="AB482" s="55"/>
      <c r="AC482" s="55"/>
      <c r="AD482" s="55"/>
      <c r="AE482" s="55"/>
      <c r="AF482" s="55"/>
      <c r="AG482" s="55"/>
      <c r="AH482" s="55"/>
      <c r="AI482" s="55"/>
      <c r="AJ482" s="55"/>
      <c r="AK482" s="55"/>
      <c r="AL482" s="55"/>
      <c r="AM482" s="55"/>
      <c r="AN482" s="55"/>
      <c r="AO482" s="55"/>
      <c r="AP482" s="55"/>
      <c r="AQ482" s="55"/>
      <c r="AR482" s="55"/>
      <c r="AS482" s="55"/>
      <c r="AT482" s="55"/>
      <c r="AU482" s="55"/>
      <c r="AV482" s="55"/>
      <c r="AW482" s="55"/>
      <c r="AX482" s="55"/>
      <c r="AY482" s="55"/>
      <c r="AZ482" s="55"/>
      <c r="BA482" s="55"/>
      <c r="BB482" s="55"/>
      <c r="BC482" s="55"/>
      <c r="BD482" s="55"/>
      <c r="BE482" s="55"/>
      <c r="BF482" s="55"/>
      <c r="BG482" s="55"/>
      <c r="BH482" s="55"/>
      <c r="BI482" s="55"/>
      <c r="BJ482" s="55"/>
      <c r="BK482" s="55"/>
      <c r="BL482" s="55"/>
      <c r="BM482" s="55"/>
      <c r="BN482" s="55"/>
      <c r="BO482" s="55"/>
      <c r="BP482" s="55"/>
      <c r="BQ482" s="55"/>
      <c r="BR482" s="55"/>
      <c r="BS482" s="55"/>
      <c r="BT482" s="55"/>
      <c r="BU482" s="55"/>
      <c r="BV482" s="55"/>
      <c r="BW482" s="55"/>
      <c r="BX482" s="55"/>
      <c r="BY482" s="55"/>
      <c r="BZ482" s="55"/>
      <c r="CA482" s="55"/>
      <c r="CB482" s="55"/>
      <c r="CC482" s="55"/>
      <c r="CD482" s="55"/>
      <c r="CE482" s="55"/>
      <c r="CF482" s="55"/>
      <c r="CG482" s="55"/>
      <c r="CH482" s="55"/>
      <c r="CI482" s="55"/>
      <c r="CJ482" s="55"/>
      <c r="CK482" s="55"/>
      <c r="CL482" s="55"/>
      <c r="CM482" s="55"/>
      <c r="CN482" s="55"/>
      <c r="CO482" s="55"/>
      <c r="CP482" s="55"/>
      <c r="CQ482" s="55"/>
      <c r="CR482" s="55"/>
      <c r="CS482" s="55"/>
      <c r="CT482" s="55"/>
      <c r="CU482" s="55"/>
      <c r="CV482" s="55"/>
      <c r="CW482" s="55"/>
      <c r="CX482" s="55"/>
      <c r="CY482" s="55"/>
      <c r="CZ482" s="55"/>
      <c r="DA482" s="55"/>
      <c r="DB482" s="55"/>
      <c r="DC482" s="55"/>
      <c r="DD482" s="55"/>
      <c r="DE482" s="55"/>
      <c r="DF482" s="55"/>
      <c r="DG482" s="55"/>
      <c r="DH482" s="55"/>
      <c r="DI482" s="55"/>
      <c r="DJ482" s="55"/>
    </row>
    <row r="483" spans="1:114" x14ac:dyDescent="0.25">
      <c r="A483" s="127">
        <v>13</v>
      </c>
      <c r="B483" s="79"/>
      <c r="C483" s="43"/>
      <c r="D483" s="60"/>
      <c r="E483" s="43">
        <v>0</v>
      </c>
      <c r="F483" s="59"/>
      <c r="G483" s="56">
        <f t="shared" si="196"/>
        <v>0</v>
      </c>
      <c r="H483" s="43">
        <v>0</v>
      </c>
      <c r="I483" s="56">
        <f t="shared" si="197"/>
        <v>0</v>
      </c>
      <c r="J483" s="56">
        <f t="shared" si="198"/>
        <v>0</v>
      </c>
      <c r="K483" s="57">
        <f t="shared" si="199"/>
        <v>0</v>
      </c>
      <c r="L483" s="297"/>
      <c r="M483" s="297"/>
      <c r="N483" s="314">
        <f t="shared" si="200"/>
        <v>0</v>
      </c>
      <c r="O483" s="310"/>
      <c r="P483" s="315"/>
      <c r="Q483" s="315"/>
      <c r="R483" s="315"/>
      <c r="S483" s="315"/>
      <c r="T483" s="55"/>
      <c r="U483" s="55"/>
      <c r="V483" s="55"/>
      <c r="W483" s="55"/>
      <c r="X483" s="55"/>
      <c r="Y483" s="55"/>
      <c r="Z483" s="55"/>
      <c r="AA483" s="55"/>
      <c r="AB483" s="55"/>
      <c r="AC483" s="55"/>
      <c r="AD483" s="55"/>
      <c r="AE483" s="55"/>
      <c r="AF483" s="55"/>
      <c r="AG483" s="55"/>
      <c r="AH483" s="55"/>
      <c r="AI483" s="55"/>
      <c r="AJ483" s="55"/>
      <c r="AK483" s="55"/>
      <c r="AL483" s="55"/>
      <c r="AM483" s="55"/>
      <c r="AN483" s="55"/>
      <c r="AO483" s="55"/>
      <c r="AP483" s="55"/>
      <c r="AQ483" s="55"/>
      <c r="AR483" s="55"/>
      <c r="AS483" s="55"/>
      <c r="AT483" s="55"/>
      <c r="AU483" s="55"/>
      <c r="AV483" s="55"/>
      <c r="AW483" s="55"/>
      <c r="AX483" s="55"/>
      <c r="AY483" s="55"/>
      <c r="AZ483" s="55"/>
      <c r="BA483" s="55"/>
      <c r="BB483" s="55"/>
      <c r="BC483" s="55"/>
      <c r="BD483" s="55"/>
      <c r="BE483" s="55"/>
      <c r="BF483" s="55"/>
      <c r="BG483" s="55"/>
      <c r="BH483" s="55"/>
      <c r="BI483" s="55"/>
      <c r="BJ483" s="55"/>
      <c r="BK483" s="55"/>
      <c r="BL483" s="55"/>
      <c r="BM483" s="55"/>
      <c r="BN483" s="55"/>
      <c r="BO483" s="55"/>
      <c r="BP483" s="55"/>
      <c r="BQ483" s="55"/>
      <c r="BR483" s="55"/>
      <c r="BS483" s="55"/>
      <c r="BT483" s="55"/>
      <c r="BU483" s="55"/>
      <c r="BV483" s="55"/>
      <c r="BW483" s="55"/>
      <c r="BX483" s="55"/>
      <c r="BY483" s="55"/>
      <c r="BZ483" s="55"/>
      <c r="CA483" s="55"/>
      <c r="CB483" s="55"/>
      <c r="CC483" s="55"/>
      <c r="CD483" s="55"/>
      <c r="CE483" s="55"/>
      <c r="CF483" s="55"/>
      <c r="CG483" s="55"/>
      <c r="CH483" s="55"/>
      <c r="CI483" s="55"/>
      <c r="CJ483" s="55"/>
      <c r="CK483" s="55"/>
      <c r="CL483" s="55"/>
      <c r="CM483" s="55"/>
      <c r="CN483" s="55"/>
      <c r="CO483" s="55"/>
      <c r="CP483" s="55"/>
      <c r="CQ483" s="55"/>
      <c r="CR483" s="55"/>
      <c r="CS483" s="55"/>
      <c r="CT483" s="55"/>
      <c r="CU483" s="55"/>
      <c r="CV483" s="55"/>
      <c r="CW483" s="55"/>
      <c r="CX483" s="55"/>
      <c r="CY483" s="55"/>
      <c r="CZ483" s="55"/>
      <c r="DA483" s="55"/>
      <c r="DB483" s="55"/>
      <c r="DC483" s="55"/>
      <c r="DD483" s="55"/>
      <c r="DE483" s="55"/>
      <c r="DF483" s="55"/>
      <c r="DG483" s="55"/>
      <c r="DH483" s="55"/>
      <c r="DI483" s="55"/>
      <c r="DJ483" s="55"/>
    </row>
    <row r="484" spans="1:114" ht="15.75" thickBot="1" x14ac:dyDescent="0.3">
      <c r="A484" s="127">
        <v>14</v>
      </c>
      <c r="B484" s="121"/>
      <c r="C484" s="122"/>
      <c r="D484" s="121"/>
      <c r="E484" s="122">
        <v>0</v>
      </c>
      <c r="F484" s="118"/>
      <c r="G484" s="109">
        <f t="shared" si="196"/>
        <v>0</v>
      </c>
      <c r="H484" s="122">
        <v>0</v>
      </c>
      <c r="I484" s="109">
        <f t="shared" si="197"/>
        <v>0</v>
      </c>
      <c r="J484" s="109">
        <f t="shared" si="198"/>
        <v>0</v>
      </c>
      <c r="K484" s="110">
        <f t="shared" si="199"/>
        <v>0</v>
      </c>
      <c r="L484" s="297"/>
      <c r="M484" s="297"/>
      <c r="N484" s="321">
        <f t="shared" si="200"/>
        <v>0</v>
      </c>
      <c r="O484" s="312"/>
      <c r="P484" s="318"/>
      <c r="Q484" s="318"/>
      <c r="R484" s="318"/>
      <c r="S484" s="318"/>
      <c r="T484" s="108"/>
      <c r="U484" s="108"/>
      <c r="V484" s="108"/>
      <c r="W484" s="108"/>
      <c r="X484" s="108"/>
      <c r="Y484" s="108"/>
      <c r="Z484" s="108"/>
      <c r="AA484" s="108"/>
      <c r="AB484" s="108"/>
      <c r="AC484" s="108"/>
      <c r="AD484" s="108"/>
      <c r="AE484" s="108"/>
      <c r="AF484" s="108"/>
      <c r="AG484" s="108"/>
      <c r="AH484" s="108"/>
      <c r="AI484" s="108"/>
      <c r="AJ484" s="108"/>
      <c r="AK484" s="108"/>
      <c r="AL484" s="108"/>
      <c r="AM484" s="108"/>
      <c r="AN484" s="108"/>
      <c r="AO484" s="108"/>
      <c r="AP484" s="108"/>
      <c r="AQ484" s="108"/>
      <c r="AR484" s="108"/>
      <c r="AS484" s="108"/>
      <c r="AT484" s="108"/>
      <c r="AU484" s="108"/>
      <c r="AV484" s="108"/>
      <c r="AW484" s="108"/>
      <c r="AX484" s="108"/>
      <c r="AY484" s="108"/>
      <c r="AZ484" s="108"/>
      <c r="BA484" s="108"/>
      <c r="BB484" s="108"/>
      <c r="BC484" s="108"/>
      <c r="BD484" s="108"/>
      <c r="BE484" s="108"/>
      <c r="BF484" s="108"/>
      <c r="BG484" s="108"/>
      <c r="BH484" s="108"/>
      <c r="BI484" s="108"/>
      <c r="BJ484" s="108"/>
      <c r="BK484" s="108"/>
      <c r="BL484" s="108"/>
      <c r="BM484" s="108"/>
      <c r="BN484" s="108"/>
      <c r="BO484" s="108"/>
      <c r="BP484" s="108"/>
      <c r="BQ484" s="108"/>
      <c r="BR484" s="108"/>
      <c r="BS484" s="108"/>
      <c r="BT484" s="108"/>
      <c r="BU484" s="108"/>
      <c r="BV484" s="108"/>
      <c r="BW484" s="108"/>
      <c r="BX484" s="108"/>
      <c r="BY484" s="108"/>
      <c r="BZ484" s="108"/>
      <c r="CA484" s="108"/>
      <c r="CB484" s="108"/>
      <c r="CC484" s="108"/>
      <c r="CD484" s="108"/>
      <c r="CE484" s="108"/>
      <c r="CF484" s="108"/>
      <c r="CG484" s="108"/>
      <c r="CH484" s="108"/>
      <c r="CI484" s="108"/>
      <c r="CJ484" s="108"/>
      <c r="CK484" s="108"/>
      <c r="CL484" s="108"/>
      <c r="CM484" s="108"/>
      <c r="CN484" s="108"/>
      <c r="CO484" s="108"/>
      <c r="CP484" s="108"/>
      <c r="CQ484" s="108"/>
      <c r="CR484" s="108"/>
      <c r="CS484" s="108"/>
      <c r="CT484" s="108"/>
      <c r="CU484" s="108"/>
      <c r="CV484" s="108"/>
      <c r="CW484" s="108"/>
      <c r="CX484" s="108"/>
      <c r="CY484" s="108"/>
      <c r="CZ484" s="108"/>
      <c r="DA484" s="108"/>
      <c r="DB484" s="108"/>
      <c r="DC484" s="108"/>
      <c r="DD484" s="108"/>
      <c r="DE484" s="108"/>
      <c r="DF484" s="108"/>
      <c r="DG484" s="108"/>
      <c r="DH484" s="108"/>
      <c r="DI484" s="108"/>
      <c r="DJ484" s="108"/>
    </row>
    <row r="485" spans="1:114" ht="15.75" thickBot="1" x14ac:dyDescent="0.3">
      <c r="A485" s="37"/>
      <c r="B485" s="41" t="s">
        <v>882</v>
      </c>
      <c r="C485" s="36"/>
      <c r="D485" s="36"/>
      <c r="E485" s="35">
        <f>SUM(E471:E484)</f>
        <v>828540</v>
      </c>
      <c r="F485" s="35">
        <f t="shared" ref="F485:J485" si="201">SUM(F471:F484)</f>
        <v>380000</v>
      </c>
      <c r="G485" s="35">
        <f t="shared" si="201"/>
        <v>1208540</v>
      </c>
      <c r="H485" s="35">
        <f t="shared" si="201"/>
        <v>644480</v>
      </c>
      <c r="I485" s="35">
        <f t="shared" si="201"/>
        <v>564060</v>
      </c>
      <c r="J485" s="35">
        <f t="shared" si="201"/>
        <v>3159880000</v>
      </c>
      <c r="K485" s="198">
        <f>SUM(K471:K484)</f>
        <v>119410156.40000001</v>
      </c>
      <c r="L485" s="297"/>
      <c r="M485" s="297"/>
      <c r="N485" s="322">
        <f t="shared" si="200"/>
        <v>0</v>
      </c>
      <c r="O485" s="325"/>
      <c r="P485" s="325"/>
      <c r="Q485" s="325"/>
      <c r="R485" s="325"/>
      <c r="S485" s="325"/>
      <c r="T485" s="324"/>
      <c r="U485" s="324"/>
      <c r="V485" s="324"/>
      <c r="W485" s="324"/>
      <c r="X485" s="324"/>
      <c r="Y485" s="324"/>
      <c r="Z485" s="324"/>
      <c r="AA485" s="324"/>
      <c r="AB485" s="324"/>
      <c r="AC485" s="324"/>
      <c r="AD485" s="324"/>
      <c r="AE485" s="324"/>
      <c r="AF485" s="324"/>
      <c r="AG485" s="324"/>
      <c r="AH485" s="324"/>
      <c r="AI485" s="324"/>
      <c r="AJ485" s="324"/>
      <c r="AK485" s="324"/>
      <c r="AL485" s="324"/>
      <c r="AM485" s="324"/>
      <c r="AN485" s="324"/>
      <c r="AO485" s="324"/>
      <c r="AP485" s="324"/>
      <c r="AQ485" s="324"/>
      <c r="AR485" s="324"/>
      <c r="AS485" s="324"/>
      <c r="AT485" s="324"/>
      <c r="AU485" s="324"/>
      <c r="AV485" s="324"/>
      <c r="AW485" s="324"/>
      <c r="AX485" s="324"/>
      <c r="AY485" s="324"/>
      <c r="AZ485" s="324"/>
      <c r="BA485" s="324"/>
      <c r="BB485" s="324"/>
      <c r="BC485" s="324"/>
      <c r="BD485" s="324"/>
      <c r="BE485" s="324"/>
      <c r="BF485" s="324"/>
      <c r="BG485" s="324"/>
      <c r="BH485" s="324"/>
      <c r="BI485" s="324"/>
      <c r="BJ485" s="324"/>
      <c r="BK485" s="324"/>
      <c r="BL485" s="324"/>
      <c r="BM485" s="324"/>
      <c r="BN485" s="324"/>
      <c r="BO485" s="324"/>
      <c r="BP485" s="324"/>
      <c r="BQ485" s="324"/>
      <c r="BR485" s="324"/>
      <c r="BS485" s="324"/>
      <c r="BT485" s="324"/>
      <c r="BU485" s="324"/>
      <c r="BV485" s="324"/>
      <c r="BW485" s="324"/>
      <c r="BX485" s="324"/>
      <c r="BY485" s="324"/>
      <c r="BZ485" s="324"/>
      <c r="CA485" s="324"/>
      <c r="CB485" s="324"/>
      <c r="CC485" s="324"/>
      <c r="CD485" s="324"/>
      <c r="CE485" s="324"/>
      <c r="CF485" s="324"/>
      <c r="CG485" s="324"/>
      <c r="CH485" s="324"/>
      <c r="CI485" s="324"/>
      <c r="CJ485" s="324"/>
      <c r="CK485" s="324"/>
      <c r="CL485" s="324"/>
      <c r="CM485" s="324"/>
      <c r="CN485" s="324"/>
      <c r="CO485" s="324"/>
      <c r="CP485" s="324"/>
      <c r="CQ485" s="324"/>
      <c r="CR485" s="324"/>
      <c r="CS485" s="324"/>
      <c r="CT485" s="324"/>
      <c r="CU485" s="324"/>
      <c r="CV485" s="324"/>
      <c r="CW485" s="324"/>
      <c r="CX485" s="324"/>
      <c r="CY485" s="324"/>
      <c r="CZ485" s="324"/>
      <c r="DA485" s="324"/>
      <c r="DB485" s="324"/>
      <c r="DC485" s="324"/>
      <c r="DD485" s="324"/>
      <c r="DE485" s="324"/>
      <c r="DF485" s="324"/>
      <c r="DG485" s="324"/>
      <c r="DH485" s="324"/>
      <c r="DI485" s="324"/>
      <c r="DJ485" s="324"/>
    </row>
    <row r="486" spans="1:114" x14ac:dyDescent="0.25">
      <c r="E486" s="26"/>
      <c r="F486" s="26"/>
      <c r="G486" s="26"/>
      <c r="H486" s="26"/>
      <c r="I486" s="26"/>
      <c r="J486" s="26"/>
      <c r="K486" s="306"/>
      <c r="L486" s="301"/>
      <c r="M486" s="301"/>
      <c r="N486" s="295"/>
      <c r="O486" s="234"/>
      <c r="P486" s="234"/>
      <c r="Q486" s="234"/>
      <c r="R486" s="234"/>
      <c r="S486" s="234"/>
      <c r="T486" s="67"/>
      <c r="U486" s="67"/>
      <c r="V486" s="67"/>
      <c r="W486" s="67"/>
    </row>
    <row r="487" spans="1:114" ht="15.75" thickBot="1" x14ac:dyDescent="0.3">
      <c r="A487" s="103" t="s">
        <v>655</v>
      </c>
      <c r="K487" s="307"/>
      <c r="L487" s="234"/>
      <c r="M487" s="234"/>
      <c r="N487" s="295"/>
      <c r="O487" s="234"/>
      <c r="P487" s="234"/>
      <c r="Q487" s="234"/>
      <c r="R487" s="234"/>
      <c r="S487" s="234"/>
      <c r="T487" s="67"/>
      <c r="U487" s="67"/>
      <c r="V487" s="67"/>
      <c r="W487" s="67"/>
    </row>
    <row r="488" spans="1:114" s="67" customFormat="1" ht="15.75" thickBot="1" x14ac:dyDescent="0.3">
      <c r="A488" s="128"/>
      <c r="B488" s="119" t="s">
        <v>887</v>
      </c>
      <c r="C488" s="36"/>
      <c r="D488" s="36"/>
      <c r="E488" s="61">
        <f t="shared" ref="E488:K488" si="202">+E45+E63+E82+E103+E135+E171+E231+E303+E346+E381+E412+E432+E452+E465+E485</f>
        <v>1026731</v>
      </c>
      <c r="F488" s="61">
        <f t="shared" si="202"/>
        <v>380000</v>
      </c>
      <c r="G488" s="61">
        <f t="shared" si="202"/>
        <v>1406731</v>
      </c>
      <c r="H488" s="61">
        <f t="shared" si="202"/>
        <v>696550</v>
      </c>
      <c r="I488" s="61">
        <f t="shared" si="202"/>
        <v>710181</v>
      </c>
      <c r="J488" s="61">
        <f t="shared" si="202"/>
        <v>4288404000</v>
      </c>
      <c r="K488" s="212">
        <f t="shared" si="202"/>
        <v>149379211.86000001</v>
      </c>
      <c r="L488" s="302"/>
      <c r="M488" s="302"/>
      <c r="N488" s="295"/>
      <c r="O488" s="234"/>
      <c r="P488" s="234"/>
      <c r="Q488" s="234"/>
      <c r="R488" s="234"/>
      <c r="S488" s="234"/>
    </row>
    <row r="489" spans="1:114" x14ac:dyDescent="0.25">
      <c r="L489" s="67"/>
      <c r="M489" s="67"/>
      <c r="N489" s="308"/>
      <c r="O489" s="293"/>
      <c r="P489" s="293"/>
      <c r="Q489" s="294"/>
      <c r="R489" s="67"/>
      <c r="S489" s="67"/>
      <c r="T489" s="67"/>
      <c r="U489" s="67"/>
      <c r="V489" s="67"/>
      <c r="W489" s="67"/>
    </row>
    <row r="490" spans="1:114" x14ac:dyDescent="0.25">
      <c r="E490" s="45"/>
      <c r="F490" s="45"/>
      <c r="G490" s="167"/>
      <c r="H490" s="45"/>
      <c r="I490" s="45"/>
      <c r="J490" s="45"/>
      <c r="K490" s="45"/>
      <c r="L490" s="45"/>
      <c r="M490" s="45"/>
    </row>
  </sheetData>
  <mergeCells count="1635">
    <mergeCell ref="J4:J5"/>
    <mergeCell ref="K4:K5"/>
    <mergeCell ref="B47:B48"/>
    <mergeCell ref="C47:C48"/>
    <mergeCell ref="D47:D48"/>
    <mergeCell ref="J47:J48"/>
    <mergeCell ref="K47:K48"/>
    <mergeCell ref="E4:I4"/>
    <mergeCell ref="E47:I47"/>
    <mergeCell ref="B4:B5"/>
    <mergeCell ref="C4:C5"/>
    <mergeCell ref="D4:D5"/>
    <mergeCell ref="J65:J66"/>
    <mergeCell ref="K65:K66"/>
    <mergeCell ref="B84:B85"/>
    <mergeCell ref="C84:C85"/>
    <mergeCell ref="D84:D85"/>
    <mergeCell ref="E105:I105"/>
    <mergeCell ref="B105:B106"/>
    <mergeCell ref="C105:C106"/>
    <mergeCell ref="D105:D106"/>
    <mergeCell ref="E137:I137"/>
    <mergeCell ref="J84:J85"/>
    <mergeCell ref="K84:K85"/>
    <mergeCell ref="E65:I65"/>
    <mergeCell ref="B65:B66"/>
    <mergeCell ref="C65:C66"/>
    <mergeCell ref="D65:D66"/>
    <mergeCell ref="E84:I84"/>
    <mergeCell ref="J105:J106"/>
    <mergeCell ref="K105:K106"/>
    <mergeCell ref="J467:J468"/>
    <mergeCell ref="K467:K468"/>
    <mergeCell ref="A467:A469"/>
    <mergeCell ref="B467:B468"/>
    <mergeCell ref="C467:C468"/>
    <mergeCell ref="D467:D468"/>
    <mergeCell ref="E467:I467"/>
    <mergeCell ref="J173:J174"/>
    <mergeCell ref="K173:K174"/>
    <mergeCell ref="B233:B234"/>
    <mergeCell ref="C233:C234"/>
    <mergeCell ref="D233:D234"/>
    <mergeCell ref="J233:J234"/>
    <mergeCell ref="K233:K234"/>
    <mergeCell ref="E173:I173"/>
    <mergeCell ref="B173:B174"/>
    <mergeCell ref="C173:C174"/>
    <mergeCell ref="D173:D174"/>
    <mergeCell ref="E233:I233"/>
    <mergeCell ref="B137:B138"/>
    <mergeCell ref="C137:C138"/>
    <mergeCell ref="D137:D138"/>
    <mergeCell ref="J137:J138"/>
    <mergeCell ref="K137:K138"/>
    <mergeCell ref="J414:J415"/>
    <mergeCell ref="K414:K415"/>
    <mergeCell ref="E434:I434"/>
    <mergeCell ref="E414:I414"/>
    <mergeCell ref="E383:I383"/>
    <mergeCell ref="D383:D384"/>
    <mergeCell ref="J305:J306"/>
    <mergeCell ref="K305:K306"/>
    <mergeCell ref="B349:B350"/>
    <mergeCell ref="C349:C350"/>
    <mergeCell ref="D349:D350"/>
    <mergeCell ref="J349:J350"/>
    <mergeCell ref="K349:K350"/>
    <mergeCell ref="E305:I305"/>
    <mergeCell ref="B305:B306"/>
    <mergeCell ref="C305:C306"/>
    <mergeCell ref="D305:D306"/>
    <mergeCell ref="E349:I349"/>
    <mergeCell ref="A4:A6"/>
    <mergeCell ref="A84:A86"/>
    <mergeCell ref="A105:A107"/>
    <mergeCell ref="A137:A139"/>
    <mergeCell ref="A173:A175"/>
    <mergeCell ref="A47:A49"/>
    <mergeCell ref="A65:A67"/>
    <mergeCell ref="J454:J455"/>
    <mergeCell ref="K454:K455"/>
    <mergeCell ref="A454:A456"/>
    <mergeCell ref="B454:B455"/>
    <mergeCell ref="C454:C455"/>
    <mergeCell ref="D454:D455"/>
    <mergeCell ref="E454:I454"/>
    <mergeCell ref="A233:A235"/>
    <mergeCell ref="A305:A307"/>
    <mergeCell ref="A349:A351"/>
    <mergeCell ref="B434:B435"/>
    <mergeCell ref="C434:C435"/>
    <mergeCell ref="B414:B415"/>
    <mergeCell ref="C414:C415"/>
    <mergeCell ref="B383:B384"/>
    <mergeCell ref="C383:C384"/>
    <mergeCell ref="A383:A385"/>
    <mergeCell ref="A414:A416"/>
    <mergeCell ref="A434:A436"/>
    <mergeCell ref="D434:D435"/>
    <mergeCell ref="J434:J435"/>
    <mergeCell ref="K434:K435"/>
    <mergeCell ref="J383:J384"/>
    <mergeCell ref="K383:K384"/>
    <mergeCell ref="D414:D415"/>
    <mergeCell ref="O4:DJ4"/>
    <mergeCell ref="O47:DJ47"/>
    <mergeCell ref="O65:DJ65"/>
    <mergeCell ref="O84:DJ84"/>
    <mergeCell ref="AJ5:AJ6"/>
    <mergeCell ref="AK5:AK6"/>
    <mergeCell ref="AL5:AL6"/>
    <mergeCell ref="AM5:AM6"/>
    <mergeCell ref="AN5:AN6"/>
    <mergeCell ref="AO5:AO6"/>
    <mergeCell ref="AP5:AP6"/>
    <mergeCell ref="AQ5:AQ6"/>
    <mergeCell ref="AR5:AR6"/>
    <mergeCell ref="AS5:AS6"/>
    <mergeCell ref="AT5:AT6"/>
    <mergeCell ref="AU5:AU6"/>
    <mergeCell ref="AV5:AV6"/>
    <mergeCell ref="AW5:AW6"/>
    <mergeCell ref="AX5:AX6"/>
    <mergeCell ref="AY5:AY6"/>
    <mergeCell ref="AZ5:AZ6"/>
    <mergeCell ref="BA5:BA6"/>
    <mergeCell ref="BB5:BB6"/>
    <mergeCell ref="BC5:BC6"/>
    <mergeCell ref="BD5:BD6"/>
    <mergeCell ref="BE5:BE6"/>
    <mergeCell ref="BF5:BF6"/>
    <mergeCell ref="BT5:BT6"/>
    <mergeCell ref="BU5:BU6"/>
    <mergeCell ref="BV5:BV6"/>
    <mergeCell ref="BW5:BW6"/>
    <mergeCell ref="BX5:BX6"/>
    <mergeCell ref="O105:DJ105"/>
    <mergeCell ref="O137:DJ137"/>
    <mergeCell ref="O173:DJ173"/>
    <mergeCell ref="O233:DJ233"/>
    <mergeCell ref="O305:DJ305"/>
    <mergeCell ref="AD106:AD107"/>
    <mergeCell ref="AE106:AE107"/>
    <mergeCell ref="AF106:AF107"/>
    <mergeCell ref="AG106:AG107"/>
    <mergeCell ref="AH106:AH107"/>
    <mergeCell ref="AI106:AI107"/>
    <mergeCell ref="AJ106:AJ107"/>
    <mergeCell ref="AK106:AK107"/>
    <mergeCell ref="AL106:AL107"/>
    <mergeCell ref="AM106:AM107"/>
    <mergeCell ref="AN106:AN107"/>
    <mergeCell ref="AO106:AO107"/>
    <mergeCell ref="AP106:AP107"/>
    <mergeCell ref="AQ106:AQ107"/>
    <mergeCell ref="AR106:AR107"/>
    <mergeCell ref="AS106:AS107"/>
    <mergeCell ref="AT106:AT107"/>
    <mergeCell ref="AU106:AU107"/>
    <mergeCell ref="AV106:AV107"/>
    <mergeCell ref="AW106:AW107"/>
    <mergeCell ref="AX106:AX107"/>
    <mergeCell ref="AY106:AY107"/>
    <mergeCell ref="AZ106:AZ107"/>
    <mergeCell ref="BW106:BW107"/>
    <mergeCell ref="BX106:BX107"/>
    <mergeCell ref="BY106:BY107"/>
    <mergeCell ref="BZ106:BZ107"/>
    <mergeCell ref="O349:DJ349"/>
    <mergeCell ref="O383:DJ383"/>
    <mergeCell ref="O414:DJ414"/>
    <mergeCell ref="O434:DJ434"/>
    <mergeCell ref="O454:DJ454"/>
    <mergeCell ref="AE350:AE351"/>
    <mergeCell ref="AF350:AF351"/>
    <mergeCell ref="AG350:AG351"/>
    <mergeCell ref="AH350:AH351"/>
    <mergeCell ref="AI350:AI351"/>
    <mergeCell ref="AJ350:AJ351"/>
    <mergeCell ref="AK350:AK351"/>
    <mergeCell ref="AL350:AL351"/>
    <mergeCell ref="AM350:AM351"/>
    <mergeCell ref="AN350:AN351"/>
    <mergeCell ref="AO350:AO351"/>
    <mergeCell ref="AP350:AP351"/>
    <mergeCell ref="AQ350:AQ351"/>
    <mergeCell ref="AR350:AR351"/>
    <mergeCell ref="AD350:AD351"/>
    <mergeCell ref="BG350:BG351"/>
    <mergeCell ref="BH350:BH351"/>
    <mergeCell ref="BI350:BI351"/>
    <mergeCell ref="BJ350:BJ351"/>
    <mergeCell ref="AD384:AD385"/>
    <mergeCell ref="CU350:CU351"/>
    <mergeCell ref="CV350:CV351"/>
    <mergeCell ref="CW350:CW351"/>
    <mergeCell ref="CX350:CX351"/>
    <mergeCell ref="CY350:CY351"/>
    <mergeCell ref="CZ350:CZ351"/>
    <mergeCell ref="DA350:DA351"/>
    <mergeCell ref="O467:DJ467"/>
    <mergeCell ref="O5:O6"/>
    <mergeCell ref="N4:N6"/>
    <mergeCell ref="P5:P6"/>
    <mergeCell ref="Q5:Q6"/>
    <mergeCell ref="R5:R6"/>
    <mergeCell ref="S5:S6"/>
    <mergeCell ref="T5:T6"/>
    <mergeCell ref="U5:U6"/>
    <mergeCell ref="V5:V6"/>
    <mergeCell ref="W5:W6"/>
    <mergeCell ref="X5:X6"/>
    <mergeCell ref="Y5:Y6"/>
    <mergeCell ref="Z5:Z6"/>
    <mergeCell ref="AA5:AA6"/>
    <mergeCell ref="AB5:AB6"/>
    <mergeCell ref="AC5:AC6"/>
    <mergeCell ref="AD5:AD6"/>
    <mergeCell ref="AE5:AE6"/>
    <mergeCell ref="AF5:AF6"/>
    <mergeCell ref="AG5:AG6"/>
    <mergeCell ref="AH5:AH6"/>
    <mergeCell ref="AI5:AI6"/>
    <mergeCell ref="CC5:CC6"/>
    <mergeCell ref="CD5:CD6"/>
    <mergeCell ref="CE5:CE6"/>
    <mergeCell ref="CF5:CF6"/>
    <mergeCell ref="CG5:CG6"/>
    <mergeCell ref="BP5:BP6"/>
    <mergeCell ref="BQ5:BQ6"/>
    <mergeCell ref="BR5:BR6"/>
    <mergeCell ref="BS5:BS6"/>
    <mergeCell ref="BG5:BG6"/>
    <mergeCell ref="BH5:BH6"/>
    <mergeCell ref="BI5:BI6"/>
    <mergeCell ref="BJ5:BJ6"/>
    <mergeCell ref="BK5:BK6"/>
    <mergeCell ref="BL5:BL6"/>
    <mergeCell ref="BM5:BM6"/>
    <mergeCell ref="BN5:BN6"/>
    <mergeCell ref="BO5:BO6"/>
    <mergeCell ref="AI48:AI49"/>
    <mergeCell ref="CZ5:CZ6"/>
    <mergeCell ref="DA5:DA6"/>
    <mergeCell ref="DB5:DB6"/>
    <mergeCell ref="DC5:DC6"/>
    <mergeCell ref="DD5:DD6"/>
    <mergeCell ref="DE5:DE6"/>
    <mergeCell ref="DF5:DF6"/>
    <mergeCell ref="BY5:BY6"/>
    <mergeCell ref="BZ5:BZ6"/>
    <mergeCell ref="CA5:CA6"/>
    <mergeCell ref="CB5:CB6"/>
    <mergeCell ref="AJ48:AJ49"/>
    <mergeCell ref="AK48:AK49"/>
    <mergeCell ref="AL48:AL49"/>
    <mergeCell ref="AM48:AM49"/>
    <mergeCell ref="AN48:AN49"/>
    <mergeCell ref="AO48:AO49"/>
    <mergeCell ref="AP48:AP49"/>
    <mergeCell ref="AQ48:AQ49"/>
    <mergeCell ref="AR48:AR49"/>
    <mergeCell ref="AS48:AS49"/>
    <mergeCell ref="AT48:AT49"/>
    <mergeCell ref="DG5:DG6"/>
    <mergeCell ref="DH5:DH6"/>
    <mergeCell ref="CQ5:CQ6"/>
    <mergeCell ref="CR5:CR6"/>
    <mergeCell ref="CS5:CS6"/>
    <mergeCell ref="CT5:CT6"/>
    <mergeCell ref="CU5:CU6"/>
    <mergeCell ref="CV5:CV6"/>
    <mergeCell ref="CW5:CW6"/>
    <mergeCell ref="CX5:CX6"/>
    <mergeCell ref="CY5:CY6"/>
    <mergeCell ref="CH5:CH6"/>
    <mergeCell ref="CI5:CI6"/>
    <mergeCell ref="CJ5:CJ6"/>
    <mergeCell ref="CK5:CK6"/>
    <mergeCell ref="CL5:CL6"/>
    <mergeCell ref="CM5:CM6"/>
    <mergeCell ref="CN5:CN6"/>
    <mergeCell ref="CO5:CO6"/>
    <mergeCell ref="CP5:CP6"/>
    <mergeCell ref="DI5:DI6"/>
    <mergeCell ref="DJ5:DJ6"/>
    <mergeCell ref="N47:N49"/>
    <mergeCell ref="O48:O49"/>
    <mergeCell ref="P48:P49"/>
    <mergeCell ref="Q48:Q49"/>
    <mergeCell ref="R48:R49"/>
    <mergeCell ref="S48:S49"/>
    <mergeCell ref="T48:T49"/>
    <mergeCell ref="U48:U49"/>
    <mergeCell ref="V48:V49"/>
    <mergeCell ref="W48:W49"/>
    <mergeCell ref="X48:X49"/>
    <mergeCell ref="Y48:Y49"/>
    <mergeCell ref="Z48:Z49"/>
    <mergeCell ref="AA48:AA49"/>
    <mergeCell ref="AB48:AB49"/>
    <mergeCell ref="AC48:AC49"/>
    <mergeCell ref="AD48:AD49"/>
    <mergeCell ref="AE48:AE49"/>
    <mergeCell ref="AF48:AF49"/>
    <mergeCell ref="AG48:AG49"/>
    <mergeCell ref="AH48:AH49"/>
    <mergeCell ref="BB48:BB49"/>
    <mergeCell ref="BC48:BC49"/>
    <mergeCell ref="BD48:BD49"/>
    <mergeCell ref="BE48:BE49"/>
    <mergeCell ref="BF48:BF49"/>
    <mergeCell ref="BG48:BG49"/>
    <mergeCell ref="BH48:BH49"/>
    <mergeCell ref="BI48:BI49"/>
    <mergeCell ref="BJ48:BJ49"/>
    <mergeCell ref="AU48:AU49"/>
    <mergeCell ref="AV48:AV49"/>
    <mergeCell ref="AW48:AW49"/>
    <mergeCell ref="AX48:AX49"/>
    <mergeCell ref="AY48:AY49"/>
    <mergeCell ref="AZ48:AZ49"/>
    <mergeCell ref="BA48:BA49"/>
    <mergeCell ref="BT48:BT49"/>
    <mergeCell ref="BU48:BU49"/>
    <mergeCell ref="BV48:BV49"/>
    <mergeCell ref="BW48:BW49"/>
    <mergeCell ref="BX48:BX49"/>
    <mergeCell ref="BY48:BY49"/>
    <mergeCell ref="BZ48:BZ49"/>
    <mergeCell ref="CA48:CA49"/>
    <mergeCell ref="CB48:CB49"/>
    <mergeCell ref="BK48:BK49"/>
    <mergeCell ref="BL48:BL49"/>
    <mergeCell ref="BM48:BM49"/>
    <mergeCell ref="BN48:BN49"/>
    <mergeCell ref="BO48:BO49"/>
    <mergeCell ref="BP48:BP49"/>
    <mergeCell ref="BQ48:BQ49"/>
    <mergeCell ref="BR48:BR49"/>
    <mergeCell ref="BS48:BS49"/>
    <mergeCell ref="DC48:DC49"/>
    <mergeCell ref="CL48:CL49"/>
    <mergeCell ref="CM48:CM49"/>
    <mergeCell ref="CN48:CN49"/>
    <mergeCell ref="CO48:CO49"/>
    <mergeCell ref="CP48:CP49"/>
    <mergeCell ref="CQ48:CQ49"/>
    <mergeCell ref="CR48:CR49"/>
    <mergeCell ref="CS48:CS49"/>
    <mergeCell ref="CT48:CT49"/>
    <mergeCell ref="CC48:CC49"/>
    <mergeCell ref="CD48:CD49"/>
    <mergeCell ref="CE48:CE49"/>
    <mergeCell ref="CF48:CF49"/>
    <mergeCell ref="CG48:CG49"/>
    <mergeCell ref="CH48:CH49"/>
    <mergeCell ref="CI48:CI49"/>
    <mergeCell ref="CJ48:CJ49"/>
    <mergeCell ref="CK48:CK49"/>
    <mergeCell ref="DD48:DD49"/>
    <mergeCell ref="DE48:DE49"/>
    <mergeCell ref="DF48:DF49"/>
    <mergeCell ref="DG48:DG49"/>
    <mergeCell ref="DH48:DH49"/>
    <mergeCell ref="DI48:DI49"/>
    <mergeCell ref="DJ48:DJ49"/>
    <mergeCell ref="N65:N67"/>
    <mergeCell ref="O66:O67"/>
    <mergeCell ref="P66:P67"/>
    <mergeCell ref="Q66:Q67"/>
    <mergeCell ref="R66:R67"/>
    <mergeCell ref="S66:S67"/>
    <mergeCell ref="T66:T67"/>
    <mergeCell ref="U66:U67"/>
    <mergeCell ref="V66:V67"/>
    <mergeCell ref="W66:W67"/>
    <mergeCell ref="X66:X67"/>
    <mergeCell ref="Y66:Y67"/>
    <mergeCell ref="Z66:Z67"/>
    <mergeCell ref="AA66:AA67"/>
    <mergeCell ref="AB66:AB67"/>
    <mergeCell ref="AC66:AC67"/>
    <mergeCell ref="AD66:AD67"/>
    <mergeCell ref="CU48:CU49"/>
    <mergeCell ref="CV48:CV49"/>
    <mergeCell ref="CW48:CW49"/>
    <mergeCell ref="CX48:CX49"/>
    <mergeCell ref="CY48:CY49"/>
    <mergeCell ref="CZ48:CZ49"/>
    <mergeCell ref="DA48:DA49"/>
    <mergeCell ref="DB48:DB49"/>
    <mergeCell ref="AN66:AN67"/>
    <mergeCell ref="AO66:AO67"/>
    <mergeCell ref="AP66:AP67"/>
    <mergeCell ref="AQ66:AQ67"/>
    <mergeCell ref="AR66:AR67"/>
    <mergeCell ref="AS66:AS67"/>
    <mergeCell ref="AT66:AT67"/>
    <mergeCell ref="AU66:AU67"/>
    <mergeCell ref="AV66:AV67"/>
    <mergeCell ref="AE66:AE67"/>
    <mergeCell ref="AF66:AF67"/>
    <mergeCell ref="AG66:AG67"/>
    <mergeCell ref="AH66:AH67"/>
    <mergeCell ref="AI66:AI67"/>
    <mergeCell ref="AJ66:AJ67"/>
    <mergeCell ref="AK66:AK67"/>
    <mergeCell ref="AL66:AL67"/>
    <mergeCell ref="AM66:AM67"/>
    <mergeCell ref="BF66:BF67"/>
    <mergeCell ref="BG66:BG67"/>
    <mergeCell ref="BH66:BH67"/>
    <mergeCell ref="BI66:BI67"/>
    <mergeCell ref="BJ66:BJ67"/>
    <mergeCell ref="BK66:BK67"/>
    <mergeCell ref="BL66:BL67"/>
    <mergeCell ref="BM66:BM67"/>
    <mergeCell ref="BN66:BN67"/>
    <mergeCell ref="AW66:AW67"/>
    <mergeCell ref="AX66:AX67"/>
    <mergeCell ref="AY66:AY67"/>
    <mergeCell ref="AZ66:AZ67"/>
    <mergeCell ref="BA66:BA67"/>
    <mergeCell ref="BB66:BB67"/>
    <mergeCell ref="BC66:BC67"/>
    <mergeCell ref="BD66:BD67"/>
    <mergeCell ref="BE66:BE67"/>
    <mergeCell ref="BX66:BX67"/>
    <mergeCell ref="BY66:BY67"/>
    <mergeCell ref="BZ66:BZ67"/>
    <mergeCell ref="CA66:CA67"/>
    <mergeCell ref="CB66:CB67"/>
    <mergeCell ref="CC66:CC67"/>
    <mergeCell ref="CD66:CD67"/>
    <mergeCell ref="CE66:CE67"/>
    <mergeCell ref="CF66:CF67"/>
    <mergeCell ref="BO66:BO67"/>
    <mergeCell ref="BP66:BP67"/>
    <mergeCell ref="BQ66:BQ67"/>
    <mergeCell ref="BR66:BR67"/>
    <mergeCell ref="BS66:BS67"/>
    <mergeCell ref="BT66:BT67"/>
    <mergeCell ref="BU66:BU67"/>
    <mergeCell ref="BV66:BV67"/>
    <mergeCell ref="BW66:BW67"/>
    <mergeCell ref="DG66:DG67"/>
    <mergeCell ref="CP66:CP67"/>
    <mergeCell ref="CQ66:CQ67"/>
    <mergeCell ref="CR66:CR67"/>
    <mergeCell ref="CS66:CS67"/>
    <mergeCell ref="CT66:CT67"/>
    <mergeCell ref="CU66:CU67"/>
    <mergeCell ref="CV66:CV67"/>
    <mergeCell ref="CW66:CW67"/>
    <mergeCell ref="CX66:CX67"/>
    <mergeCell ref="CG66:CG67"/>
    <mergeCell ref="CH66:CH67"/>
    <mergeCell ref="CI66:CI67"/>
    <mergeCell ref="CJ66:CJ67"/>
    <mergeCell ref="CK66:CK67"/>
    <mergeCell ref="CL66:CL67"/>
    <mergeCell ref="CM66:CM67"/>
    <mergeCell ref="CN66:CN67"/>
    <mergeCell ref="CO66:CO67"/>
    <mergeCell ref="DH66:DH67"/>
    <mergeCell ref="DI66:DI67"/>
    <mergeCell ref="DJ66:DJ67"/>
    <mergeCell ref="N84:N86"/>
    <mergeCell ref="O85:O86"/>
    <mergeCell ref="P85:P86"/>
    <mergeCell ref="Q85:Q86"/>
    <mergeCell ref="R85:R86"/>
    <mergeCell ref="S85:S86"/>
    <mergeCell ref="T85:T86"/>
    <mergeCell ref="U85:U86"/>
    <mergeCell ref="V85:V86"/>
    <mergeCell ref="W85:W86"/>
    <mergeCell ref="X85:X86"/>
    <mergeCell ref="Y85:Y86"/>
    <mergeCell ref="Z85:Z86"/>
    <mergeCell ref="AA85:AA86"/>
    <mergeCell ref="AB85:AB86"/>
    <mergeCell ref="AC85:AC86"/>
    <mergeCell ref="AD85:AD86"/>
    <mergeCell ref="AE85:AE86"/>
    <mergeCell ref="AF85:AF86"/>
    <mergeCell ref="AG85:AG86"/>
    <mergeCell ref="AH85:AH86"/>
    <mergeCell ref="CY66:CY67"/>
    <mergeCell ref="CZ66:CZ67"/>
    <mergeCell ref="DA66:DA67"/>
    <mergeCell ref="DB66:DB67"/>
    <mergeCell ref="DC66:DC67"/>
    <mergeCell ref="DD66:DD67"/>
    <mergeCell ref="DE66:DE67"/>
    <mergeCell ref="DF66:DF67"/>
    <mergeCell ref="AR85:AR86"/>
    <mergeCell ref="AS85:AS86"/>
    <mergeCell ref="AT85:AT86"/>
    <mergeCell ref="AU85:AU86"/>
    <mergeCell ref="AV85:AV86"/>
    <mergeCell ref="AW85:AW86"/>
    <mergeCell ref="AX85:AX86"/>
    <mergeCell ref="AY85:AY86"/>
    <mergeCell ref="AZ85:AZ86"/>
    <mergeCell ref="AI85:AI86"/>
    <mergeCell ref="AJ85:AJ86"/>
    <mergeCell ref="AK85:AK86"/>
    <mergeCell ref="AL85:AL86"/>
    <mergeCell ref="AM85:AM86"/>
    <mergeCell ref="AN85:AN86"/>
    <mergeCell ref="AO85:AO86"/>
    <mergeCell ref="AP85:AP86"/>
    <mergeCell ref="AQ85:AQ86"/>
    <mergeCell ref="BW85:BW86"/>
    <mergeCell ref="BX85:BX86"/>
    <mergeCell ref="BY85:BY86"/>
    <mergeCell ref="BZ85:BZ86"/>
    <mergeCell ref="CA85:CA86"/>
    <mergeCell ref="BJ85:BJ86"/>
    <mergeCell ref="BK85:BK86"/>
    <mergeCell ref="BL85:BL86"/>
    <mergeCell ref="BM85:BM86"/>
    <mergeCell ref="BN85:BN86"/>
    <mergeCell ref="BO85:BO86"/>
    <mergeCell ref="BP85:BP86"/>
    <mergeCell ref="BQ85:BQ86"/>
    <mergeCell ref="BR85:BR86"/>
    <mergeCell ref="BA85:BA86"/>
    <mergeCell ref="BB85:BB86"/>
    <mergeCell ref="BC85:BC86"/>
    <mergeCell ref="BD85:BD86"/>
    <mergeCell ref="BE85:BE86"/>
    <mergeCell ref="BF85:BF86"/>
    <mergeCell ref="BG85:BG86"/>
    <mergeCell ref="BH85:BH86"/>
    <mergeCell ref="BI85:BI86"/>
    <mergeCell ref="BS85:BS86"/>
    <mergeCell ref="BT85:BT86"/>
    <mergeCell ref="BU85:BU86"/>
    <mergeCell ref="BV85:BV86"/>
    <mergeCell ref="N105:N107"/>
    <mergeCell ref="O106:O107"/>
    <mergeCell ref="P106:P107"/>
    <mergeCell ref="Q106:Q107"/>
    <mergeCell ref="R106:R107"/>
    <mergeCell ref="S106:S107"/>
    <mergeCell ref="T106:T107"/>
    <mergeCell ref="U106:U107"/>
    <mergeCell ref="V106:V107"/>
    <mergeCell ref="W106:W107"/>
    <mergeCell ref="X106:X107"/>
    <mergeCell ref="Y106:Y107"/>
    <mergeCell ref="Z106:Z107"/>
    <mergeCell ref="AA106:AA107"/>
    <mergeCell ref="AB106:AB107"/>
    <mergeCell ref="AC106:AC107"/>
    <mergeCell ref="CT85:CT86"/>
    <mergeCell ref="CK85:CK86"/>
    <mergeCell ref="CL85:CL86"/>
    <mergeCell ref="CM85:CM86"/>
    <mergeCell ref="CN85:CN86"/>
    <mergeCell ref="CO85:CO86"/>
    <mergeCell ref="CP85:CP86"/>
    <mergeCell ref="CQ85:CQ86"/>
    <mergeCell ref="CR85:CR86"/>
    <mergeCell ref="CS85:CS86"/>
    <mergeCell ref="CB85:CB86"/>
    <mergeCell ref="CC85:CC86"/>
    <mergeCell ref="CD85:CD86"/>
    <mergeCell ref="CE85:CE86"/>
    <mergeCell ref="CF85:CF86"/>
    <mergeCell ref="CG85:CG86"/>
    <mergeCell ref="DC85:DC86"/>
    <mergeCell ref="DD85:DD86"/>
    <mergeCell ref="DE85:DE86"/>
    <mergeCell ref="DF85:DF86"/>
    <mergeCell ref="DG85:DG86"/>
    <mergeCell ref="DH85:DH86"/>
    <mergeCell ref="DI85:DI86"/>
    <mergeCell ref="DJ85:DJ86"/>
    <mergeCell ref="CU85:CU86"/>
    <mergeCell ref="CV85:CV86"/>
    <mergeCell ref="CW85:CW86"/>
    <mergeCell ref="CX85:CX86"/>
    <mergeCell ref="CY85:CY86"/>
    <mergeCell ref="CZ85:CZ86"/>
    <mergeCell ref="DA85:DA86"/>
    <mergeCell ref="DB85:DB86"/>
    <mergeCell ref="CH85:CH86"/>
    <mergeCell ref="CI85:CI86"/>
    <mergeCell ref="CJ85:CJ86"/>
    <mergeCell ref="CA106:CA107"/>
    <mergeCell ref="BJ106:BJ107"/>
    <mergeCell ref="BK106:BK107"/>
    <mergeCell ref="BL106:BL107"/>
    <mergeCell ref="BM106:BM107"/>
    <mergeCell ref="BN106:BN107"/>
    <mergeCell ref="BO106:BO107"/>
    <mergeCell ref="BP106:BP107"/>
    <mergeCell ref="BQ106:BQ107"/>
    <mergeCell ref="BR106:BR107"/>
    <mergeCell ref="BA106:BA107"/>
    <mergeCell ref="BB106:BB107"/>
    <mergeCell ref="BC106:BC107"/>
    <mergeCell ref="BD106:BD107"/>
    <mergeCell ref="BE106:BE107"/>
    <mergeCell ref="BF106:BF107"/>
    <mergeCell ref="BG106:BG107"/>
    <mergeCell ref="BH106:BH107"/>
    <mergeCell ref="BI106:BI107"/>
    <mergeCell ref="N137:N139"/>
    <mergeCell ref="O138:O139"/>
    <mergeCell ref="P138:P139"/>
    <mergeCell ref="Q138:Q139"/>
    <mergeCell ref="R138:R139"/>
    <mergeCell ref="S138:S139"/>
    <mergeCell ref="T138:T139"/>
    <mergeCell ref="U138:U139"/>
    <mergeCell ref="V138:V139"/>
    <mergeCell ref="W138:W139"/>
    <mergeCell ref="X138:X139"/>
    <mergeCell ref="Y138:Y139"/>
    <mergeCell ref="Z138:Z139"/>
    <mergeCell ref="AA138:AA139"/>
    <mergeCell ref="AB138:AB139"/>
    <mergeCell ref="AC138:AC139"/>
    <mergeCell ref="CT106:CT107"/>
    <mergeCell ref="CK106:CK107"/>
    <mergeCell ref="CL106:CL107"/>
    <mergeCell ref="CM106:CM107"/>
    <mergeCell ref="CN106:CN107"/>
    <mergeCell ref="CO106:CO107"/>
    <mergeCell ref="CP106:CP107"/>
    <mergeCell ref="CQ106:CQ107"/>
    <mergeCell ref="CR106:CR107"/>
    <mergeCell ref="CS106:CS107"/>
    <mergeCell ref="CB106:CB107"/>
    <mergeCell ref="CC106:CC107"/>
    <mergeCell ref="CD106:CD107"/>
    <mergeCell ref="CE106:CE107"/>
    <mergeCell ref="CF106:CF107"/>
    <mergeCell ref="CG106:CG107"/>
    <mergeCell ref="AD138:AD139"/>
    <mergeCell ref="AE138:AE139"/>
    <mergeCell ref="AF138:AF139"/>
    <mergeCell ref="AG138:AG139"/>
    <mergeCell ref="AH138:AH139"/>
    <mergeCell ref="AI138:AI139"/>
    <mergeCell ref="AJ138:AJ139"/>
    <mergeCell ref="AK138:AK139"/>
    <mergeCell ref="AL138:AL139"/>
    <mergeCell ref="DC106:DC107"/>
    <mergeCell ref="DD106:DD107"/>
    <mergeCell ref="DE106:DE107"/>
    <mergeCell ref="DF106:DF107"/>
    <mergeCell ref="DG106:DG107"/>
    <mergeCell ref="DH106:DH107"/>
    <mergeCell ref="DI106:DI107"/>
    <mergeCell ref="DJ106:DJ107"/>
    <mergeCell ref="CU106:CU107"/>
    <mergeCell ref="CV106:CV107"/>
    <mergeCell ref="CW106:CW107"/>
    <mergeCell ref="CX106:CX107"/>
    <mergeCell ref="CY106:CY107"/>
    <mergeCell ref="CZ106:CZ107"/>
    <mergeCell ref="DA106:DA107"/>
    <mergeCell ref="DB106:DB107"/>
    <mergeCell ref="CH106:CH107"/>
    <mergeCell ref="CI106:CI107"/>
    <mergeCell ref="CJ106:CJ107"/>
    <mergeCell ref="BS106:BS107"/>
    <mergeCell ref="BT106:BT107"/>
    <mergeCell ref="BU106:BU107"/>
    <mergeCell ref="BV106:BV107"/>
    <mergeCell ref="AV138:AV139"/>
    <mergeCell ref="AW138:AW139"/>
    <mergeCell ref="AX138:AX139"/>
    <mergeCell ref="AY138:AY139"/>
    <mergeCell ref="AZ138:AZ139"/>
    <mergeCell ref="BA138:BA139"/>
    <mergeCell ref="BB138:BB139"/>
    <mergeCell ref="BC138:BC139"/>
    <mergeCell ref="BD138:BD139"/>
    <mergeCell ref="AM138:AM139"/>
    <mergeCell ref="AN138:AN139"/>
    <mergeCell ref="AO138:AO139"/>
    <mergeCell ref="AP138:AP139"/>
    <mergeCell ref="AQ138:AQ139"/>
    <mergeCell ref="AR138:AR139"/>
    <mergeCell ref="AS138:AS139"/>
    <mergeCell ref="AT138:AT139"/>
    <mergeCell ref="AU138:AU139"/>
    <mergeCell ref="CA138:CA139"/>
    <mergeCell ref="CB138:CB139"/>
    <mergeCell ref="CC138:CC139"/>
    <mergeCell ref="CD138:CD139"/>
    <mergeCell ref="CE138:CE139"/>
    <mergeCell ref="BN138:BN139"/>
    <mergeCell ref="BO138:BO139"/>
    <mergeCell ref="BP138:BP139"/>
    <mergeCell ref="BQ138:BQ139"/>
    <mergeCell ref="BR138:BR139"/>
    <mergeCell ref="BS138:BS139"/>
    <mergeCell ref="BT138:BT139"/>
    <mergeCell ref="BU138:BU139"/>
    <mergeCell ref="BV138:BV139"/>
    <mergeCell ref="BE138:BE139"/>
    <mergeCell ref="BF138:BF139"/>
    <mergeCell ref="BG138:BG139"/>
    <mergeCell ref="BH138:BH139"/>
    <mergeCell ref="BI138:BI139"/>
    <mergeCell ref="BJ138:BJ139"/>
    <mergeCell ref="BK138:BK139"/>
    <mergeCell ref="BL138:BL139"/>
    <mergeCell ref="BM138:BM139"/>
    <mergeCell ref="AG174:AG175"/>
    <mergeCell ref="CX138:CX139"/>
    <mergeCell ref="CY138:CY139"/>
    <mergeCell ref="CZ138:CZ139"/>
    <mergeCell ref="DA138:DA139"/>
    <mergeCell ref="DB138:DB139"/>
    <mergeCell ref="DC138:DC139"/>
    <mergeCell ref="DD138:DD139"/>
    <mergeCell ref="DE138:DE139"/>
    <mergeCell ref="DF138:DF139"/>
    <mergeCell ref="CO138:CO139"/>
    <mergeCell ref="CP138:CP139"/>
    <mergeCell ref="CQ138:CQ139"/>
    <mergeCell ref="CR138:CR139"/>
    <mergeCell ref="CS138:CS139"/>
    <mergeCell ref="CT138:CT139"/>
    <mergeCell ref="CU138:CU139"/>
    <mergeCell ref="CV138:CV139"/>
    <mergeCell ref="CW138:CW139"/>
    <mergeCell ref="CF138:CF139"/>
    <mergeCell ref="CG138:CG139"/>
    <mergeCell ref="CH138:CH139"/>
    <mergeCell ref="CI138:CI139"/>
    <mergeCell ref="CJ138:CJ139"/>
    <mergeCell ref="CK138:CK139"/>
    <mergeCell ref="CL138:CL139"/>
    <mergeCell ref="CM138:CM139"/>
    <mergeCell ref="CN138:CN139"/>
    <mergeCell ref="BW138:BW139"/>
    <mergeCell ref="BX138:BX139"/>
    <mergeCell ref="BY138:BY139"/>
    <mergeCell ref="BZ138:BZ139"/>
    <mergeCell ref="AH174:AH175"/>
    <mergeCell ref="AI174:AI175"/>
    <mergeCell ref="AJ174:AJ175"/>
    <mergeCell ref="AK174:AK175"/>
    <mergeCell ref="AL174:AL175"/>
    <mergeCell ref="AM174:AM175"/>
    <mergeCell ref="AN174:AN175"/>
    <mergeCell ref="AO174:AO175"/>
    <mergeCell ref="AP174:AP175"/>
    <mergeCell ref="DG138:DG139"/>
    <mergeCell ref="DH138:DH139"/>
    <mergeCell ref="DI138:DI139"/>
    <mergeCell ref="DJ138:DJ139"/>
    <mergeCell ref="N173:N175"/>
    <mergeCell ref="O174:O175"/>
    <mergeCell ref="P174:P175"/>
    <mergeCell ref="Q174:Q175"/>
    <mergeCell ref="R174:R175"/>
    <mergeCell ref="S174:S175"/>
    <mergeCell ref="T174:T175"/>
    <mergeCell ref="U174:U175"/>
    <mergeCell ref="V174:V175"/>
    <mergeCell ref="W174:W175"/>
    <mergeCell ref="X174:X175"/>
    <mergeCell ref="Y174:Y175"/>
    <mergeCell ref="Z174:Z175"/>
    <mergeCell ref="AA174:AA175"/>
    <mergeCell ref="AB174:AB175"/>
    <mergeCell ref="AC174:AC175"/>
    <mergeCell ref="AD174:AD175"/>
    <mergeCell ref="AE174:AE175"/>
    <mergeCell ref="AF174:AF175"/>
    <mergeCell ref="AZ174:AZ175"/>
    <mergeCell ref="BA174:BA175"/>
    <mergeCell ref="BB174:BB175"/>
    <mergeCell ref="BC174:BC175"/>
    <mergeCell ref="BD174:BD175"/>
    <mergeCell ref="BE174:BE175"/>
    <mergeCell ref="BF174:BF175"/>
    <mergeCell ref="BG174:BG175"/>
    <mergeCell ref="BH174:BH175"/>
    <mergeCell ref="AQ174:AQ175"/>
    <mergeCell ref="AR174:AR175"/>
    <mergeCell ref="AS174:AS175"/>
    <mergeCell ref="AT174:AT175"/>
    <mergeCell ref="AU174:AU175"/>
    <mergeCell ref="AV174:AV175"/>
    <mergeCell ref="AW174:AW175"/>
    <mergeCell ref="AX174:AX175"/>
    <mergeCell ref="AY174:AY175"/>
    <mergeCell ref="BR174:BR175"/>
    <mergeCell ref="BS174:BS175"/>
    <mergeCell ref="BT174:BT175"/>
    <mergeCell ref="BU174:BU175"/>
    <mergeCell ref="BV174:BV175"/>
    <mergeCell ref="BW174:BW175"/>
    <mergeCell ref="BX174:BX175"/>
    <mergeCell ref="BY174:BY175"/>
    <mergeCell ref="BZ174:BZ175"/>
    <mergeCell ref="BI174:BI175"/>
    <mergeCell ref="BJ174:BJ175"/>
    <mergeCell ref="BK174:BK175"/>
    <mergeCell ref="BL174:BL175"/>
    <mergeCell ref="BM174:BM175"/>
    <mergeCell ref="BN174:BN175"/>
    <mergeCell ref="BO174:BO175"/>
    <mergeCell ref="BP174:BP175"/>
    <mergeCell ref="BQ174:BQ175"/>
    <mergeCell ref="CJ174:CJ175"/>
    <mergeCell ref="CK174:CK175"/>
    <mergeCell ref="CL174:CL175"/>
    <mergeCell ref="CM174:CM175"/>
    <mergeCell ref="CN174:CN175"/>
    <mergeCell ref="CO174:CO175"/>
    <mergeCell ref="CP174:CP175"/>
    <mergeCell ref="CQ174:CQ175"/>
    <mergeCell ref="CR174:CR175"/>
    <mergeCell ref="CA174:CA175"/>
    <mergeCell ref="CB174:CB175"/>
    <mergeCell ref="CC174:CC175"/>
    <mergeCell ref="CD174:CD175"/>
    <mergeCell ref="CE174:CE175"/>
    <mergeCell ref="CF174:CF175"/>
    <mergeCell ref="CG174:CG175"/>
    <mergeCell ref="CH174:CH175"/>
    <mergeCell ref="CI174:CI175"/>
    <mergeCell ref="DB174:DB175"/>
    <mergeCell ref="DC174:DC175"/>
    <mergeCell ref="DD174:DD175"/>
    <mergeCell ref="DE174:DE175"/>
    <mergeCell ref="DF174:DF175"/>
    <mergeCell ref="DG174:DG175"/>
    <mergeCell ref="DH174:DH175"/>
    <mergeCell ref="DI174:DI175"/>
    <mergeCell ref="DJ174:DJ175"/>
    <mergeCell ref="CS174:CS175"/>
    <mergeCell ref="CT174:CT175"/>
    <mergeCell ref="CU174:CU175"/>
    <mergeCell ref="CV174:CV175"/>
    <mergeCell ref="CW174:CW175"/>
    <mergeCell ref="CX174:CX175"/>
    <mergeCell ref="CY174:CY175"/>
    <mergeCell ref="CZ174:CZ175"/>
    <mergeCell ref="DA174:DA175"/>
    <mergeCell ref="W234:W235"/>
    <mergeCell ref="X234:X235"/>
    <mergeCell ref="Y234:Y235"/>
    <mergeCell ref="Z234:Z235"/>
    <mergeCell ref="AA234:AA235"/>
    <mergeCell ref="AB234:AB235"/>
    <mergeCell ref="AC234:AC235"/>
    <mergeCell ref="AD234:AD235"/>
    <mergeCell ref="AE234:AE235"/>
    <mergeCell ref="N233:N235"/>
    <mergeCell ref="O234:O235"/>
    <mergeCell ref="P234:P235"/>
    <mergeCell ref="Q234:Q235"/>
    <mergeCell ref="R234:R235"/>
    <mergeCell ref="S234:S235"/>
    <mergeCell ref="T234:T235"/>
    <mergeCell ref="U234:U235"/>
    <mergeCell ref="V234:V235"/>
    <mergeCell ref="AO234:AO235"/>
    <mergeCell ref="AP234:AP235"/>
    <mergeCell ref="AQ234:AQ235"/>
    <mergeCell ref="AR234:AR235"/>
    <mergeCell ref="AS234:AS235"/>
    <mergeCell ref="AT234:AT235"/>
    <mergeCell ref="AU234:AU235"/>
    <mergeCell ref="AV234:AV235"/>
    <mergeCell ref="AW234:AW235"/>
    <mergeCell ref="AF234:AF235"/>
    <mergeCell ref="AG234:AG235"/>
    <mergeCell ref="AH234:AH235"/>
    <mergeCell ref="AI234:AI235"/>
    <mergeCell ref="AJ234:AJ235"/>
    <mergeCell ref="AK234:AK235"/>
    <mergeCell ref="AL234:AL235"/>
    <mergeCell ref="AM234:AM235"/>
    <mergeCell ref="AN234:AN235"/>
    <mergeCell ref="BG234:BG235"/>
    <mergeCell ref="BH234:BH235"/>
    <mergeCell ref="BI234:BI235"/>
    <mergeCell ref="BJ234:BJ235"/>
    <mergeCell ref="BK234:BK235"/>
    <mergeCell ref="BL234:BL235"/>
    <mergeCell ref="BM234:BM235"/>
    <mergeCell ref="BN234:BN235"/>
    <mergeCell ref="BO234:BO235"/>
    <mergeCell ref="AX234:AX235"/>
    <mergeCell ref="AY234:AY235"/>
    <mergeCell ref="AZ234:AZ235"/>
    <mergeCell ref="BA234:BA235"/>
    <mergeCell ref="BB234:BB235"/>
    <mergeCell ref="BC234:BC235"/>
    <mergeCell ref="BD234:BD235"/>
    <mergeCell ref="BE234:BE235"/>
    <mergeCell ref="BF234:BF235"/>
    <mergeCell ref="BY234:BY235"/>
    <mergeCell ref="BZ234:BZ235"/>
    <mergeCell ref="CA234:CA235"/>
    <mergeCell ref="CB234:CB235"/>
    <mergeCell ref="CC234:CC235"/>
    <mergeCell ref="CD234:CD235"/>
    <mergeCell ref="CE234:CE235"/>
    <mergeCell ref="CF234:CF235"/>
    <mergeCell ref="CG234:CG235"/>
    <mergeCell ref="BP234:BP235"/>
    <mergeCell ref="BQ234:BQ235"/>
    <mergeCell ref="BR234:BR235"/>
    <mergeCell ref="BS234:BS235"/>
    <mergeCell ref="BT234:BT235"/>
    <mergeCell ref="BU234:BU235"/>
    <mergeCell ref="BV234:BV235"/>
    <mergeCell ref="BW234:BW235"/>
    <mergeCell ref="BX234:BX235"/>
    <mergeCell ref="DH234:DH235"/>
    <mergeCell ref="CQ234:CQ235"/>
    <mergeCell ref="CR234:CR235"/>
    <mergeCell ref="CS234:CS235"/>
    <mergeCell ref="CT234:CT235"/>
    <mergeCell ref="CU234:CU235"/>
    <mergeCell ref="CV234:CV235"/>
    <mergeCell ref="CW234:CW235"/>
    <mergeCell ref="CX234:CX235"/>
    <mergeCell ref="CY234:CY235"/>
    <mergeCell ref="CH234:CH235"/>
    <mergeCell ref="CI234:CI235"/>
    <mergeCell ref="CJ234:CJ235"/>
    <mergeCell ref="CK234:CK235"/>
    <mergeCell ref="CL234:CL235"/>
    <mergeCell ref="CM234:CM235"/>
    <mergeCell ref="CN234:CN235"/>
    <mergeCell ref="CO234:CO235"/>
    <mergeCell ref="CP234:CP235"/>
    <mergeCell ref="DI234:DI235"/>
    <mergeCell ref="DJ234:DJ235"/>
    <mergeCell ref="N305:N307"/>
    <mergeCell ref="O306:O307"/>
    <mergeCell ref="P306:P307"/>
    <mergeCell ref="Q306:Q307"/>
    <mergeCell ref="R306:R307"/>
    <mergeCell ref="S306:S307"/>
    <mergeCell ref="T306:T307"/>
    <mergeCell ref="U306:U307"/>
    <mergeCell ref="V306:V307"/>
    <mergeCell ref="W306:W307"/>
    <mergeCell ref="X306:X307"/>
    <mergeCell ref="Y306:Y307"/>
    <mergeCell ref="Z306:Z307"/>
    <mergeCell ref="AA306:AA307"/>
    <mergeCell ref="AB306:AB307"/>
    <mergeCell ref="AC306:AC307"/>
    <mergeCell ref="AD306:AD307"/>
    <mergeCell ref="AE306:AE307"/>
    <mergeCell ref="AF306:AF307"/>
    <mergeCell ref="AG306:AG307"/>
    <mergeCell ref="AH306:AH307"/>
    <mergeCell ref="AI306:AI307"/>
    <mergeCell ref="CZ234:CZ235"/>
    <mergeCell ref="DA234:DA235"/>
    <mergeCell ref="DB234:DB235"/>
    <mergeCell ref="DC234:DC235"/>
    <mergeCell ref="DD234:DD235"/>
    <mergeCell ref="DE234:DE235"/>
    <mergeCell ref="DF234:DF235"/>
    <mergeCell ref="DG234:DG235"/>
    <mergeCell ref="AS306:AS307"/>
    <mergeCell ref="AT306:AT307"/>
    <mergeCell ref="AU306:AU307"/>
    <mergeCell ref="AV306:AV307"/>
    <mergeCell ref="AW306:AW307"/>
    <mergeCell ref="AX306:AX307"/>
    <mergeCell ref="AY306:AY307"/>
    <mergeCell ref="AZ306:AZ307"/>
    <mergeCell ref="BA306:BA307"/>
    <mergeCell ref="AJ306:AJ307"/>
    <mergeCell ref="AK306:AK307"/>
    <mergeCell ref="AL306:AL307"/>
    <mergeCell ref="AM306:AM307"/>
    <mergeCell ref="AN306:AN307"/>
    <mergeCell ref="AO306:AO307"/>
    <mergeCell ref="AP306:AP307"/>
    <mergeCell ref="AQ306:AQ307"/>
    <mergeCell ref="AR306:AR307"/>
    <mergeCell ref="BX306:BX307"/>
    <mergeCell ref="BY306:BY307"/>
    <mergeCell ref="BZ306:BZ307"/>
    <mergeCell ref="CA306:CA307"/>
    <mergeCell ref="CB306:CB307"/>
    <mergeCell ref="BK306:BK307"/>
    <mergeCell ref="BL306:BL307"/>
    <mergeCell ref="BM306:BM307"/>
    <mergeCell ref="BN306:BN307"/>
    <mergeCell ref="BO306:BO307"/>
    <mergeCell ref="BP306:BP307"/>
    <mergeCell ref="BQ306:BQ307"/>
    <mergeCell ref="BR306:BR307"/>
    <mergeCell ref="BS306:BS307"/>
    <mergeCell ref="BB306:BB307"/>
    <mergeCell ref="BC306:BC307"/>
    <mergeCell ref="BD306:BD307"/>
    <mergeCell ref="BE306:BE307"/>
    <mergeCell ref="BF306:BF307"/>
    <mergeCell ref="BG306:BG307"/>
    <mergeCell ref="BH306:BH307"/>
    <mergeCell ref="BI306:BI307"/>
    <mergeCell ref="BJ306:BJ307"/>
    <mergeCell ref="CU306:CU307"/>
    <mergeCell ref="CV306:CV307"/>
    <mergeCell ref="CW306:CW307"/>
    <mergeCell ref="CX306:CX307"/>
    <mergeCell ref="CY306:CY307"/>
    <mergeCell ref="CZ306:CZ307"/>
    <mergeCell ref="DA306:DA307"/>
    <mergeCell ref="DB306:DB307"/>
    <mergeCell ref="DC306:DC307"/>
    <mergeCell ref="CL306:CL307"/>
    <mergeCell ref="CM306:CM307"/>
    <mergeCell ref="CN306:CN307"/>
    <mergeCell ref="CO306:CO307"/>
    <mergeCell ref="CP306:CP307"/>
    <mergeCell ref="CQ306:CQ307"/>
    <mergeCell ref="CR306:CR307"/>
    <mergeCell ref="CS306:CS307"/>
    <mergeCell ref="CT306:CT307"/>
    <mergeCell ref="CC306:CC307"/>
    <mergeCell ref="CD306:CD307"/>
    <mergeCell ref="CE306:CE307"/>
    <mergeCell ref="CF306:CF307"/>
    <mergeCell ref="CG306:CG307"/>
    <mergeCell ref="CH306:CH307"/>
    <mergeCell ref="CI306:CI307"/>
    <mergeCell ref="CJ306:CJ307"/>
    <mergeCell ref="CK306:CK307"/>
    <mergeCell ref="BT306:BT307"/>
    <mergeCell ref="BU306:BU307"/>
    <mergeCell ref="BV306:BV307"/>
    <mergeCell ref="BW306:BW307"/>
    <mergeCell ref="AS350:AS351"/>
    <mergeCell ref="AT350:AT351"/>
    <mergeCell ref="AU350:AU351"/>
    <mergeCell ref="AV350:AV351"/>
    <mergeCell ref="AW350:AW351"/>
    <mergeCell ref="AX350:AX351"/>
    <mergeCell ref="AY350:AY351"/>
    <mergeCell ref="AZ350:AZ351"/>
    <mergeCell ref="BA350:BA351"/>
    <mergeCell ref="BO350:BO351"/>
    <mergeCell ref="BP350:BP351"/>
    <mergeCell ref="BQ350:BQ351"/>
    <mergeCell ref="BR350:BR351"/>
    <mergeCell ref="BS350:BS351"/>
    <mergeCell ref="BB350:BB351"/>
    <mergeCell ref="BC350:BC351"/>
    <mergeCell ref="BD350:BD351"/>
    <mergeCell ref="BE350:BE351"/>
    <mergeCell ref="BF350:BF351"/>
    <mergeCell ref="DD306:DD307"/>
    <mergeCell ref="DE306:DE307"/>
    <mergeCell ref="DF306:DF307"/>
    <mergeCell ref="DG306:DG307"/>
    <mergeCell ref="DH306:DH307"/>
    <mergeCell ref="DI306:DI307"/>
    <mergeCell ref="DJ306:DJ307"/>
    <mergeCell ref="N349:N351"/>
    <mergeCell ref="O350:O351"/>
    <mergeCell ref="P350:P351"/>
    <mergeCell ref="Q350:Q351"/>
    <mergeCell ref="R350:R351"/>
    <mergeCell ref="S350:S351"/>
    <mergeCell ref="T350:T351"/>
    <mergeCell ref="U350:U351"/>
    <mergeCell ref="V350:V351"/>
    <mergeCell ref="W350:W351"/>
    <mergeCell ref="X350:X351"/>
    <mergeCell ref="Y350:Y351"/>
    <mergeCell ref="Z350:Z351"/>
    <mergeCell ref="AA350:AA351"/>
    <mergeCell ref="AB350:AB351"/>
    <mergeCell ref="AC350:AC351"/>
    <mergeCell ref="BX350:BX351"/>
    <mergeCell ref="BY350:BY351"/>
    <mergeCell ref="BZ350:BZ351"/>
    <mergeCell ref="CA350:CA351"/>
    <mergeCell ref="CB350:CB351"/>
    <mergeCell ref="BK350:BK351"/>
    <mergeCell ref="BL350:BL351"/>
    <mergeCell ref="BM350:BM351"/>
    <mergeCell ref="BN350:BN351"/>
    <mergeCell ref="DB350:DB351"/>
    <mergeCell ref="DC350:DC351"/>
    <mergeCell ref="CL350:CL351"/>
    <mergeCell ref="CM350:CM351"/>
    <mergeCell ref="CN350:CN351"/>
    <mergeCell ref="CO350:CO351"/>
    <mergeCell ref="CP350:CP351"/>
    <mergeCell ref="CQ350:CQ351"/>
    <mergeCell ref="CR350:CR351"/>
    <mergeCell ref="CS350:CS351"/>
    <mergeCell ref="CT350:CT351"/>
    <mergeCell ref="CC350:CC351"/>
    <mergeCell ref="CD350:CD351"/>
    <mergeCell ref="CE350:CE351"/>
    <mergeCell ref="CF350:CF351"/>
    <mergeCell ref="CG350:CG351"/>
    <mergeCell ref="CH350:CH351"/>
    <mergeCell ref="CI350:CI351"/>
    <mergeCell ref="CJ350:CJ351"/>
    <mergeCell ref="CK350:CK351"/>
    <mergeCell ref="BT350:BT351"/>
    <mergeCell ref="BU350:BU351"/>
    <mergeCell ref="BV350:BV351"/>
    <mergeCell ref="BW350:BW351"/>
    <mergeCell ref="AE384:AE385"/>
    <mergeCell ref="AF384:AF385"/>
    <mergeCell ref="AG384:AG385"/>
    <mergeCell ref="AH384:AH385"/>
    <mergeCell ref="AI384:AI385"/>
    <mergeCell ref="AJ384:AJ385"/>
    <mergeCell ref="AK384:AK385"/>
    <mergeCell ref="AL384:AL385"/>
    <mergeCell ref="AM384:AM385"/>
    <mergeCell ref="DD350:DD351"/>
    <mergeCell ref="DE350:DE351"/>
    <mergeCell ref="DF350:DF351"/>
    <mergeCell ref="DG350:DG351"/>
    <mergeCell ref="AR384:AR385"/>
    <mergeCell ref="AS384:AS385"/>
    <mergeCell ref="AT384:AT385"/>
    <mergeCell ref="AU384:AU385"/>
    <mergeCell ref="AV384:AV385"/>
    <mergeCell ref="CB384:CB385"/>
    <mergeCell ref="CC384:CC385"/>
    <mergeCell ref="CD384:CD385"/>
    <mergeCell ref="CE384:CE385"/>
    <mergeCell ref="CF384:CF385"/>
    <mergeCell ref="BO384:BO385"/>
    <mergeCell ref="BP384:BP385"/>
    <mergeCell ref="BQ384:BQ385"/>
    <mergeCell ref="BR384:BR385"/>
    <mergeCell ref="BS384:BS385"/>
    <mergeCell ref="DH350:DH351"/>
    <mergeCell ref="DI350:DI351"/>
    <mergeCell ref="DJ350:DJ351"/>
    <mergeCell ref="N383:N385"/>
    <mergeCell ref="O384:O385"/>
    <mergeCell ref="P384:P385"/>
    <mergeCell ref="Q384:Q385"/>
    <mergeCell ref="R384:R385"/>
    <mergeCell ref="S384:S385"/>
    <mergeCell ref="T384:T385"/>
    <mergeCell ref="U384:U385"/>
    <mergeCell ref="V384:V385"/>
    <mergeCell ref="W384:W385"/>
    <mergeCell ref="X384:X385"/>
    <mergeCell ref="Y384:Y385"/>
    <mergeCell ref="Z384:Z385"/>
    <mergeCell ref="AA384:AA385"/>
    <mergeCell ref="AB384:AB385"/>
    <mergeCell ref="AC384:AC385"/>
    <mergeCell ref="AW384:AW385"/>
    <mergeCell ref="AX384:AX385"/>
    <mergeCell ref="AY384:AY385"/>
    <mergeCell ref="AZ384:AZ385"/>
    <mergeCell ref="BA384:BA385"/>
    <mergeCell ref="BB384:BB385"/>
    <mergeCell ref="BC384:BC385"/>
    <mergeCell ref="BD384:BD385"/>
    <mergeCell ref="BE384:BE385"/>
    <mergeCell ref="AN384:AN385"/>
    <mergeCell ref="AO384:AO385"/>
    <mergeCell ref="AP384:AP385"/>
    <mergeCell ref="AQ384:AQ385"/>
    <mergeCell ref="BT384:BT385"/>
    <mergeCell ref="BU384:BU385"/>
    <mergeCell ref="BV384:BV385"/>
    <mergeCell ref="BW384:BW385"/>
    <mergeCell ref="BF384:BF385"/>
    <mergeCell ref="BG384:BG385"/>
    <mergeCell ref="BH384:BH385"/>
    <mergeCell ref="BI384:BI385"/>
    <mergeCell ref="BJ384:BJ385"/>
    <mergeCell ref="BK384:BK385"/>
    <mergeCell ref="BL384:BL385"/>
    <mergeCell ref="BM384:BM385"/>
    <mergeCell ref="BN384:BN385"/>
    <mergeCell ref="AH415:AH416"/>
    <mergeCell ref="CY384:CY385"/>
    <mergeCell ref="CZ384:CZ385"/>
    <mergeCell ref="DA384:DA385"/>
    <mergeCell ref="BX384:BX385"/>
    <mergeCell ref="BY384:BY385"/>
    <mergeCell ref="BZ384:BZ385"/>
    <mergeCell ref="CA384:CA385"/>
    <mergeCell ref="AI415:AI416"/>
    <mergeCell ref="AJ415:AJ416"/>
    <mergeCell ref="AK415:AK416"/>
    <mergeCell ref="AL415:AL416"/>
    <mergeCell ref="AM415:AM416"/>
    <mergeCell ref="AN415:AN416"/>
    <mergeCell ref="AO415:AO416"/>
    <mergeCell ref="AP415:AP416"/>
    <mergeCell ref="AQ415:AQ416"/>
    <mergeCell ref="AR415:AR416"/>
    <mergeCell ref="AS415:AS416"/>
    <mergeCell ref="DB384:DB385"/>
    <mergeCell ref="DC384:DC385"/>
    <mergeCell ref="DD384:DD385"/>
    <mergeCell ref="DE384:DE385"/>
    <mergeCell ref="DF384:DF385"/>
    <mergeCell ref="DG384:DG385"/>
    <mergeCell ref="CP384:CP385"/>
    <mergeCell ref="CQ384:CQ385"/>
    <mergeCell ref="CR384:CR385"/>
    <mergeCell ref="CS384:CS385"/>
    <mergeCell ref="CT384:CT385"/>
    <mergeCell ref="CU384:CU385"/>
    <mergeCell ref="CV384:CV385"/>
    <mergeCell ref="CW384:CW385"/>
    <mergeCell ref="CX384:CX385"/>
    <mergeCell ref="CG384:CG385"/>
    <mergeCell ref="CH384:CH385"/>
    <mergeCell ref="CI384:CI385"/>
    <mergeCell ref="CJ384:CJ385"/>
    <mergeCell ref="CK384:CK385"/>
    <mergeCell ref="CL384:CL385"/>
    <mergeCell ref="CM384:CM385"/>
    <mergeCell ref="CN384:CN385"/>
    <mergeCell ref="CO384:CO385"/>
    <mergeCell ref="DH384:DH385"/>
    <mergeCell ref="DI384:DI385"/>
    <mergeCell ref="DJ384:DJ385"/>
    <mergeCell ref="N414:N416"/>
    <mergeCell ref="O415:O416"/>
    <mergeCell ref="P415:P416"/>
    <mergeCell ref="Q415:Q416"/>
    <mergeCell ref="R415:R416"/>
    <mergeCell ref="S415:S416"/>
    <mergeCell ref="T415:T416"/>
    <mergeCell ref="U415:U416"/>
    <mergeCell ref="V415:V416"/>
    <mergeCell ref="W415:W416"/>
    <mergeCell ref="X415:X416"/>
    <mergeCell ref="Y415:Y416"/>
    <mergeCell ref="Z415:Z416"/>
    <mergeCell ref="AA415:AA416"/>
    <mergeCell ref="AB415:AB416"/>
    <mergeCell ref="AC415:AC416"/>
    <mergeCell ref="AD415:AD416"/>
    <mergeCell ref="AE415:AE416"/>
    <mergeCell ref="AF415:AF416"/>
    <mergeCell ref="AG415:AG416"/>
    <mergeCell ref="BA415:BA416"/>
    <mergeCell ref="BB415:BB416"/>
    <mergeCell ref="BC415:BC416"/>
    <mergeCell ref="BD415:BD416"/>
    <mergeCell ref="BE415:BE416"/>
    <mergeCell ref="BF415:BF416"/>
    <mergeCell ref="BG415:BG416"/>
    <mergeCell ref="BH415:BH416"/>
    <mergeCell ref="BI415:BI416"/>
    <mergeCell ref="AT415:AT416"/>
    <mergeCell ref="AU415:AU416"/>
    <mergeCell ref="AV415:AV416"/>
    <mergeCell ref="AW415:AW416"/>
    <mergeCell ref="AX415:AX416"/>
    <mergeCell ref="AY415:AY416"/>
    <mergeCell ref="AZ415:AZ416"/>
    <mergeCell ref="BS415:BS416"/>
    <mergeCell ref="BT415:BT416"/>
    <mergeCell ref="BU415:BU416"/>
    <mergeCell ref="BV415:BV416"/>
    <mergeCell ref="BW415:BW416"/>
    <mergeCell ref="BX415:BX416"/>
    <mergeCell ref="BY415:BY416"/>
    <mergeCell ref="BZ415:BZ416"/>
    <mergeCell ref="CA415:CA416"/>
    <mergeCell ref="BJ415:BJ416"/>
    <mergeCell ref="BK415:BK416"/>
    <mergeCell ref="BL415:BL416"/>
    <mergeCell ref="BM415:BM416"/>
    <mergeCell ref="BN415:BN416"/>
    <mergeCell ref="BO415:BO416"/>
    <mergeCell ref="BP415:BP416"/>
    <mergeCell ref="BQ415:BQ416"/>
    <mergeCell ref="BR415:BR416"/>
    <mergeCell ref="DB415:DB416"/>
    <mergeCell ref="CK415:CK416"/>
    <mergeCell ref="CL415:CL416"/>
    <mergeCell ref="CM415:CM416"/>
    <mergeCell ref="CN415:CN416"/>
    <mergeCell ref="CO415:CO416"/>
    <mergeCell ref="CP415:CP416"/>
    <mergeCell ref="CQ415:CQ416"/>
    <mergeCell ref="CR415:CR416"/>
    <mergeCell ref="CS415:CS416"/>
    <mergeCell ref="CB415:CB416"/>
    <mergeCell ref="CC415:CC416"/>
    <mergeCell ref="CD415:CD416"/>
    <mergeCell ref="CE415:CE416"/>
    <mergeCell ref="CF415:CF416"/>
    <mergeCell ref="CG415:CG416"/>
    <mergeCell ref="CH415:CH416"/>
    <mergeCell ref="CI415:CI416"/>
    <mergeCell ref="CJ415:CJ416"/>
    <mergeCell ref="DC415:DC416"/>
    <mergeCell ref="DD415:DD416"/>
    <mergeCell ref="DE415:DE416"/>
    <mergeCell ref="DF415:DF416"/>
    <mergeCell ref="DG415:DG416"/>
    <mergeCell ref="DH415:DH416"/>
    <mergeCell ref="DI415:DI416"/>
    <mergeCell ref="DJ415:DJ416"/>
    <mergeCell ref="N434:N436"/>
    <mergeCell ref="O435:O436"/>
    <mergeCell ref="P435:P436"/>
    <mergeCell ref="Q435:Q436"/>
    <mergeCell ref="R435:R436"/>
    <mergeCell ref="S435:S436"/>
    <mergeCell ref="T435:T436"/>
    <mergeCell ref="U435:U436"/>
    <mergeCell ref="V435:V436"/>
    <mergeCell ref="W435:W436"/>
    <mergeCell ref="X435:X436"/>
    <mergeCell ref="Y435:Y436"/>
    <mergeCell ref="Z435:Z436"/>
    <mergeCell ref="AA435:AA436"/>
    <mergeCell ref="AB435:AB436"/>
    <mergeCell ref="AC435:AC436"/>
    <mergeCell ref="CT415:CT416"/>
    <mergeCell ref="CU415:CU416"/>
    <mergeCell ref="CV415:CV416"/>
    <mergeCell ref="CW415:CW416"/>
    <mergeCell ref="CX415:CX416"/>
    <mergeCell ref="CY415:CY416"/>
    <mergeCell ref="CZ415:CZ416"/>
    <mergeCell ref="DA415:DA416"/>
    <mergeCell ref="AM435:AM436"/>
    <mergeCell ref="AN435:AN436"/>
    <mergeCell ref="AO435:AO436"/>
    <mergeCell ref="AP435:AP436"/>
    <mergeCell ref="AQ435:AQ436"/>
    <mergeCell ref="AR435:AR436"/>
    <mergeCell ref="AS435:AS436"/>
    <mergeCell ref="AT435:AT436"/>
    <mergeCell ref="AU435:AU436"/>
    <mergeCell ref="AD435:AD436"/>
    <mergeCell ref="AE435:AE436"/>
    <mergeCell ref="AF435:AF436"/>
    <mergeCell ref="AG435:AG436"/>
    <mergeCell ref="AH435:AH436"/>
    <mergeCell ref="AI435:AI436"/>
    <mergeCell ref="AJ435:AJ436"/>
    <mergeCell ref="AK435:AK436"/>
    <mergeCell ref="AL435:AL436"/>
    <mergeCell ref="BE435:BE436"/>
    <mergeCell ref="BF435:BF436"/>
    <mergeCell ref="BG435:BG436"/>
    <mergeCell ref="BH435:BH436"/>
    <mergeCell ref="BI435:BI436"/>
    <mergeCell ref="BJ435:BJ436"/>
    <mergeCell ref="BK435:BK436"/>
    <mergeCell ref="BL435:BL436"/>
    <mergeCell ref="BM435:BM436"/>
    <mergeCell ref="AV435:AV436"/>
    <mergeCell ref="AW435:AW436"/>
    <mergeCell ref="AX435:AX436"/>
    <mergeCell ref="AY435:AY436"/>
    <mergeCell ref="AZ435:AZ436"/>
    <mergeCell ref="BA435:BA436"/>
    <mergeCell ref="BB435:BB436"/>
    <mergeCell ref="BC435:BC436"/>
    <mergeCell ref="BD435:BD436"/>
    <mergeCell ref="BW435:BW436"/>
    <mergeCell ref="BX435:BX436"/>
    <mergeCell ref="BY435:BY436"/>
    <mergeCell ref="BZ435:BZ436"/>
    <mergeCell ref="CA435:CA436"/>
    <mergeCell ref="CB435:CB436"/>
    <mergeCell ref="CC435:CC436"/>
    <mergeCell ref="CD435:CD436"/>
    <mergeCell ref="CE435:CE436"/>
    <mergeCell ref="BN435:BN436"/>
    <mergeCell ref="BO435:BO436"/>
    <mergeCell ref="BP435:BP436"/>
    <mergeCell ref="BQ435:BQ436"/>
    <mergeCell ref="BR435:BR436"/>
    <mergeCell ref="BS435:BS436"/>
    <mergeCell ref="BT435:BT436"/>
    <mergeCell ref="BU435:BU436"/>
    <mergeCell ref="BV435:BV436"/>
    <mergeCell ref="DF435:DF436"/>
    <mergeCell ref="CO435:CO436"/>
    <mergeCell ref="CP435:CP436"/>
    <mergeCell ref="CQ435:CQ436"/>
    <mergeCell ref="CR435:CR436"/>
    <mergeCell ref="CS435:CS436"/>
    <mergeCell ref="CT435:CT436"/>
    <mergeCell ref="CU435:CU436"/>
    <mergeCell ref="CV435:CV436"/>
    <mergeCell ref="CW435:CW436"/>
    <mergeCell ref="CF435:CF436"/>
    <mergeCell ref="CG435:CG436"/>
    <mergeCell ref="CH435:CH436"/>
    <mergeCell ref="CI435:CI436"/>
    <mergeCell ref="CJ435:CJ436"/>
    <mergeCell ref="CK435:CK436"/>
    <mergeCell ref="CL435:CL436"/>
    <mergeCell ref="CM435:CM436"/>
    <mergeCell ref="CN435:CN436"/>
    <mergeCell ref="DG435:DG436"/>
    <mergeCell ref="DH435:DH436"/>
    <mergeCell ref="DI435:DI436"/>
    <mergeCell ref="DJ435:DJ436"/>
    <mergeCell ref="N454:N456"/>
    <mergeCell ref="O455:O456"/>
    <mergeCell ref="P455:P456"/>
    <mergeCell ref="Q455:Q456"/>
    <mergeCell ref="R455:R456"/>
    <mergeCell ref="S455:S456"/>
    <mergeCell ref="T455:T456"/>
    <mergeCell ref="U455:U456"/>
    <mergeCell ref="V455:V456"/>
    <mergeCell ref="W455:W456"/>
    <mergeCell ref="X455:X456"/>
    <mergeCell ref="Y455:Y456"/>
    <mergeCell ref="Z455:Z456"/>
    <mergeCell ref="AA455:AA456"/>
    <mergeCell ref="AB455:AB456"/>
    <mergeCell ref="AC455:AC456"/>
    <mergeCell ref="AD455:AD456"/>
    <mergeCell ref="AE455:AE456"/>
    <mergeCell ref="AF455:AF456"/>
    <mergeCell ref="AG455:AG456"/>
    <mergeCell ref="CX435:CX436"/>
    <mergeCell ref="CY435:CY436"/>
    <mergeCell ref="CZ435:CZ436"/>
    <mergeCell ref="DA435:DA436"/>
    <mergeCell ref="DB435:DB436"/>
    <mergeCell ref="DC435:DC436"/>
    <mergeCell ref="DD435:DD436"/>
    <mergeCell ref="DE435:DE436"/>
    <mergeCell ref="AQ455:AQ456"/>
    <mergeCell ref="AR455:AR456"/>
    <mergeCell ref="AS455:AS456"/>
    <mergeCell ref="AT455:AT456"/>
    <mergeCell ref="AU455:AU456"/>
    <mergeCell ref="AV455:AV456"/>
    <mergeCell ref="AW455:AW456"/>
    <mergeCell ref="AX455:AX456"/>
    <mergeCell ref="AY455:AY456"/>
    <mergeCell ref="AH455:AH456"/>
    <mergeCell ref="AI455:AI456"/>
    <mergeCell ref="AJ455:AJ456"/>
    <mergeCell ref="AK455:AK456"/>
    <mergeCell ref="AL455:AL456"/>
    <mergeCell ref="AM455:AM456"/>
    <mergeCell ref="AN455:AN456"/>
    <mergeCell ref="AO455:AO456"/>
    <mergeCell ref="AP455:AP456"/>
    <mergeCell ref="BX455:BX456"/>
    <mergeCell ref="BY455:BY456"/>
    <mergeCell ref="BZ455:BZ456"/>
    <mergeCell ref="BI455:BI456"/>
    <mergeCell ref="BJ455:BJ456"/>
    <mergeCell ref="BK455:BK456"/>
    <mergeCell ref="BL455:BL456"/>
    <mergeCell ref="BM455:BM456"/>
    <mergeCell ref="BN455:BN456"/>
    <mergeCell ref="BO455:BO456"/>
    <mergeCell ref="BP455:BP456"/>
    <mergeCell ref="BQ455:BQ456"/>
    <mergeCell ref="AZ455:AZ456"/>
    <mergeCell ref="BA455:BA456"/>
    <mergeCell ref="BB455:BB456"/>
    <mergeCell ref="BC455:BC456"/>
    <mergeCell ref="BD455:BD456"/>
    <mergeCell ref="BE455:BE456"/>
    <mergeCell ref="BF455:BF456"/>
    <mergeCell ref="BG455:BG456"/>
    <mergeCell ref="BH455:BH456"/>
    <mergeCell ref="DJ455:DJ456"/>
    <mergeCell ref="CS455:CS456"/>
    <mergeCell ref="CT455:CT456"/>
    <mergeCell ref="CU455:CU456"/>
    <mergeCell ref="CV455:CV456"/>
    <mergeCell ref="CW455:CW456"/>
    <mergeCell ref="CX455:CX456"/>
    <mergeCell ref="CY455:CY456"/>
    <mergeCell ref="CZ455:CZ456"/>
    <mergeCell ref="DA455:DA456"/>
    <mergeCell ref="CJ455:CJ456"/>
    <mergeCell ref="CK455:CK456"/>
    <mergeCell ref="CL455:CL456"/>
    <mergeCell ref="CM455:CM456"/>
    <mergeCell ref="CN455:CN456"/>
    <mergeCell ref="CO455:CO456"/>
    <mergeCell ref="CP455:CP456"/>
    <mergeCell ref="CQ455:CQ456"/>
    <mergeCell ref="CR455:CR456"/>
    <mergeCell ref="N467:N469"/>
    <mergeCell ref="O468:O469"/>
    <mergeCell ref="P468:P469"/>
    <mergeCell ref="Q468:Q469"/>
    <mergeCell ref="R468:R469"/>
    <mergeCell ref="S468:S469"/>
    <mergeCell ref="T468:T469"/>
    <mergeCell ref="U468:U469"/>
    <mergeCell ref="V468:V469"/>
    <mergeCell ref="DB455:DB456"/>
    <mergeCell ref="DC455:DC456"/>
    <mergeCell ref="DD455:DD456"/>
    <mergeCell ref="DE455:DE456"/>
    <mergeCell ref="DF455:DF456"/>
    <mergeCell ref="DG455:DG456"/>
    <mergeCell ref="DH455:DH456"/>
    <mergeCell ref="DI455:DI456"/>
    <mergeCell ref="CA455:CA456"/>
    <mergeCell ref="CB455:CB456"/>
    <mergeCell ref="CC455:CC456"/>
    <mergeCell ref="CD455:CD456"/>
    <mergeCell ref="CE455:CE456"/>
    <mergeCell ref="CF455:CF456"/>
    <mergeCell ref="CG455:CG456"/>
    <mergeCell ref="CH455:CH456"/>
    <mergeCell ref="CI455:CI456"/>
    <mergeCell ref="BR455:BR456"/>
    <mergeCell ref="BS455:BS456"/>
    <mergeCell ref="BT455:BT456"/>
    <mergeCell ref="BU455:BU456"/>
    <mergeCell ref="BV455:BV456"/>
    <mergeCell ref="BW455:BW456"/>
    <mergeCell ref="AF468:AF469"/>
    <mergeCell ref="AG468:AG469"/>
    <mergeCell ref="AH468:AH469"/>
    <mergeCell ref="AI468:AI469"/>
    <mergeCell ref="AJ468:AJ469"/>
    <mergeCell ref="AK468:AK469"/>
    <mergeCell ref="AL468:AL469"/>
    <mergeCell ref="AM468:AM469"/>
    <mergeCell ref="AN468:AN469"/>
    <mergeCell ref="W468:W469"/>
    <mergeCell ref="X468:X469"/>
    <mergeCell ref="Y468:Y469"/>
    <mergeCell ref="Z468:Z469"/>
    <mergeCell ref="AA468:AA469"/>
    <mergeCell ref="AB468:AB469"/>
    <mergeCell ref="AC468:AC469"/>
    <mergeCell ref="AD468:AD469"/>
    <mergeCell ref="AE468:AE469"/>
    <mergeCell ref="AX468:AX469"/>
    <mergeCell ref="AY468:AY469"/>
    <mergeCell ref="AZ468:AZ469"/>
    <mergeCell ref="BA468:BA469"/>
    <mergeCell ref="BB468:BB469"/>
    <mergeCell ref="BC468:BC469"/>
    <mergeCell ref="BD468:BD469"/>
    <mergeCell ref="BE468:BE469"/>
    <mergeCell ref="BF468:BF469"/>
    <mergeCell ref="AO468:AO469"/>
    <mergeCell ref="AP468:AP469"/>
    <mergeCell ref="AQ468:AQ469"/>
    <mergeCell ref="AR468:AR469"/>
    <mergeCell ref="AS468:AS469"/>
    <mergeCell ref="AT468:AT469"/>
    <mergeCell ref="AU468:AU469"/>
    <mergeCell ref="AV468:AV469"/>
    <mergeCell ref="AW468:AW469"/>
    <mergeCell ref="BP468:BP469"/>
    <mergeCell ref="BQ468:BQ469"/>
    <mergeCell ref="BR468:BR469"/>
    <mergeCell ref="BS468:BS469"/>
    <mergeCell ref="BT468:BT469"/>
    <mergeCell ref="BU468:BU469"/>
    <mergeCell ref="BV468:BV469"/>
    <mergeCell ref="BW468:BW469"/>
    <mergeCell ref="BX468:BX469"/>
    <mergeCell ref="BG468:BG469"/>
    <mergeCell ref="BH468:BH469"/>
    <mergeCell ref="BI468:BI469"/>
    <mergeCell ref="BJ468:BJ469"/>
    <mergeCell ref="BK468:BK469"/>
    <mergeCell ref="BL468:BL469"/>
    <mergeCell ref="BM468:BM469"/>
    <mergeCell ref="BN468:BN469"/>
    <mergeCell ref="BO468:BO469"/>
    <mergeCell ref="CH468:CH469"/>
    <mergeCell ref="CI468:CI469"/>
    <mergeCell ref="CJ468:CJ469"/>
    <mergeCell ref="CK468:CK469"/>
    <mergeCell ref="CL468:CL469"/>
    <mergeCell ref="CM468:CM469"/>
    <mergeCell ref="CN468:CN469"/>
    <mergeCell ref="CO468:CO469"/>
    <mergeCell ref="CP468:CP469"/>
    <mergeCell ref="BY468:BY469"/>
    <mergeCell ref="BZ468:BZ469"/>
    <mergeCell ref="CA468:CA469"/>
    <mergeCell ref="CB468:CB469"/>
    <mergeCell ref="CC468:CC469"/>
    <mergeCell ref="CD468:CD469"/>
    <mergeCell ref="CE468:CE469"/>
    <mergeCell ref="CF468:CF469"/>
    <mergeCell ref="CG468:CG469"/>
    <mergeCell ref="DI468:DI469"/>
    <mergeCell ref="DJ468:DJ469"/>
    <mergeCell ref="CZ468:CZ469"/>
    <mergeCell ref="DA468:DA469"/>
    <mergeCell ref="DB468:DB469"/>
    <mergeCell ref="DC468:DC469"/>
    <mergeCell ref="DD468:DD469"/>
    <mergeCell ref="DE468:DE469"/>
    <mergeCell ref="DF468:DF469"/>
    <mergeCell ref="DG468:DG469"/>
    <mergeCell ref="DH468:DH469"/>
    <mergeCell ref="CQ468:CQ469"/>
    <mergeCell ref="CR468:CR469"/>
    <mergeCell ref="CS468:CS469"/>
    <mergeCell ref="CT468:CT469"/>
    <mergeCell ref="CU468:CU469"/>
    <mergeCell ref="CV468:CV469"/>
    <mergeCell ref="CW468:CW469"/>
    <mergeCell ref="CX468:CX469"/>
    <mergeCell ref="CY468:CY469"/>
  </mergeCells>
  <pageMargins left="0" right="0" top="0.19685039370078741" bottom="0" header="0.19685039370078741" footer="0"/>
  <pageSetup paperSize="9" scale="91"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K766"/>
  <sheetViews>
    <sheetView topLeftCell="A105" zoomScale="115" zoomScaleNormal="115" workbookViewId="0">
      <selection activeCell="B129" sqref="B129"/>
    </sheetView>
  </sheetViews>
  <sheetFormatPr defaultRowHeight="15" x14ac:dyDescent="0.25"/>
  <cols>
    <col min="1" max="1" width="4.7109375" style="52" customWidth="1"/>
    <col min="2" max="2" width="29.7109375" style="52" bestFit="1" customWidth="1"/>
    <col min="3" max="3" width="9" style="52" bestFit="1" customWidth="1"/>
    <col min="4" max="4" width="12.5703125" style="52" bestFit="1" customWidth="1"/>
    <col min="5" max="5" width="13.5703125" style="52" customWidth="1"/>
    <col min="6" max="6" width="12.140625" style="52" bestFit="1" customWidth="1"/>
    <col min="7" max="7" width="11.7109375" style="52" customWidth="1"/>
    <col min="8" max="8" width="12.5703125" style="52" bestFit="1" customWidth="1"/>
    <col min="9" max="9" width="11.5703125" style="52" bestFit="1" customWidth="1"/>
    <col min="10" max="10" width="15.140625" style="52" customWidth="1"/>
    <col min="11" max="12" width="15.42578125" style="52" customWidth="1"/>
    <col min="13" max="13" width="10" style="52" bestFit="1" customWidth="1"/>
    <col min="14" max="16384" width="9.140625" style="52"/>
  </cols>
  <sheetData>
    <row r="1" spans="1:113" x14ac:dyDescent="0.25">
      <c r="L1"/>
      <c r="M1"/>
      <c r="N1"/>
      <c r="O1"/>
      <c r="P1"/>
      <c r="Q1"/>
      <c r="R1"/>
      <c r="S1"/>
      <c r="T1"/>
      <c r="U1"/>
      <c r="V1"/>
      <c r="W1"/>
      <c r="X1"/>
      <c r="Y1"/>
      <c r="Z1"/>
      <c r="AA1"/>
      <c r="AB1"/>
      <c r="AC1"/>
      <c r="AD1"/>
    </row>
    <row r="2" spans="1:113" ht="15.75" thickBot="1" x14ac:dyDescent="0.3">
      <c r="A2" s="103" t="s">
        <v>716</v>
      </c>
      <c r="B2" s="103"/>
      <c r="G2" s="53" t="str">
        <f>A.Prangko!G3</f>
        <v>mei 2017</v>
      </c>
      <c r="L2"/>
      <c r="M2"/>
      <c r="N2"/>
      <c r="O2"/>
      <c r="P2"/>
      <c r="Q2"/>
      <c r="R2"/>
      <c r="S2"/>
      <c r="T2"/>
      <c r="U2"/>
      <c r="V2"/>
      <c r="W2"/>
      <c r="X2"/>
      <c r="Y2"/>
      <c r="Z2"/>
      <c r="AA2"/>
      <c r="AB2"/>
      <c r="AC2"/>
      <c r="AD2"/>
    </row>
    <row r="3" spans="1:113" ht="15.75" thickBot="1" x14ac:dyDescent="0.3">
      <c r="A3" s="407" t="s">
        <v>657</v>
      </c>
      <c r="B3" s="414" t="s">
        <v>0</v>
      </c>
      <c r="C3" s="414" t="s">
        <v>1</v>
      </c>
      <c r="D3" s="415" t="s">
        <v>649</v>
      </c>
      <c r="E3" s="416" t="s">
        <v>19</v>
      </c>
      <c r="F3" s="416"/>
      <c r="G3" s="416"/>
      <c r="H3" s="416"/>
      <c r="I3" s="416"/>
      <c r="J3" s="410" t="s">
        <v>21</v>
      </c>
      <c r="K3" s="417" t="s">
        <v>602</v>
      </c>
      <c r="L3"/>
      <c r="M3" s="403" t="s">
        <v>601</v>
      </c>
      <c r="N3" s="403" t="s">
        <v>924</v>
      </c>
      <c r="O3" s="403"/>
      <c r="P3" s="403"/>
      <c r="Q3" s="403"/>
      <c r="R3" s="403"/>
      <c r="S3" s="403"/>
      <c r="T3" s="403"/>
      <c r="U3" s="403"/>
      <c r="V3" s="403"/>
      <c r="W3" s="403"/>
      <c r="X3" s="403"/>
      <c r="Y3" s="403"/>
      <c r="Z3" s="403"/>
      <c r="AA3" s="403"/>
      <c r="AB3" s="403"/>
      <c r="AC3" s="403"/>
      <c r="AD3" s="403"/>
      <c r="AE3" s="403"/>
      <c r="AF3" s="403"/>
      <c r="AG3" s="403"/>
      <c r="AH3" s="403"/>
      <c r="AI3" s="403"/>
      <c r="AJ3" s="403"/>
      <c r="AK3" s="403"/>
      <c r="AL3" s="403"/>
      <c r="AM3" s="403"/>
      <c r="AN3" s="403"/>
      <c r="AO3" s="403"/>
      <c r="AP3" s="403"/>
      <c r="AQ3" s="403"/>
      <c r="AR3" s="403"/>
      <c r="AS3" s="403"/>
      <c r="AT3" s="403"/>
      <c r="AU3" s="403"/>
      <c r="AV3" s="403"/>
      <c r="AW3" s="403"/>
      <c r="AX3" s="403"/>
      <c r="AY3" s="403"/>
      <c r="AZ3" s="403"/>
      <c r="BA3" s="403"/>
      <c r="BB3" s="403"/>
      <c r="BC3" s="403"/>
      <c r="BD3" s="403"/>
      <c r="BE3" s="403"/>
      <c r="BF3" s="403"/>
      <c r="BG3" s="403"/>
      <c r="BH3" s="403"/>
      <c r="BI3" s="403"/>
      <c r="BJ3" s="403"/>
      <c r="BK3" s="403"/>
      <c r="BL3" s="403"/>
      <c r="BM3" s="403"/>
      <c r="BN3" s="403"/>
      <c r="BO3" s="403"/>
      <c r="BP3" s="403"/>
      <c r="BQ3" s="403"/>
      <c r="BR3" s="403"/>
      <c r="BS3" s="403"/>
      <c r="BT3" s="403"/>
      <c r="BU3" s="403"/>
      <c r="BV3" s="403"/>
      <c r="BW3" s="403"/>
      <c r="BX3" s="403"/>
      <c r="BY3" s="403"/>
      <c r="BZ3" s="403"/>
      <c r="CA3" s="403"/>
      <c r="CB3" s="403"/>
      <c r="CC3" s="403"/>
      <c r="CD3" s="403"/>
      <c r="CE3" s="403"/>
      <c r="CF3" s="403"/>
      <c r="CG3" s="403"/>
      <c r="CH3" s="403"/>
      <c r="CI3" s="403"/>
      <c r="CJ3" s="403"/>
      <c r="CK3" s="403"/>
      <c r="CL3" s="403"/>
      <c r="CM3" s="403"/>
      <c r="CN3" s="403"/>
      <c r="CO3" s="403"/>
      <c r="CP3" s="403"/>
      <c r="CQ3" s="403"/>
      <c r="CR3" s="403"/>
      <c r="CS3" s="403"/>
      <c r="CT3" s="403"/>
      <c r="CU3" s="403"/>
      <c r="CV3" s="403"/>
      <c r="CW3" s="403"/>
      <c r="CX3" s="403"/>
      <c r="CY3" s="403"/>
      <c r="CZ3" s="403"/>
      <c r="DA3" s="403"/>
      <c r="DB3" s="403"/>
      <c r="DC3" s="403"/>
      <c r="DD3" s="403"/>
      <c r="DE3" s="403"/>
      <c r="DF3" s="403"/>
      <c r="DG3" s="403"/>
      <c r="DH3" s="403"/>
      <c r="DI3" s="403"/>
    </row>
    <row r="4" spans="1:113" ht="15.75" thickBot="1" x14ac:dyDescent="0.3">
      <c r="A4" s="408"/>
      <c r="B4" s="414"/>
      <c r="C4" s="414"/>
      <c r="D4" s="415"/>
      <c r="E4" s="68" t="s">
        <v>22</v>
      </c>
      <c r="F4" s="68" t="s">
        <v>600</v>
      </c>
      <c r="G4" s="68" t="s">
        <v>601</v>
      </c>
      <c r="H4" s="68" t="s">
        <v>589</v>
      </c>
      <c r="I4" s="68" t="s">
        <v>601</v>
      </c>
      <c r="J4" s="411"/>
      <c r="K4" s="418"/>
      <c r="L4"/>
      <c r="M4" s="403"/>
      <c r="N4" s="322" t="s">
        <v>925</v>
      </c>
      <c r="O4" s="322" t="s">
        <v>926</v>
      </c>
      <c r="P4" s="322"/>
      <c r="Q4" s="322"/>
      <c r="R4" s="322"/>
      <c r="S4" s="323"/>
      <c r="T4" s="323"/>
      <c r="U4" s="323"/>
      <c r="V4" s="323"/>
      <c r="W4" s="323"/>
      <c r="X4" s="323"/>
      <c r="Y4" s="323"/>
      <c r="Z4" s="323"/>
      <c r="AA4" s="323"/>
      <c r="AB4" s="323"/>
      <c r="AC4" s="323"/>
      <c r="AD4" s="323"/>
      <c r="AE4" s="323"/>
      <c r="AF4" s="323"/>
      <c r="AG4" s="323"/>
      <c r="AH4" s="323"/>
      <c r="AI4" s="323"/>
      <c r="AJ4" s="323"/>
      <c r="AK4" s="323"/>
      <c r="AL4" s="323"/>
      <c r="AM4" s="323"/>
      <c r="AN4" s="323"/>
      <c r="AO4" s="323"/>
      <c r="AP4" s="323"/>
      <c r="AQ4" s="323"/>
      <c r="AR4" s="323"/>
      <c r="AS4" s="323"/>
      <c r="AT4" s="323"/>
      <c r="AU4" s="323"/>
      <c r="AV4" s="323"/>
      <c r="AW4" s="323"/>
      <c r="AX4" s="323"/>
      <c r="AY4" s="323"/>
      <c r="AZ4" s="323"/>
      <c r="BA4" s="323"/>
      <c r="BB4" s="323"/>
      <c r="BC4" s="323"/>
      <c r="BD4" s="323"/>
      <c r="BE4" s="323"/>
      <c r="BF4" s="323"/>
      <c r="BG4" s="323"/>
      <c r="BH4" s="323"/>
      <c r="BI4" s="323"/>
      <c r="BJ4" s="323"/>
      <c r="BK4" s="323"/>
      <c r="BL4" s="323"/>
      <c r="BM4" s="323"/>
      <c r="BN4" s="323"/>
      <c r="BO4" s="323"/>
      <c r="BP4" s="323"/>
      <c r="BQ4" s="323"/>
      <c r="BR4" s="323"/>
      <c r="BS4" s="323"/>
      <c r="BT4" s="323"/>
      <c r="BU4" s="323"/>
      <c r="BV4" s="323"/>
      <c r="BW4" s="323"/>
      <c r="BX4" s="323"/>
      <c r="BY4" s="323"/>
      <c r="BZ4" s="323"/>
      <c r="CA4" s="323"/>
      <c r="CB4" s="323"/>
      <c r="CC4" s="323"/>
      <c r="CD4" s="323"/>
      <c r="CE4" s="323"/>
      <c r="CF4" s="323"/>
      <c r="CG4" s="323"/>
      <c r="CH4" s="323"/>
      <c r="CI4" s="323"/>
      <c r="CJ4" s="323"/>
      <c r="CK4" s="323"/>
      <c r="CL4" s="323"/>
      <c r="CM4" s="323"/>
      <c r="CN4" s="323"/>
      <c r="CO4" s="323"/>
      <c r="CP4" s="323"/>
      <c r="CQ4" s="323"/>
      <c r="CR4" s="323"/>
      <c r="CS4" s="323"/>
      <c r="CT4" s="323"/>
      <c r="CU4" s="323"/>
      <c r="CV4" s="323"/>
      <c r="CW4" s="323"/>
      <c r="CX4" s="323"/>
      <c r="CY4" s="323"/>
      <c r="CZ4" s="323"/>
      <c r="DA4" s="323"/>
      <c r="DB4" s="323"/>
      <c r="DC4" s="323"/>
      <c r="DD4" s="323"/>
      <c r="DE4" s="323"/>
      <c r="DF4" s="323"/>
      <c r="DG4" s="323"/>
      <c r="DH4" s="323"/>
      <c r="DI4" s="324"/>
    </row>
    <row r="5" spans="1:113" ht="15.75" thickBot="1" x14ac:dyDescent="0.3">
      <c r="A5" s="409"/>
      <c r="B5" s="69">
        <v>1</v>
      </c>
      <c r="C5" s="69">
        <v>2</v>
      </c>
      <c r="D5" s="69">
        <v>3</v>
      </c>
      <c r="E5" s="70">
        <v>4</v>
      </c>
      <c r="F5" s="70">
        <f>+E5+1</f>
        <v>5</v>
      </c>
      <c r="G5" s="70" t="s">
        <v>652</v>
      </c>
      <c r="H5" s="70">
        <v>7</v>
      </c>
      <c r="I5" s="71" t="s">
        <v>651</v>
      </c>
      <c r="J5" s="42" t="s">
        <v>650</v>
      </c>
      <c r="K5" s="42" t="s">
        <v>653</v>
      </c>
      <c r="L5"/>
      <c r="M5" s="320">
        <f>SUM(N5:DJ5)</f>
        <v>0</v>
      </c>
      <c r="N5" s="311"/>
      <c r="O5" s="319"/>
      <c r="P5" s="319"/>
      <c r="Q5" s="319"/>
      <c r="R5" s="319"/>
      <c r="S5" s="317"/>
      <c r="T5" s="317"/>
      <c r="U5" s="317"/>
      <c r="V5" s="317"/>
      <c r="W5" s="317"/>
      <c r="X5" s="317"/>
      <c r="Y5" s="317"/>
      <c r="Z5" s="317"/>
      <c r="AA5" s="317"/>
      <c r="AB5" s="317"/>
      <c r="AC5" s="317"/>
      <c r="AD5" s="317"/>
      <c r="AE5" s="317"/>
      <c r="AF5" s="317"/>
      <c r="AG5" s="317"/>
      <c r="AH5" s="317"/>
      <c r="AI5" s="317"/>
      <c r="AJ5" s="317"/>
      <c r="AK5" s="317"/>
      <c r="AL5" s="317"/>
      <c r="AM5" s="317"/>
      <c r="AN5" s="317"/>
      <c r="AO5" s="317"/>
      <c r="AP5" s="317"/>
      <c r="AQ5" s="317"/>
      <c r="AR5" s="317"/>
      <c r="AS5" s="317"/>
      <c r="AT5" s="317"/>
      <c r="AU5" s="317"/>
      <c r="AV5" s="317"/>
      <c r="AW5" s="317"/>
      <c r="AX5" s="317"/>
      <c r="AY5" s="317"/>
      <c r="AZ5" s="317"/>
      <c r="BA5" s="317"/>
      <c r="BB5" s="317"/>
      <c r="BC5" s="317"/>
      <c r="BD5" s="317"/>
      <c r="BE5" s="317"/>
      <c r="BF5" s="317"/>
      <c r="BG5" s="317"/>
      <c r="BH5" s="317"/>
      <c r="BI5" s="317"/>
      <c r="BJ5" s="317"/>
      <c r="BK5" s="317"/>
      <c r="BL5" s="317"/>
      <c r="BM5" s="317"/>
      <c r="BN5" s="317"/>
      <c r="BO5" s="317"/>
      <c r="BP5" s="317"/>
      <c r="BQ5" s="317"/>
      <c r="BR5" s="317"/>
      <c r="BS5" s="317"/>
      <c r="BT5" s="317"/>
      <c r="BU5" s="317"/>
      <c r="BV5" s="317"/>
      <c r="BW5" s="317"/>
      <c r="BX5" s="317"/>
      <c r="BY5" s="317"/>
      <c r="BZ5" s="317"/>
      <c r="CA5" s="317"/>
      <c r="CB5" s="317"/>
      <c r="CC5" s="317"/>
      <c r="CD5" s="317"/>
      <c r="CE5" s="317"/>
      <c r="CF5" s="317"/>
      <c r="CG5" s="317"/>
      <c r="CH5" s="317"/>
      <c r="CI5" s="317"/>
      <c r="CJ5" s="317"/>
      <c r="CK5" s="317"/>
      <c r="CL5" s="317"/>
      <c r="CM5" s="317"/>
      <c r="CN5" s="317"/>
      <c r="CO5" s="317"/>
      <c r="CP5" s="317"/>
      <c r="CQ5" s="317"/>
      <c r="CR5" s="317"/>
      <c r="CS5" s="317"/>
      <c r="CT5" s="317"/>
      <c r="CU5" s="317"/>
      <c r="CV5" s="317"/>
      <c r="CW5" s="317"/>
      <c r="CX5" s="317"/>
      <c r="CY5" s="317"/>
      <c r="CZ5" s="317"/>
      <c r="DA5" s="317"/>
      <c r="DB5" s="317"/>
      <c r="DC5" s="317"/>
      <c r="DD5" s="317"/>
      <c r="DE5" s="317"/>
      <c r="DF5" s="317"/>
      <c r="DG5" s="317"/>
      <c r="DH5" s="317"/>
      <c r="DI5" s="317"/>
    </row>
    <row r="6" spans="1:113" x14ac:dyDescent="0.25">
      <c r="A6" s="140"/>
      <c r="B6" s="141" t="s">
        <v>689</v>
      </c>
      <c r="C6" s="140"/>
      <c r="D6" s="140"/>
      <c r="E6" s="99"/>
      <c r="F6" s="99"/>
      <c r="G6" s="99"/>
      <c r="H6" s="99"/>
      <c r="I6" s="100"/>
      <c r="J6" s="63"/>
      <c r="K6" s="63"/>
      <c r="L6"/>
      <c r="M6" s="314">
        <f t="shared" ref="M6:M42" si="0">SUM(N6:DJ6)</f>
        <v>0</v>
      </c>
      <c r="N6" s="310"/>
      <c r="O6" s="315"/>
      <c r="P6" s="315"/>
      <c r="Q6" s="315"/>
      <c r="R6" s="31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row>
    <row r="7" spans="1:113" x14ac:dyDescent="0.25">
      <c r="A7" s="120">
        <v>1</v>
      </c>
      <c r="B7" s="79" t="s">
        <v>156</v>
      </c>
      <c r="C7" s="80">
        <v>5000</v>
      </c>
      <c r="D7" s="142">
        <v>820.6</v>
      </c>
      <c r="E7" s="59">
        <v>0</v>
      </c>
      <c r="F7" s="59"/>
      <c r="G7" s="139">
        <f>+E7+F7</f>
        <v>0</v>
      </c>
      <c r="H7" s="55"/>
      <c r="I7" s="56">
        <f>+G7-H7</f>
        <v>0</v>
      </c>
      <c r="J7" s="56">
        <f>I7*C7</f>
        <v>0</v>
      </c>
      <c r="K7" s="57">
        <f>+D7*I7</f>
        <v>0</v>
      </c>
      <c r="L7"/>
      <c r="M7" s="314">
        <f t="shared" si="0"/>
        <v>0</v>
      </c>
      <c r="N7" s="310"/>
      <c r="O7" s="315"/>
      <c r="P7" s="315"/>
      <c r="Q7" s="315"/>
      <c r="R7" s="31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row>
    <row r="8" spans="1:113" x14ac:dyDescent="0.25">
      <c r="A8" s="120">
        <v>2</v>
      </c>
      <c r="B8" s="79" t="s">
        <v>146</v>
      </c>
      <c r="C8" s="80">
        <v>5000</v>
      </c>
      <c r="D8" s="142">
        <v>801.16</v>
      </c>
      <c r="E8" s="59">
        <v>0</v>
      </c>
      <c r="F8" s="59"/>
      <c r="G8" s="139">
        <f t="shared" ref="G8:G12" si="1">+E8+F8</f>
        <v>0</v>
      </c>
      <c r="H8" s="55">
        <f>1-1</f>
        <v>0</v>
      </c>
      <c r="I8" s="56">
        <f t="shared" ref="I8:I12" si="2">+G8-H8</f>
        <v>0</v>
      </c>
      <c r="J8" s="56">
        <f t="shared" ref="J8:J12" si="3">I8*C8</f>
        <v>0</v>
      </c>
      <c r="K8" s="57">
        <f t="shared" ref="K8:K12" si="4">+D8*I8</f>
        <v>0</v>
      </c>
      <c r="L8"/>
      <c r="M8" s="314">
        <f t="shared" si="0"/>
        <v>0</v>
      </c>
      <c r="N8" s="310"/>
      <c r="O8" s="315"/>
      <c r="P8" s="315"/>
      <c r="Q8" s="315"/>
      <c r="R8" s="31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row>
    <row r="9" spans="1:113" x14ac:dyDescent="0.25">
      <c r="A9" s="120">
        <v>3</v>
      </c>
      <c r="B9" s="79" t="s">
        <v>147</v>
      </c>
      <c r="C9" s="80">
        <v>8000</v>
      </c>
      <c r="D9" s="142">
        <v>801.16</v>
      </c>
      <c r="E9" s="59">
        <v>0</v>
      </c>
      <c r="F9" s="59"/>
      <c r="G9" s="139">
        <f t="shared" si="1"/>
        <v>0</v>
      </c>
      <c r="H9" s="55">
        <f>1132-1132</f>
        <v>0</v>
      </c>
      <c r="I9" s="56">
        <f t="shared" si="2"/>
        <v>0</v>
      </c>
      <c r="J9" s="56">
        <f t="shared" si="3"/>
        <v>0</v>
      </c>
      <c r="K9" s="57">
        <f t="shared" si="4"/>
        <v>0</v>
      </c>
      <c r="L9"/>
      <c r="M9" s="314">
        <f t="shared" si="0"/>
        <v>0</v>
      </c>
      <c r="N9" s="310"/>
      <c r="O9" s="315"/>
      <c r="P9" s="315"/>
      <c r="Q9" s="315"/>
      <c r="R9" s="31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row>
    <row r="10" spans="1:113" x14ac:dyDescent="0.25">
      <c r="A10" s="120">
        <v>4</v>
      </c>
      <c r="B10" s="79" t="s">
        <v>148</v>
      </c>
      <c r="C10" s="80">
        <v>5000</v>
      </c>
      <c r="D10" s="142">
        <v>570.16</v>
      </c>
      <c r="E10" s="59">
        <v>0</v>
      </c>
      <c r="F10" s="59"/>
      <c r="G10" s="139">
        <f t="shared" si="1"/>
        <v>0</v>
      </c>
      <c r="H10" s="55"/>
      <c r="I10" s="56">
        <f t="shared" si="2"/>
        <v>0</v>
      </c>
      <c r="J10" s="56">
        <f t="shared" si="3"/>
        <v>0</v>
      </c>
      <c r="K10" s="57">
        <f t="shared" si="4"/>
        <v>0</v>
      </c>
      <c r="L10"/>
      <c r="M10" s="314">
        <f t="shared" si="0"/>
        <v>0</v>
      </c>
      <c r="N10" s="310"/>
      <c r="O10" s="315"/>
      <c r="P10" s="315"/>
      <c r="Q10" s="315"/>
      <c r="R10" s="31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row>
    <row r="11" spans="1:113" x14ac:dyDescent="0.25">
      <c r="A11" s="120">
        <v>5</v>
      </c>
      <c r="B11" s="79" t="s">
        <v>149</v>
      </c>
      <c r="C11" s="80">
        <v>6000</v>
      </c>
      <c r="D11" s="142">
        <v>981.75</v>
      </c>
      <c r="E11" s="59">
        <v>0</v>
      </c>
      <c r="F11" s="59"/>
      <c r="G11" s="139">
        <f t="shared" si="1"/>
        <v>0</v>
      </c>
      <c r="H11" s="55">
        <f>180-180</f>
        <v>0</v>
      </c>
      <c r="I11" s="56">
        <f t="shared" si="2"/>
        <v>0</v>
      </c>
      <c r="J11" s="56">
        <f t="shared" si="3"/>
        <v>0</v>
      </c>
      <c r="K11" s="57">
        <f t="shared" si="4"/>
        <v>0</v>
      </c>
      <c r="L11"/>
      <c r="M11" s="314">
        <f t="shared" si="0"/>
        <v>0</v>
      </c>
      <c r="N11" s="310"/>
      <c r="O11" s="315"/>
      <c r="P11" s="315"/>
      <c r="Q11" s="315"/>
      <c r="R11" s="31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5"/>
      <c r="DD11" s="55"/>
      <c r="DE11" s="55"/>
      <c r="DF11" s="55"/>
      <c r="DG11" s="55"/>
      <c r="DH11" s="55"/>
      <c r="DI11" s="55"/>
    </row>
    <row r="12" spans="1:113" ht="15.75" thickBot="1" x14ac:dyDescent="0.3">
      <c r="A12" s="143">
        <v>6</v>
      </c>
      <c r="B12" s="144" t="s">
        <v>150</v>
      </c>
      <c r="C12" s="82">
        <f>48000-12000</f>
        <v>36000</v>
      </c>
      <c r="D12" s="145">
        <v>1345</v>
      </c>
      <c r="E12" s="146">
        <v>0</v>
      </c>
      <c r="F12" s="146"/>
      <c r="G12" s="147">
        <f t="shared" si="1"/>
        <v>0</v>
      </c>
      <c r="H12" s="55">
        <f>370-370</f>
        <v>0</v>
      </c>
      <c r="I12" s="64">
        <f t="shared" si="2"/>
        <v>0</v>
      </c>
      <c r="J12" s="64">
        <f t="shared" si="3"/>
        <v>0</v>
      </c>
      <c r="K12" s="65">
        <f t="shared" si="4"/>
        <v>0</v>
      </c>
      <c r="L12"/>
      <c r="M12" s="314">
        <f t="shared" si="0"/>
        <v>0</v>
      </c>
      <c r="N12" s="310"/>
      <c r="O12" s="315"/>
      <c r="P12" s="315"/>
      <c r="Q12" s="315"/>
      <c r="R12" s="31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row>
    <row r="13" spans="1:113" ht="15.75" thickBot="1" x14ac:dyDescent="0.3">
      <c r="A13" s="134"/>
      <c r="B13" s="119" t="s">
        <v>690</v>
      </c>
      <c r="C13" s="84"/>
      <c r="D13" s="36"/>
      <c r="E13" s="61">
        <f>SUM(E7:E12)</f>
        <v>0</v>
      </c>
      <c r="F13" s="61">
        <f>SUM(F7:F12)</f>
        <v>0</v>
      </c>
      <c r="G13" s="61">
        <f>SUM(G7:G12)</f>
        <v>0</v>
      </c>
      <c r="H13" s="29">
        <f>SUM(H7:H12)</f>
        <v>0</v>
      </c>
      <c r="I13" s="29">
        <f>SUM(I7:I12)</f>
        <v>0</v>
      </c>
      <c r="J13" s="29">
        <f t="shared" ref="J13:K13" si="5">SUM(J7:J12)</f>
        <v>0</v>
      </c>
      <c r="K13" s="47">
        <f t="shared" si="5"/>
        <v>0</v>
      </c>
      <c r="L13"/>
      <c r="M13" s="322">
        <f t="shared" si="0"/>
        <v>0</v>
      </c>
      <c r="N13" s="325"/>
      <c r="O13" s="325"/>
      <c r="P13" s="325"/>
      <c r="Q13" s="325"/>
      <c r="R13" s="325"/>
      <c r="S13" s="324"/>
      <c r="T13" s="324"/>
      <c r="U13" s="324"/>
      <c r="V13" s="324"/>
      <c r="W13" s="324"/>
      <c r="X13" s="324"/>
      <c r="Y13" s="324"/>
      <c r="Z13" s="324"/>
      <c r="AA13" s="324"/>
      <c r="AB13" s="324"/>
      <c r="AC13" s="324"/>
      <c r="AD13" s="324"/>
      <c r="AE13" s="324"/>
      <c r="AF13" s="324"/>
      <c r="AG13" s="324"/>
      <c r="AH13" s="324"/>
      <c r="AI13" s="324"/>
      <c r="AJ13" s="324"/>
      <c r="AK13" s="324"/>
      <c r="AL13" s="324"/>
      <c r="AM13" s="324"/>
      <c r="AN13" s="324"/>
      <c r="AO13" s="324"/>
      <c r="AP13" s="324"/>
      <c r="AQ13" s="324"/>
      <c r="AR13" s="324"/>
      <c r="AS13" s="324"/>
      <c r="AT13" s="324"/>
      <c r="AU13" s="324"/>
      <c r="AV13" s="324"/>
      <c r="AW13" s="324"/>
      <c r="AX13" s="324"/>
      <c r="AY13" s="324"/>
      <c r="AZ13" s="324"/>
      <c r="BA13" s="324"/>
      <c r="BB13" s="324"/>
      <c r="BC13" s="324"/>
      <c r="BD13" s="324"/>
      <c r="BE13" s="324"/>
      <c r="BF13" s="324"/>
      <c r="BG13" s="324"/>
      <c r="BH13" s="324"/>
      <c r="BI13" s="324"/>
      <c r="BJ13" s="324"/>
      <c r="BK13" s="324"/>
      <c r="BL13" s="324"/>
      <c r="BM13" s="324"/>
      <c r="BN13" s="324"/>
      <c r="BO13" s="324"/>
      <c r="BP13" s="324"/>
      <c r="BQ13" s="324"/>
      <c r="BR13" s="324"/>
      <c r="BS13" s="324"/>
      <c r="BT13" s="324"/>
      <c r="BU13" s="324"/>
      <c r="BV13" s="324"/>
      <c r="BW13" s="324"/>
      <c r="BX13" s="324"/>
      <c r="BY13" s="324"/>
      <c r="BZ13" s="324"/>
      <c r="CA13" s="324"/>
      <c r="CB13" s="324"/>
      <c r="CC13" s="324"/>
      <c r="CD13" s="324"/>
      <c r="CE13" s="324"/>
      <c r="CF13" s="324"/>
      <c r="CG13" s="324"/>
      <c r="CH13" s="324"/>
      <c r="CI13" s="324"/>
      <c r="CJ13" s="324"/>
      <c r="CK13" s="324"/>
      <c r="CL13" s="324"/>
      <c r="CM13" s="324"/>
      <c r="CN13" s="324"/>
      <c r="CO13" s="324"/>
      <c r="CP13" s="324"/>
      <c r="CQ13" s="324"/>
      <c r="CR13" s="324"/>
      <c r="CS13" s="324"/>
      <c r="CT13" s="324"/>
      <c r="CU13" s="324"/>
      <c r="CV13" s="324"/>
      <c r="CW13" s="324"/>
      <c r="CX13" s="324"/>
      <c r="CY13" s="324"/>
      <c r="CZ13" s="324"/>
      <c r="DA13" s="324"/>
      <c r="DB13" s="324"/>
      <c r="DC13" s="324"/>
      <c r="DD13" s="324"/>
      <c r="DE13" s="324"/>
      <c r="DF13" s="324"/>
      <c r="DG13" s="324"/>
      <c r="DH13" s="324"/>
      <c r="DI13" s="324"/>
    </row>
    <row r="14" spans="1:113" customFormat="1" ht="15.75" thickBot="1" x14ac:dyDescent="0.3"/>
    <row r="15" spans="1:113" ht="15.75" thickBot="1" x14ac:dyDescent="0.3">
      <c r="A15" s="407" t="s">
        <v>657</v>
      </c>
      <c r="B15" s="414" t="s">
        <v>0</v>
      </c>
      <c r="C15" s="414" t="s">
        <v>1</v>
      </c>
      <c r="D15" s="415" t="s">
        <v>649</v>
      </c>
      <c r="E15" s="416" t="s">
        <v>19</v>
      </c>
      <c r="F15" s="416"/>
      <c r="G15" s="416"/>
      <c r="H15" s="416"/>
      <c r="I15" s="416"/>
      <c r="J15" s="410" t="s">
        <v>21</v>
      </c>
      <c r="K15" s="417" t="s">
        <v>602</v>
      </c>
      <c r="L15"/>
      <c r="M15" s="403" t="s">
        <v>601</v>
      </c>
      <c r="N15" s="403" t="s">
        <v>924</v>
      </c>
      <c r="O15" s="403"/>
      <c r="P15" s="403"/>
      <c r="Q15" s="403"/>
      <c r="R15" s="403"/>
      <c r="S15" s="403"/>
      <c r="T15" s="403"/>
      <c r="U15" s="403"/>
      <c r="V15" s="403"/>
      <c r="W15" s="403"/>
      <c r="X15" s="403"/>
      <c r="Y15" s="403"/>
      <c r="Z15" s="403"/>
      <c r="AA15" s="403"/>
      <c r="AB15" s="403"/>
      <c r="AC15" s="403"/>
      <c r="AD15" s="403"/>
      <c r="AE15" s="403"/>
      <c r="AF15" s="403"/>
      <c r="AG15" s="403"/>
      <c r="AH15" s="403"/>
      <c r="AI15" s="403"/>
      <c r="AJ15" s="403"/>
      <c r="AK15" s="403"/>
      <c r="AL15" s="403"/>
      <c r="AM15" s="403"/>
      <c r="AN15" s="403"/>
      <c r="AO15" s="403"/>
      <c r="AP15" s="403"/>
      <c r="AQ15" s="403"/>
      <c r="AR15" s="403"/>
      <c r="AS15" s="403"/>
      <c r="AT15" s="403"/>
      <c r="AU15" s="403"/>
      <c r="AV15" s="403"/>
      <c r="AW15" s="403"/>
      <c r="AX15" s="403"/>
      <c r="AY15" s="403"/>
      <c r="AZ15" s="403"/>
      <c r="BA15" s="403"/>
      <c r="BB15" s="403"/>
      <c r="BC15" s="403"/>
      <c r="BD15" s="403"/>
      <c r="BE15" s="403"/>
      <c r="BF15" s="403"/>
      <c r="BG15" s="403"/>
      <c r="BH15" s="403"/>
      <c r="BI15" s="403"/>
      <c r="BJ15" s="403"/>
      <c r="BK15" s="403"/>
      <c r="BL15" s="403"/>
      <c r="BM15" s="403"/>
      <c r="BN15" s="403"/>
      <c r="BO15" s="403"/>
      <c r="BP15" s="403"/>
      <c r="BQ15" s="403"/>
      <c r="BR15" s="403"/>
      <c r="BS15" s="403"/>
      <c r="BT15" s="403"/>
      <c r="BU15" s="403"/>
      <c r="BV15" s="403"/>
      <c r="BW15" s="403"/>
      <c r="BX15" s="403"/>
      <c r="BY15" s="403"/>
      <c r="BZ15" s="403"/>
      <c r="CA15" s="403"/>
      <c r="CB15" s="403"/>
      <c r="CC15" s="403"/>
      <c r="CD15" s="403"/>
      <c r="CE15" s="403"/>
      <c r="CF15" s="403"/>
      <c r="CG15" s="403"/>
      <c r="CH15" s="403"/>
      <c r="CI15" s="403"/>
      <c r="CJ15" s="403"/>
      <c r="CK15" s="403"/>
      <c r="CL15" s="403"/>
      <c r="CM15" s="403"/>
      <c r="CN15" s="403"/>
      <c r="CO15" s="403"/>
      <c r="CP15" s="403"/>
      <c r="CQ15" s="403"/>
      <c r="CR15" s="403"/>
      <c r="CS15" s="403"/>
      <c r="CT15" s="403"/>
      <c r="CU15" s="403"/>
      <c r="CV15" s="403"/>
      <c r="CW15" s="403"/>
      <c r="CX15" s="403"/>
      <c r="CY15" s="403"/>
      <c r="CZ15" s="403"/>
      <c r="DA15" s="403"/>
      <c r="DB15" s="403"/>
      <c r="DC15" s="403"/>
      <c r="DD15" s="403"/>
      <c r="DE15" s="403"/>
      <c r="DF15" s="403"/>
      <c r="DG15" s="403"/>
      <c r="DH15" s="403"/>
      <c r="DI15" s="403"/>
    </row>
    <row r="16" spans="1:113" ht="15.75" thickBot="1" x14ac:dyDescent="0.3">
      <c r="A16" s="408"/>
      <c r="B16" s="414"/>
      <c r="C16" s="414"/>
      <c r="D16" s="415"/>
      <c r="E16" s="68" t="s">
        <v>22</v>
      </c>
      <c r="F16" s="68" t="s">
        <v>600</v>
      </c>
      <c r="G16" s="68" t="s">
        <v>601</v>
      </c>
      <c r="H16" s="68" t="s">
        <v>589</v>
      </c>
      <c r="I16" s="68" t="s">
        <v>601</v>
      </c>
      <c r="J16" s="411"/>
      <c r="K16" s="418"/>
      <c r="L16"/>
      <c r="M16" s="403"/>
      <c r="N16" s="400" t="s">
        <v>925</v>
      </c>
      <c r="O16" s="400" t="s">
        <v>926</v>
      </c>
      <c r="P16" s="400"/>
      <c r="Q16" s="400"/>
      <c r="R16" s="400"/>
      <c r="S16" s="398"/>
      <c r="T16" s="398"/>
      <c r="U16" s="398"/>
      <c r="V16" s="398"/>
      <c r="W16" s="398"/>
      <c r="X16" s="398"/>
      <c r="Y16" s="398"/>
      <c r="Z16" s="398"/>
      <c r="AA16" s="398"/>
      <c r="AB16" s="398"/>
      <c r="AC16" s="398"/>
      <c r="AD16" s="398"/>
      <c r="AE16" s="398"/>
      <c r="AF16" s="398"/>
      <c r="AG16" s="398"/>
      <c r="AH16" s="398"/>
      <c r="AI16" s="398"/>
      <c r="AJ16" s="398"/>
      <c r="AK16" s="398"/>
      <c r="AL16" s="398"/>
      <c r="AM16" s="398"/>
      <c r="AN16" s="398"/>
      <c r="AO16" s="398"/>
      <c r="AP16" s="398"/>
      <c r="AQ16" s="398"/>
      <c r="AR16" s="398"/>
      <c r="AS16" s="398"/>
      <c r="AT16" s="398"/>
      <c r="AU16" s="398"/>
      <c r="AV16" s="398"/>
      <c r="AW16" s="398"/>
      <c r="AX16" s="398"/>
      <c r="AY16" s="398"/>
      <c r="AZ16" s="398"/>
      <c r="BA16" s="398"/>
      <c r="BB16" s="398"/>
      <c r="BC16" s="398"/>
      <c r="BD16" s="398"/>
      <c r="BE16" s="398"/>
      <c r="BF16" s="398"/>
      <c r="BG16" s="398"/>
      <c r="BH16" s="398"/>
      <c r="BI16" s="398"/>
      <c r="BJ16" s="398"/>
      <c r="BK16" s="398"/>
      <c r="BL16" s="398"/>
      <c r="BM16" s="398"/>
      <c r="BN16" s="398"/>
      <c r="BO16" s="398"/>
      <c r="BP16" s="398"/>
      <c r="BQ16" s="398"/>
      <c r="BR16" s="398"/>
      <c r="BS16" s="398"/>
      <c r="BT16" s="398"/>
      <c r="BU16" s="398"/>
      <c r="BV16" s="398"/>
      <c r="BW16" s="398"/>
      <c r="BX16" s="398"/>
      <c r="BY16" s="398"/>
      <c r="BZ16" s="398"/>
      <c r="CA16" s="398"/>
      <c r="CB16" s="398"/>
      <c r="CC16" s="398"/>
      <c r="CD16" s="398"/>
      <c r="CE16" s="398"/>
      <c r="CF16" s="398"/>
      <c r="CG16" s="398"/>
      <c r="CH16" s="398"/>
      <c r="CI16" s="398"/>
      <c r="CJ16" s="398"/>
      <c r="CK16" s="398"/>
      <c r="CL16" s="398"/>
      <c r="CM16" s="398"/>
      <c r="CN16" s="398"/>
      <c r="CO16" s="398"/>
      <c r="CP16" s="398"/>
      <c r="CQ16" s="398"/>
      <c r="CR16" s="398"/>
      <c r="CS16" s="398"/>
      <c r="CT16" s="398"/>
      <c r="CU16" s="398"/>
      <c r="CV16" s="398"/>
      <c r="CW16" s="398"/>
      <c r="CX16" s="398"/>
      <c r="CY16" s="398"/>
      <c r="CZ16" s="398"/>
      <c r="DA16" s="398"/>
      <c r="DB16" s="398"/>
      <c r="DC16" s="398"/>
      <c r="DD16" s="398"/>
      <c r="DE16" s="398"/>
      <c r="DF16" s="398"/>
      <c r="DG16" s="398"/>
      <c r="DH16" s="398"/>
      <c r="DI16" s="398"/>
    </row>
    <row r="17" spans="1:113" ht="15.75" thickBot="1" x14ac:dyDescent="0.3">
      <c r="A17" s="409"/>
      <c r="B17" s="69">
        <v>1</v>
      </c>
      <c r="C17" s="69">
        <v>2</v>
      </c>
      <c r="D17" s="69">
        <v>3</v>
      </c>
      <c r="E17" s="70">
        <v>4</v>
      </c>
      <c r="F17" s="70">
        <f>+E17+1</f>
        <v>5</v>
      </c>
      <c r="G17" s="70" t="s">
        <v>652</v>
      </c>
      <c r="H17" s="70">
        <v>7</v>
      </c>
      <c r="I17" s="71" t="s">
        <v>651</v>
      </c>
      <c r="J17" s="42" t="s">
        <v>650</v>
      </c>
      <c r="K17" s="42" t="s">
        <v>653</v>
      </c>
      <c r="L17"/>
      <c r="M17" s="403"/>
      <c r="N17" s="402"/>
      <c r="O17" s="402"/>
      <c r="P17" s="402"/>
      <c r="Q17" s="402"/>
      <c r="R17" s="402"/>
      <c r="S17" s="399"/>
      <c r="T17" s="399"/>
      <c r="U17" s="399"/>
      <c r="V17" s="399"/>
      <c r="W17" s="399"/>
      <c r="X17" s="399"/>
      <c r="Y17" s="399"/>
      <c r="Z17" s="399"/>
      <c r="AA17" s="399"/>
      <c r="AB17" s="399"/>
      <c r="AC17" s="399"/>
      <c r="AD17" s="399"/>
      <c r="AE17" s="399"/>
      <c r="AF17" s="399"/>
      <c r="AG17" s="399"/>
      <c r="AH17" s="399"/>
      <c r="AI17" s="399"/>
      <c r="AJ17" s="399"/>
      <c r="AK17" s="399"/>
      <c r="AL17" s="399"/>
      <c r="AM17" s="399"/>
      <c r="AN17" s="399"/>
      <c r="AO17" s="399"/>
      <c r="AP17" s="399"/>
      <c r="AQ17" s="399"/>
      <c r="AR17" s="399"/>
      <c r="AS17" s="399"/>
      <c r="AT17" s="399"/>
      <c r="AU17" s="399"/>
      <c r="AV17" s="399"/>
      <c r="AW17" s="399"/>
      <c r="AX17" s="399"/>
      <c r="AY17" s="399"/>
      <c r="AZ17" s="399"/>
      <c r="BA17" s="399"/>
      <c r="BB17" s="399"/>
      <c r="BC17" s="399"/>
      <c r="BD17" s="399"/>
      <c r="BE17" s="399"/>
      <c r="BF17" s="399"/>
      <c r="BG17" s="399"/>
      <c r="BH17" s="399"/>
      <c r="BI17" s="399"/>
      <c r="BJ17" s="399"/>
      <c r="BK17" s="399"/>
      <c r="BL17" s="399"/>
      <c r="BM17" s="399"/>
      <c r="BN17" s="399"/>
      <c r="BO17" s="399"/>
      <c r="BP17" s="399"/>
      <c r="BQ17" s="399"/>
      <c r="BR17" s="399"/>
      <c r="BS17" s="399"/>
      <c r="BT17" s="399"/>
      <c r="BU17" s="399"/>
      <c r="BV17" s="399"/>
      <c r="BW17" s="399"/>
      <c r="BX17" s="399"/>
      <c r="BY17" s="399"/>
      <c r="BZ17" s="399"/>
      <c r="CA17" s="399"/>
      <c r="CB17" s="399"/>
      <c r="CC17" s="399"/>
      <c r="CD17" s="399"/>
      <c r="CE17" s="399"/>
      <c r="CF17" s="399"/>
      <c r="CG17" s="399"/>
      <c r="CH17" s="399"/>
      <c r="CI17" s="399"/>
      <c r="CJ17" s="399"/>
      <c r="CK17" s="399"/>
      <c r="CL17" s="399"/>
      <c r="CM17" s="399"/>
      <c r="CN17" s="399"/>
      <c r="CO17" s="399"/>
      <c r="CP17" s="399"/>
      <c r="CQ17" s="399"/>
      <c r="CR17" s="399"/>
      <c r="CS17" s="399"/>
      <c r="CT17" s="399"/>
      <c r="CU17" s="399"/>
      <c r="CV17" s="399"/>
      <c r="CW17" s="399"/>
      <c r="CX17" s="399"/>
      <c r="CY17" s="399"/>
      <c r="CZ17" s="399"/>
      <c r="DA17" s="399"/>
      <c r="DB17" s="399"/>
      <c r="DC17" s="399"/>
      <c r="DD17" s="399"/>
      <c r="DE17" s="399"/>
      <c r="DF17" s="399"/>
      <c r="DG17" s="399"/>
      <c r="DH17" s="399"/>
      <c r="DI17" s="399"/>
    </row>
    <row r="18" spans="1:113" x14ac:dyDescent="0.25">
      <c r="A18" s="140"/>
      <c r="B18" s="141" t="s">
        <v>691</v>
      </c>
      <c r="C18" s="91"/>
      <c r="D18" s="151"/>
      <c r="E18" s="54"/>
      <c r="F18" s="54"/>
      <c r="G18" s="54"/>
      <c r="H18" s="54"/>
      <c r="I18" s="54"/>
      <c r="J18" s="54"/>
      <c r="K18" s="54"/>
      <c r="L18"/>
      <c r="M18" s="314">
        <f t="shared" si="0"/>
        <v>0</v>
      </c>
      <c r="N18" s="310"/>
      <c r="O18" s="315"/>
      <c r="P18" s="315"/>
      <c r="Q18" s="315"/>
      <c r="R18" s="31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row>
    <row r="19" spans="1:113" x14ac:dyDescent="0.25">
      <c r="A19" s="120">
        <v>1</v>
      </c>
      <c r="B19" s="79" t="s">
        <v>151</v>
      </c>
      <c r="C19" s="80">
        <v>11000</v>
      </c>
      <c r="D19" s="142">
        <v>1304.3399999999999</v>
      </c>
      <c r="E19" s="59">
        <v>0</v>
      </c>
      <c r="F19" s="59"/>
      <c r="G19" s="139">
        <f t="shared" ref="G19:G22" si="6">+E19+F19</f>
        <v>0</v>
      </c>
      <c r="H19" s="55">
        <f>4557-4557</f>
        <v>0</v>
      </c>
      <c r="I19" s="56">
        <f t="shared" ref="I19:I22" si="7">+G19-H19</f>
        <v>0</v>
      </c>
      <c r="J19" s="56">
        <f t="shared" ref="J19:J22" si="8">I19*C19</f>
        <v>0</v>
      </c>
      <c r="K19" s="57">
        <f t="shared" ref="K19:K22" si="9">+D19*I19</f>
        <v>0</v>
      </c>
      <c r="L19"/>
      <c r="M19" s="314">
        <f t="shared" si="0"/>
        <v>0</v>
      </c>
      <c r="N19" s="310"/>
      <c r="O19" s="315"/>
      <c r="P19" s="315"/>
      <c r="Q19" s="315"/>
      <c r="R19" s="31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row>
    <row r="20" spans="1:113" x14ac:dyDescent="0.25">
      <c r="A20" s="120">
        <v>2</v>
      </c>
      <c r="B20" s="79" t="s">
        <v>152</v>
      </c>
      <c r="C20" s="80">
        <v>10000</v>
      </c>
      <c r="D20" s="142">
        <v>1445</v>
      </c>
      <c r="E20" s="59">
        <v>0</v>
      </c>
      <c r="F20" s="59"/>
      <c r="G20" s="139">
        <f t="shared" si="6"/>
        <v>0</v>
      </c>
      <c r="H20" s="55">
        <f>5658-5658</f>
        <v>0</v>
      </c>
      <c r="I20" s="56">
        <f t="shared" si="7"/>
        <v>0</v>
      </c>
      <c r="J20" s="56">
        <f t="shared" si="8"/>
        <v>0</v>
      </c>
      <c r="K20" s="57">
        <f t="shared" si="9"/>
        <v>0</v>
      </c>
      <c r="L20"/>
      <c r="M20" s="314">
        <f t="shared" si="0"/>
        <v>0</v>
      </c>
      <c r="N20" s="310"/>
      <c r="O20" s="315"/>
      <c r="P20" s="315"/>
      <c r="Q20" s="315"/>
      <c r="R20" s="31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row>
    <row r="21" spans="1:113" x14ac:dyDescent="0.25">
      <c r="A21" s="120">
        <v>3</v>
      </c>
      <c r="B21" s="79" t="s">
        <v>153</v>
      </c>
      <c r="C21" s="80">
        <v>12000</v>
      </c>
      <c r="D21" s="142">
        <v>1522.4</v>
      </c>
      <c r="E21" s="59">
        <v>0</v>
      </c>
      <c r="F21" s="59"/>
      <c r="G21" s="139">
        <f t="shared" si="6"/>
        <v>0</v>
      </c>
      <c r="H21" s="55">
        <f>1806-1806</f>
        <v>0</v>
      </c>
      <c r="I21" s="56">
        <f t="shared" si="7"/>
        <v>0</v>
      </c>
      <c r="J21" s="56">
        <f t="shared" si="8"/>
        <v>0</v>
      </c>
      <c r="K21" s="57">
        <f t="shared" si="9"/>
        <v>0</v>
      </c>
      <c r="L21"/>
      <c r="M21" s="314">
        <f t="shared" si="0"/>
        <v>0</v>
      </c>
      <c r="N21" s="310"/>
      <c r="O21" s="315"/>
      <c r="P21" s="315"/>
      <c r="Q21" s="315"/>
      <c r="R21" s="31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row>
    <row r="22" spans="1:113" ht="15.75" thickBot="1" x14ac:dyDescent="0.3">
      <c r="A22" s="143">
        <v>4</v>
      </c>
      <c r="B22" s="144" t="s">
        <v>154</v>
      </c>
      <c r="C22" s="82">
        <v>18000</v>
      </c>
      <c r="D22" s="145">
        <v>1344.96</v>
      </c>
      <c r="E22" s="146">
        <v>0</v>
      </c>
      <c r="F22" s="146"/>
      <c r="G22" s="147">
        <f t="shared" si="6"/>
        <v>0</v>
      </c>
      <c r="H22" s="197">
        <f>7297-7297</f>
        <v>0</v>
      </c>
      <c r="I22" s="64">
        <f t="shared" si="7"/>
        <v>0</v>
      </c>
      <c r="J22" s="64">
        <f t="shared" si="8"/>
        <v>0</v>
      </c>
      <c r="K22" s="65">
        <f t="shared" si="9"/>
        <v>0</v>
      </c>
      <c r="L22"/>
      <c r="M22" s="314">
        <f t="shared" si="0"/>
        <v>0</v>
      </c>
      <c r="N22" s="310"/>
      <c r="O22" s="315"/>
      <c r="P22" s="315"/>
      <c r="Q22" s="315"/>
      <c r="R22" s="31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row>
    <row r="23" spans="1:113" ht="15.75" thickBot="1" x14ac:dyDescent="0.3">
      <c r="A23" s="134"/>
      <c r="B23" s="119" t="s">
        <v>692</v>
      </c>
      <c r="C23" s="84"/>
      <c r="D23" s="29"/>
      <c r="E23" s="29">
        <f>SUM(E19:E22)</f>
        <v>0</v>
      </c>
      <c r="F23" s="36"/>
      <c r="G23" s="29">
        <f>SUM(G19:G22)</f>
        <v>0</v>
      </c>
      <c r="H23" s="29">
        <f>SUM(H19:H22)</f>
        <v>0</v>
      </c>
      <c r="I23" s="30">
        <f>SUM(I19:I22)</f>
        <v>0</v>
      </c>
      <c r="J23" s="30">
        <f t="shared" ref="J23:K23" si="10">SUM(J19:J22)</f>
        <v>0</v>
      </c>
      <c r="K23" s="33">
        <f t="shared" si="10"/>
        <v>0</v>
      </c>
      <c r="L23"/>
      <c r="M23" s="322">
        <f t="shared" si="0"/>
        <v>0</v>
      </c>
      <c r="N23" s="325"/>
      <c r="O23" s="325"/>
      <c r="P23" s="325"/>
      <c r="Q23" s="325"/>
      <c r="R23" s="325"/>
      <c r="S23" s="324"/>
      <c r="T23" s="324"/>
      <c r="U23" s="324"/>
      <c r="V23" s="324"/>
      <c r="W23" s="324"/>
      <c r="X23" s="324"/>
      <c r="Y23" s="324"/>
      <c r="Z23" s="324"/>
      <c r="AA23" s="324"/>
      <c r="AB23" s="324"/>
      <c r="AC23" s="324"/>
      <c r="AD23" s="324"/>
      <c r="AE23" s="324"/>
      <c r="AF23" s="324"/>
      <c r="AG23" s="324"/>
      <c r="AH23" s="324"/>
      <c r="AI23" s="324"/>
      <c r="AJ23" s="324"/>
      <c r="AK23" s="324"/>
      <c r="AL23" s="324"/>
      <c r="AM23" s="324"/>
      <c r="AN23" s="324"/>
      <c r="AO23" s="324"/>
      <c r="AP23" s="324"/>
      <c r="AQ23" s="324"/>
      <c r="AR23" s="324"/>
      <c r="AS23" s="324"/>
      <c r="AT23" s="324"/>
      <c r="AU23" s="324"/>
      <c r="AV23" s="324"/>
      <c r="AW23" s="324"/>
      <c r="AX23" s="324"/>
      <c r="AY23" s="324"/>
      <c r="AZ23" s="324"/>
      <c r="BA23" s="324"/>
      <c r="BB23" s="324"/>
      <c r="BC23" s="324"/>
      <c r="BD23" s="324"/>
      <c r="BE23" s="324"/>
      <c r="BF23" s="324"/>
      <c r="BG23" s="324"/>
      <c r="BH23" s="324"/>
      <c r="BI23" s="324"/>
      <c r="BJ23" s="324"/>
      <c r="BK23" s="324"/>
      <c r="BL23" s="324"/>
      <c r="BM23" s="324"/>
      <c r="BN23" s="324"/>
      <c r="BO23" s="324"/>
      <c r="BP23" s="324"/>
      <c r="BQ23" s="324"/>
      <c r="BR23" s="324"/>
      <c r="BS23" s="324"/>
      <c r="BT23" s="324"/>
      <c r="BU23" s="324"/>
      <c r="BV23" s="324"/>
      <c r="BW23" s="324"/>
      <c r="BX23" s="324"/>
      <c r="BY23" s="324"/>
      <c r="BZ23" s="324"/>
      <c r="CA23" s="324"/>
      <c r="CB23" s="324"/>
      <c r="CC23" s="324"/>
      <c r="CD23" s="324"/>
      <c r="CE23" s="324"/>
      <c r="CF23" s="324"/>
      <c r="CG23" s="324"/>
      <c r="CH23" s="324"/>
      <c r="CI23" s="324"/>
      <c r="CJ23" s="324"/>
      <c r="CK23" s="324"/>
      <c r="CL23" s="324"/>
      <c r="CM23" s="324"/>
      <c r="CN23" s="324"/>
      <c r="CO23" s="324"/>
      <c r="CP23" s="324"/>
      <c r="CQ23" s="324"/>
      <c r="CR23" s="324"/>
      <c r="CS23" s="324"/>
      <c r="CT23" s="324"/>
      <c r="CU23" s="324"/>
      <c r="CV23" s="324"/>
      <c r="CW23" s="324"/>
      <c r="CX23" s="324"/>
      <c r="CY23" s="324"/>
      <c r="CZ23" s="324"/>
      <c r="DA23" s="324"/>
      <c r="DB23" s="324"/>
      <c r="DC23" s="324"/>
      <c r="DD23" s="324"/>
      <c r="DE23" s="324"/>
      <c r="DF23" s="324"/>
      <c r="DG23" s="324"/>
      <c r="DH23" s="324"/>
      <c r="DI23" s="324"/>
    </row>
    <row r="24" spans="1:113" customFormat="1" ht="15.75" thickBot="1" x14ac:dyDescent="0.3"/>
    <row r="25" spans="1:113" ht="15.75" thickBot="1" x14ac:dyDescent="0.3">
      <c r="A25" s="407" t="s">
        <v>657</v>
      </c>
      <c r="B25" s="414" t="s">
        <v>0</v>
      </c>
      <c r="C25" s="414" t="s">
        <v>1</v>
      </c>
      <c r="D25" s="415" t="s">
        <v>649</v>
      </c>
      <c r="E25" s="416" t="s">
        <v>19</v>
      </c>
      <c r="F25" s="416"/>
      <c r="G25" s="416"/>
      <c r="H25" s="416"/>
      <c r="I25" s="416"/>
      <c r="J25" s="410" t="s">
        <v>21</v>
      </c>
      <c r="K25" s="417" t="s">
        <v>602</v>
      </c>
      <c r="L25"/>
      <c r="M25" s="403" t="s">
        <v>601</v>
      </c>
      <c r="N25" s="403" t="s">
        <v>924</v>
      </c>
      <c r="O25" s="403"/>
      <c r="P25" s="403"/>
      <c r="Q25" s="403"/>
      <c r="R25" s="403"/>
      <c r="S25" s="403"/>
      <c r="T25" s="403"/>
      <c r="U25" s="403"/>
      <c r="V25" s="403"/>
      <c r="W25" s="403"/>
      <c r="X25" s="403"/>
      <c r="Y25" s="403"/>
      <c r="Z25" s="403"/>
      <c r="AA25" s="403"/>
      <c r="AB25" s="403"/>
      <c r="AC25" s="403"/>
      <c r="AD25" s="403"/>
      <c r="AE25" s="403"/>
      <c r="AF25" s="403"/>
      <c r="AG25" s="403"/>
      <c r="AH25" s="403"/>
      <c r="AI25" s="403"/>
      <c r="AJ25" s="403"/>
      <c r="AK25" s="403"/>
      <c r="AL25" s="403"/>
      <c r="AM25" s="403"/>
      <c r="AN25" s="403"/>
      <c r="AO25" s="403"/>
      <c r="AP25" s="403"/>
      <c r="AQ25" s="403"/>
      <c r="AR25" s="403"/>
      <c r="AS25" s="403"/>
      <c r="AT25" s="403"/>
      <c r="AU25" s="403"/>
      <c r="AV25" s="403"/>
      <c r="AW25" s="403"/>
      <c r="AX25" s="403"/>
      <c r="AY25" s="403"/>
      <c r="AZ25" s="403"/>
      <c r="BA25" s="403"/>
      <c r="BB25" s="403"/>
      <c r="BC25" s="403"/>
      <c r="BD25" s="403"/>
      <c r="BE25" s="403"/>
      <c r="BF25" s="403"/>
      <c r="BG25" s="403"/>
      <c r="BH25" s="403"/>
      <c r="BI25" s="403"/>
      <c r="BJ25" s="403"/>
      <c r="BK25" s="403"/>
      <c r="BL25" s="403"/>
      <c r="BM25" s="403"/>
      <c r="BN25" s="403"/>
      <c r="BO25" s="403"/>
      <c r="BP25" s="403"/>
      <c r="BQ25" s="403"/>
      <c r="BR25" s="403"/>
      <c r="BS25" s="403"/>
      <c r="BT25" s="403"/>
      <c r="BU25" s="403"/>
      <c r="BV25" s="403"/>
      <c r="BW25" s="403"/>
      <c r="BX25" s="403"/>
      <c r="BY25" s="403"/>
      <c r="BZ25" s="403"/>
      <c r="CA25" s="403"/>
      <c r="CB25" s="403"/>
      <c r="CC25" s="403"/>
      <c r="CD25" s="403"/>
      <c r="CE25" s="403"/>
      <c r="CF25" s="403"/>
      <c r="CG25" s="403"/>
      <c r="CH25" s="403"/>
      <c r="CI25" s="403"/>
      <c r="CJ25" s="403"/>
      <c r="CK25" s="403"/>
      <c r="CL25" s="403"/>
      <c r="CM25" s="403"/>
      <c r="CN25" s="403"/>
      <c r="CO25" s="403"/>
      <c r="CP25" s="403"/>
      <c r="CQ25" s="403"/>
      <c r="CR25" s="403"/>
      <c r="CS25" s="403"/>
      <c r="CT25" s="403"/>
      <c r="CU25" s="403"/>
      <c r="CV25" s="403"/>
      <c r="CW25" s="403"/>
      <c r="CX25" s="403"/>
      <c r="CY25" s="403"/>
      <c r="CZ25" s="403"/>
      <c r="DA25" s="403"/>
      <c r="DB25" s="403"/>
      <c r="DC25" s="403"/>
      <c r="DD25" s="403"/>
      <c r="DE25" s="403"/>
      <c r="DF25" s="403"/>
      <c r="DG25" s="403"/>
      <c r="DH25" s="403"/>
      <c r="DI25" s="403"/>
    </row>
    <row r="26" spans="1:113" ht="15.75" thickBot="1" x14ac:dyDescent="0.3">
      <c r="A26" s="408"/>
      <c r="B26" s="414"/>
      <c r="C26" s="414"/>
      <c r="D26" s="415"/>
      <c r="E26" s="68" t="s">
        <v>22</v>
      </c>
      <c r="F26" s="68" t="s">
        <v>600</v>
      </c>
      <c r="G26" s="68" t="s">
        <v>601</v>
      </c>
      <c r="H26" s="68" t="s">
        <v>589</v>
      </c>
      <c r="I26" s="68" t="s">
        <v>601</v>
      </c>
      <c r="J26" s="411"/>
      <c r="K26" s="418"/>
      <c r="L26"/>
      <c r="M26" s="403"/>
      <c r="N26" s="400" t="s">
        <v>925</v>
      </c>
      <c r="O26" s="400" t="s">
        <v>926</v>
      </c>
      <c r="P26" s="400"/>
      <c r="Q26" s="400"/>
      <c r="R26" s="400"/>
      <c r="S26" s="398"/>
      <c r="T26" s="398"/>
      <c r="U26" s="398"/>
      <c r="V26" s="398"/>
      <c r="W26" s="398"/>
      <c r="X26" s="398"/>
      <c r="Y26" s="398"/>
      <c r="Z26" s="398"/>
      <c r="AA26" s="398"/>
      <c r="AB26" s="398"/>
      <c r="AC26" s="398"/>
      <c r="AD26" s="398"/>
      <c r="AE26" s="398"/>
      <c r="AF26" s="398"/>
      <c r="AG26" s="398"/>
      <c r="AH26" s="398"/>
      <c r="AI26" s="398"/>
      <c r="AJ26" s="398"/>
      <c r="AK26" s="398"/>
      <c r="AL26" s="398"/>
      <c r="AM26" s="398"/>
      <c r="AN26" s="398"/>
      <c r="AO26" s="398"/>
      <c r="AP26" s="398"/>
      <c r="AQ26" s="398"/>
      <c r="AR26" s="398"/>
      <c r="AS26" s="398"/>
      <c r="AT26" s="398"/>
      <c r="AU26" s="398"/>
      <c r="AV26" s="398"/>
      <c r="AW26" s="398"/>
      <c r="AX26" s="398"/>
      <c r="AY26" s="398"/>
      <c r="AZ26" s="398"/>
      <c r="BA26" s="398"/>
      <c r="BB26" s="398"/>
      <c r="BC26" s="398"/>
      <c r="BD26" s="398"/>
      <c r="BE26" s="398"/>
      <c r="BF26" s="398"/>
      <c r="BG26" s="398"/>
      <c r="BH26" s="398"/>
      <c r="BI26" s="398"/>
      <c r="BJ26" s="398"/>
      <c r="BK26" s="398"/>
      <c r="BL26" s="398"/>
      <c r="BM26" s="398"/>
      <c r="BN26" s="398"/>
      <c r="BO26" s="398"/>
      <c r="BP26" s="398"/>
      <c r="BQ26" s="398"/>
      <c r="BR26" s="398"/>
      <c r="BS26" s="398"/>
      <c r="BT26" s="398"/>
      <c r="BU26" s="398"/>
      <c r="BV26" s="398"/>
      <c r="BW26" s="398"/>
      <c r="BX26" s="398"/>
      <c r="BY26" s="398"/>
      <c r="BZ26" s="398"/>
      <c r="CA26" s="398"/>
      <c r="CB26" s="398"/>
      <c r="CC26" s="398"/>
      <c r="CD26" s="398"/>
      <c r="CE26" s="398"/>
      <c r="CF26" s="398"/>
      <c r="CG26" s="398"/>
      <c r="CH26" s="398"/>
      <c r="CI26" s="398"/>
      <c r="CJ26" s="398"/>
      <c r="CK26" s="398"/>
      <c r="CL26" s="398"/>
      <c r="CM26" s="398"/>
      <c r="CN26" s="398"/>
      <c r="CO26" s="398"/>
      <c r="CP26" s="398"/>
      <c r="CQ26" s="398"/>
      <c r="CR26" s="398"/>
      <c r="CS26" s="398"/>
      <c r="CT26" s="398"/>
      <c r="CU26" s="398"/>
      <c r="CV26" s="398"/>
      <c r="CW26" s="398"/>
      <c r="CX26" s="398"/>
      <c r="CY26" s="398"/>
      <c r="CZ26" s="398"/>
      <c r="DA26" s="398"/>
      <c r="DB26" s="398"/>
      <c r="DC26" s="398"/>
      <c r="DD26" s="398"/>
      <c r="DE26" s="398"/>
      <c r="DF26" s="398"/>
      <c r="DG26" s="398"/>
      <c r="DH26" s="398"/>
      <c r="DI26" s="398"/>
    </row>
    <row r="27" spans="1:113" ht="15.75" thickBot="1" x14ac:dyDescent="0.3">
      <c r="A27" s="409"/>
      <c r="B27" s="124">
        <v>1</v>
      </c>
      <c r="C27" s="124">
        <v>2</v>
      </c>
      <c r="D27" s="124">
        <v>3</v>
      </c>
      <c r="E27" s="70">
        <v>4</v>
      </c>
      <c r="F27" s="70">
        <f>+E27+1</f>
        <v>5</v>
      </c>
      <c r="G27" s="70" t="s">
        <v>652</v>
      </c>
      <c r="H27" s="70">
        <v>7</v>
      </c>
      <c r="I27" s="71" t="s">
        <v>651</v>
      </c>
      <c r="J27" s="42" t="s">
        <v>650</v>
      </c>
      <c r="K27" s="42" t="s">
        <v>653</v>
      </c>
      <c r="L27"/>
      <c r="M27" s="403"/>
      <c r="N27" s="402"/>
      <c r="O27" s="402"/>
      <c r="P27" s="402"/>
      <c r="Q27" s="402"/>
      <c r="R27" s="402"/>
      <c r="S27" s="399"/>
      <c r="T27" s="399"/>
      <c r="U27" s="399"/>
      <c r="V27" s="399"/>
      <c r="W27" s="399"/>
      <c r="X27" s="399"/>
      <c r="Y27" s="399"/>
      <c r="Z27" s="399"/>
      <c r="AA27" s="399"/>
      <c r="AB27" s="399"/>
      <c r="AC27" s="399"/>
      <c r="AD27" s="399"/>
      <c r="AE27" s="399"/>
      <c r="AF27" s="399"/>
      <c r="AG27" s="399"/>
      <c r="AH27" s="399"/>
      <c r="AI27" s="399"/>
      <c r="AJ27" s="399"/>
      <c r="AK27" s="399"/>
      <c r="AL27" s="399"/>
      <c r="AM27" s="399"/>
      <c r="AN27" s="399"/>
      <c r="AO27" s="399"/>
      <c r="AP27" s="399"/>
      <c r="AQ27" s="399"/>
      <c r="AR27" s="399"/>
      <c r="AS27" s="399"/>
      <c r="AT27" s="399"/>
      <c r="AU27" s="399"/>
      <c r="AV27" s="399"/>
      <c r="AW27" s="399"/>
      <c r="AX27" s="399"/>
      <c r="AY27" s="399"/>
      <c r="AZ27" s="399"/>
      <c r="BA27" s="399"/>
      <c r="BB27" s="399"/>
      <c r="BC27" s="399"/>
      <c r="BD27" s="399"/>
      <c r="BE27" s="399"/>
      <c r="BF27" s="399"/>
      <c r="BG27" s="399"/>
      <c r="BH27" s="399"/>
      <c r="BI27" s="399"/>
      <c r="BJ27" s="399"/>
      <c r="BK27" s="399"/>
      <c r="BL27" s="399"/>
      <c r="BM27" s="399"/>
      <c r="BN27" s="399"/>
      <c r="BO27" s="399"/>
      <c r="BP27" s="399"/>
      <c r="BQ27" s="399"/>
      <c r="BR27" s="399"/>
      <c r="BS27" s="399"/>
      <c r="BT27" s="399"/>
      <c r="BU27" s="399"/>
      <c r="BV27" s="399"/>
      <c r="BW27" s="399"/>
      <c r="BX27" s="399"/>
      <c r="BY27" s="399"/>
      <c r="BZ27" s="399"/>
      <c r="CA27" s="399"/>
      <c r="CB27" s="399"/>
      <c r="CC27" s="399"/>
      <c r="CD27" s="399"/>
      <c r="CE27" s="399"/>
      <c r="CF27" s="399"/>
      <c r="CG27" s="399"/>
      <c r="CH27" s="399"/>
      <c r="CI27" s="399"/>
      <c r="CJ27" s="399"/>
      <c r="CK27" s="399"/>
      <c r="CL27" s="399"/>
      <c r="CM27" s="399"/>
      <c r="CN27" s="399"/>
      <c r="CO27" s="399"/>
      <c r="CP27" s="399"/>
      <c r="CQ27" s="399"/>
      <c r="CR27" s="399"/>
      <c r="CS27" s="399"/>
      <c r="CT27" s="399"/>
      <c r="CU27" s="399"/>
      <c r="CV27" s="399"/>
      <c r="CW27" s="399"/>
      <c r="CX27" s="399"/>
      <c r="CY27" s="399"/>
      <c r="CZ27" s="399"/>
      <c r="DA27" s="399"/>
      <c r="DB27" s="399"/>
      <c r="DC27" s="399"/>
      <c r="DD27" s="399"/>
      <c r="DE27" s="399"/>
      <c r="DF27" s="399"/>
      <c r="DG27" s="399"/>
      <c r="DH27" s="399"/>
      <c r="DI27" s="399"/>
    </row>
    <row r="28" spans="1:113" x14ac:dyDescent="0.25">
      <c r="A28" s="150"/>
      <c r="B28" s="72" t="s">
        <v>694</v>
      </c>
      <c r="C28" s="91"/>
      <c r="D28" s="151"/>
      <c r="E28" s="54"/>
      <c r="F28" s="54"/>
      <c r="G28" s="54"/>
      <c r="H28" s="54"/>
      <c r="I28" s="54"/>
      <c r="J28" s="54"/>
      <c r="K28" s="54"/>
      <c r="L28"/>
      <c r="M28" s="314">
        <f t="shared" si="0"/>
        <v>0</v>
      </c>
      <c r="N28" s="310"/>
      <c r="O28" s="315"/>
      <c r="P28" s="315"/>
      <c r="Q28" s="315"/>
      <c r="R28" s="31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5"/>
      <c r="DF28" s="55"/>
      <c r="DG28" s="55"/>
      <c r="DH28" s="55"/>
      <c r="DI28" s="55"/>
    </row>
    <row r="29" spans="1:113" x14ac:dyDescent="0.25">
      <c r="A29" s="152">
        <v>1</v>
      </c>
      <c r="B29" s="79" t="s">
        <v>731</v>
      </c>
      <c r="C29" s="80">
        <v>6000</v>
      </c>
      <c r="D29" s="142">
        <v>748.19</v>
      </c>
      <c r="E29" s="43">
        <v>0</v>
      </c>
      <c r="F29" s="43"/>
      <c r="G29" s="139">
        <f t="shared" ref="G29:G32" si="11">+E29+F29</f>
        <v>0</v>
      </c>
      <c r="H29" s="166">
        <f>1159-1159</f>
        <v>0</v>
      </c>
      <c r="I29" s="56">
        <f t="shared" ref="I29:I32" si="12">+G29-H29</f>
        <v>0</v>
      </c>
      <c r="J29" s="56">
        <f t="shared" ref="J29:J32" si="13">I29*C29</f>
        <v>0</v>
      </c>
      <c r="K29" s="57">
        <f t="shared" ref="K29:K32" si="14">+D29*I29</f>
        <v>0</v>
      </c>
      <c r="L29"/>
      <c r="M29" s="314">
        <f t="shared" si="0"/>
        <v>0</v>
      </c>
      <c r="N29" s="310"/>
      <c r="O29" s="315"/>
      <c r="P29" s="315"/>
      <c r="Q29" s="315"/>
      <c r="R29" s="31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5"/>
      <c r="DF29" s="55"/>
      <c r="DG29" s="55"/>
      <c r="DH29" s="55"/>
      <c r="DI29" s="55"/>
    </row>
    <row r="30" spans="1:113" x14ac:dyDescent="0.25">
      <c r="A30" s="152">
        <v>2</v>
      </c>
      <c r="B30" s="79" t="s">
        <v>693</v>
      </c>
      <c r="C30" s="80">
        <v>5000</v>
      </c>
      <c r="D30" s="142">
        <v>514.99</v>
      </c>
      <c r="E30" s="43">
        <v>0</v>
      </c>
      <c r="F30" s="43"/>
      <c r="G30" s="139">
        <f t="shared" si="11"/>
        <v>0</v>
      </c>
      <c r="H30" s="55"/>
      <c r="I30" s="56">
        <f t="shared" si="12"/>
        <v>0</v>
      </c>
      <c r="J30" s="56">
        <f t="shared" si="13"/>
        <v>0</v>
      </c>
      <c r="K30" s="57">
        <f t="shared" si="14"/>
        <v>0</v>
      </c>
      <c r="L30"/>
      <c r="M30" s="314">
        <f t="shared" si="0"/>
        <v>0</v>
      </c>
      <c r="N30" s="310"/>
      <c r="O30" s="315"/>
      <c r="P30" s="315"/>
      <c r="Q30" s="315"/>
      <c r="R30" s="31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row>
    <row r="31" spans="1:113" x14ac:dyDescent="0.25">
      <c r="A31" s="152">
        <v>3</v>
      </c>
      <c r="B31" s="79" t="s">
        <v>155</v>
      </c>
      <c r="C31" s="80">
        <v>5000</v>
      </c>
      <c r="D31" s="142">
        <v>514.99</v>
      </c>
      <c r="E31" s="43">
        <v>0</v>
      </c>
      <c r="F31" s="43"/>
      <c r="G31" s="139">
        <f t="shared" si="11"/>
        <v>0</v>
      </c>
      <c r="H31" s="55">
        <f>158-158</f>
        <v>0</v>
      </c>
      <c r="I31" s="56">
        <f t="shared" si="12"/>
        <v>0</v>
      </c>
      <c r="J31" s="56">
        <f t="shared" si="13"/>
        <v>0</v>
      </c>
      <c r="K31" s="57">
        <f t="shared" si="14"/>
        <v>0</v>
      </c>
      <c r="L31"/>
      <c r="M31" s="314">
        <f t="shared" si="0"/>
        <v>0</v>
      </c>
      <c r="N31" s="310"/>
      <c r="O31" s="315"/>
      <c r="P31" s="315"/>
      <c r="Q31" s="315"/>
      <c r="R31" s="31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row>
    <row r="32" spans="1:113" ht="15.75" thickBot="1" x14ac:dyDescent="0.3">
      <c r="A32" s="153">
        <v>4</v>
      </c>
      <c r="B32" s="144" t="s">
        <v>149</v>
      </c>
      <c r="C32" s="82">
        <v>6000</v>
      </c>
      <c r="D32" s="145">
        <v>748.19</v>
      </c>
      <c r="E32" s="154">
        <v>0</v>
      </c>
      <c r="F32" s="154"/>
      <c r="G32" s="139">
        <f t="shared" si="11"/>
        <v>0</v>
      </c>
      <c r="H32" s="55">
        <f>400-400</f>
        <v>0</v>
      </c>
      <c r="I32" s="56">
        <f t="shared" si="12"/>
        <v>0</v>
      </c>
      <c r="J32" s="56">
        <f t="shared" si="13"/>
        <v>0</v>
      </c>
      <c r="K32" s="57">
        <f t="shared" si="14"/>
        <v>0</v>
      </c>
      <c r="L32"/>
      <c r="M32" s="314">
        <f t="shared" si="0"/>
        <v>0</v>
      </c>
      <c r="N32" s="310"/>
      <c r="O32" s="315"/>
      <c r="P32" s="315"/>
      <c r="Q32" s="315"/>
      <c r="R32" s="31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row>
    <row r="33" spans="1:113" ht="15.75" thickBot="1" x14ac:dyDescent="0.3">
      <c r="A33" s="128"/>
      <c r="B33" s="119" t="s">
        <v>695</v>
      </c>
      <c r="C33" s="84"/>
      <c r="D33" s="36"/>
      <c r="E33" s="29">
        <f>SUM(E29:E32)</f>
        <v>0</v>
      </c>
      <c r="F33" s="29"/>
      <c r="G33" s="29">
        <f>SUM(G29:G32)</f>
        <v>0</v>
      </c>
      <c r="H33" s="29">
        <f>SUM(H29:H32)</f>
        <v>0</v>
      </c>
      <c r="I33" s="29">
        <f>SUM(I29:I32)</f>
        <v>0</v>
      </c>
      <c r="J33" s="29">
        <f t="shared" ref="J33:K33" si="15">SUM(J29:J32)</f>
        <v>0</v>
      </c>
      <c r="K33" s="149">
        <f t="shared" si="15"/>
        <v>0</v>
      </c>
      <c r="L33"/>
      <c r="M33" s="322">
        <f t="shared" si="0"/>
        <v>0</v>
      </c>
      <c r="N33" s="325"/>
      <c r="O33" s="325"/>
      <c r="P33" s="325"/>
      <c r="Q33" s="325"/>
      <c r="R33" s="325"/>
      <c r="S33" s="324"/>
      <c r="T33" s="324"/>
      <c r="U33" s="324"/>
      <c r="V33" s="324"/>
      <c r="W33" s="324"/>
      <c r="X33" s="324"/>
      <c r="Y33" s="324"/>
      <c r="Z33" s="324"/>
      <c r="AA33" s="324"/>
      <c r="AB33" s="324"/>
      <c r="AC33" s="324"/>
      <c r="AD33" s="324"/>
      <c r="AE33" s="324"/>
      <c r="AF33" s="324"/>
      <c r="AG33" s="324"/>
      <c r="AH33" s="324"/>
      <c r="AI33" s="324"/>
      <c r="AJ33" s="324"/>
      <c r="AK33" s="324"/>
      <c r="AL33" s="324"/>
      <c r="AM33" s="324"/>
      <c r="AN33" s="324"/>
      <c r="AO33" s="324"/>
      <c r="AP33" s="324"/>
      <c r="AQ33" s="324"/>
      <c r="AR33" s="324"/>
      <c r="AS33" s="324"/>
      <c r="AT33" s="324"/>
      <c r="AU33" s="324"/>
      <c r="AV33" s="324"/>
      <c r="AW33" s="324"/>
      <c r="AX33" s="324"/>
      <c r="AY33" s="324"/>
      <c r="AZ33" s="324"/>
      <c r="BA33" s="324"/>
      <c r="BB33" s="324"/>
      <c r="BC33" s="324"/>
      <c r="BD33" s="324"/>
      <c r="BE33" s="324"/>
      <c r="BF33" s="324"/>
      <c r="BG33" s="324"/>
      <c r="BH33" s="324"/>
      <c r="BI33" s="324"/>
      <c r="BJ33" s="324"/>
      <c r="BK33" s="324"/>
      <c r="BL33" s="324"/>
      <c r="BM33" s="324"/>
      <c r="BN33" s="324"/>
      <c r="BO33" s="324"/>
      <c r="BP33" s="324"/>
      <c r="BQ33" s="324"/>
      <c r="BR33" s="324"/>
      <c r="BS33" s="324"/>
      <c r="BT33" s="324"/>
      <c r="BU33" s="324"/>
      <c r="BV33" s="324"/>
      <c r="BW33" s="324"/>
      <c r="BX33" s="324"/>
      <c r="BY33" s="324"/>
      <c r="BZ33" s="324"/>
      <c r="CA33" s="324"/>
      <c r="CB33" s="324"/>
      <c r="CC33" s="324"/>
      <c r="CD33" s="324"/>
      <c r="CE33" s="324"/>
      <c r="CF33" s="324"/>
      <c r="CG33" s="324"/>
      <c r="CH33" s="324"/>
      <c r="CI33" s="324"/>
      <c r="CJ33" s="324"/>
      <c r="CK33" s="324"/>
      <c r="CL33" s="324"/>
      <c r="CM33" s="324"/>
      <c r="CN33" s="324"/>
      <c r="CO33" s="324"/>
      <c r="CP33" s="324"/>
      <c r="CQ33" s="324"/>
      <c r="CR33" s="324"/>
      <c r="CS33" s="324"/>
      <c r="CT33" s="324"/>
      <c r="CU33" s="324"/>
      <c r="CV33" s="324"/>
      <c r="CW33" s="324"/>
      <c r="CX33" s="324"/>
      <c r="CY33" s="324"/>
      <c r="CZ33" s="324"/>
      <c r="DA33" s="324"/>
      <c r="DB33" s="324"/>
      <c r="DC33" s="324"/>
      <c r="DD33" s="324"/>
      <c r="DE33" s="324"/>
      <c r="DF33" s="324"/>
      <c r="DG33" s="324"/>
      <c r="DH33" s="324"/>
      <c r="DI33" s="324"/>
    </row>
    <row r="34" spans="1:113" customFormat="1" ht="15.75" thickBot="1" x14ac:dyDescent="0.3"/>
    <row r="35" spans="1:113" ht="15.75" thickBot="1" x14ac:dyDescent="0.3">
      <c r="A35" s="407" t="s">
        <v>657</v>
      </c>
      <c r="B35" s="414" t="s">
        <v>0</v>
      </c>
      <c r="C35" s="414" t="s">
        <v>1</v>
      </c>
      <c r="D35" s="415" t="s">
        <v>649</v>
      </c>
      <c r="E35" s="416" t="s">
        <v>19</v>
      </c>
      <c r="F35" s="416"/>
      <c r="G35" s="416"/>
      <c r="H35" s="416"/>
      <c r="I35" s="416"/>
      <c r="J35" s="410" t="s">
        <v>21</v>
      </c>
      <c r="K35" s="417" t="s">
        <v>602</v>
      </c>
      <c r="L35"/>
      <c r="M35" s="403" t="s">
        <v>601</v>
      </c>
      <c r="N35" s="403" t="s">
        <v>924</v>
      </c>
      <c r="O35" s="403"/>
      <c r="P35" s="403"/>
      <c r="Q35" s="403"/>
      <c r="R35" s="403"/>
      <c r="S35" s="403"/>
      <c r="T35" s="403"/>
      <c r="U35" s="403"/>
      <c r="V35" s="403"/>
      <c r="W35" s="403"/>
      <c r="X35" s="403"/>
      <c r="Y35" s="403"/>
      <c r="Z35" s="403"/>
      <c r="AA35" s="403"/>
      <c r="AB35" s="403"/>
      <c r="AC35" s="403"/>
      <c r="AD35" s="403"/>
      <c r="AE35" s="403"/>
      <c r="AF35" s="403"/>
      <c r="AG35" s="403"/>
      <c r="AH35" s="403"/>
      <c r="AI35" s="403"/>
      <c r="AJ35" s="403"/>
      <c r="AK35" s="403"/>
      <c r="AL35" s="403"/>
      <c r="AM35" s="403"/>
      <c r="AN35" s="403"/>
      <c r="AO35" s="403"/>
      <c r="AP35" s="403"/>
      <c r="AQ35" s="403"/>
      <c r="AR35" s="403"/>
      <c r="AS35" s="403"/>
      <c r="AT35" s="403"/>
      <c r="AU35" s="403"/>
      <c r="AV35" s="403"/>
      <c r="AW35" s="403"/>
      <c r="AX35" s="403"/>
      <c r="AY35" s="403"/>
      <c r="AZ35" s="403"/>
      <c r="BA35" s="403"/>
      <c r="BB35" s="403"/>
      <c r="BC35" s="403"/>
      <c r="BD35" s="403"/>
      <c r="BE35" s="403"/>
      <c r="BF35" s="403"/>
      <c r="BG35" s="403"/>
      <c r="BH35" s="403"/>
      <c r="BI35" s="403"/>
      <c r="BJ35" s="403"/>
      <c r="BK35" s="403"/>
      <c r="BL35" s="403"/>
      <c r="BM35" s="403"/>
      <c r="BN35" s="403"/>
      <c r="BO35" s="403"/>
      <c r="BP35" s="403"/>
      <c r="BQ35" s="403"/>
      <c r="BR35" s="403"/>
      <c r="BS35" s="403"/>
      <c r="BT35" s="403"/>
      <c r="BU35" s="403"/>
      <c r="BV35" s="403"/>
      <c r="BW35" s="403"/>
      <c r="BX35" s="403"/>
      <c r="BY35" s="403"/>
      <c r="BZ35" s="403"/>
      <c r="CA35" s="403"/>
      <c r="CB35" s="403"/>
      <c r="CC35" s="403"/>
      <c r="CD35" s="403"/>
      <c r="CE35" s="403"/>
      <c r="CF35" s="403"/>
      <c r="CG35" s="403"/>
      <c r="CH35" s="403"/>
      <c r="CI35" s="403"/>
      <c r="CJ35" s="403"/>
      <c r="CK35" s="403"/>
      <c r="CL35" s="403"/>
      <c r="CM35" s="403"/>
      <c r="CN35" s="403"/>
      <c r="CO35" s="403"/>
      <c r="CP35" s="403"/>
      <c r="CQ35" s="403"/>
      <c r="CR35" s="403"/>
      <c r="CS35" s="403"/>
      <c r="CT35" s="403"/>
      <c r="CU35" s="403"/>
      <c r="CV35" s="403"/>
      <c r="CW35" s="403"/>
      <c r="CX35" s="403"/>
      <c r="CY35" s="403"/>
      <c r="CZ35" s="403"/>
      <c r="DA35" s="403"/>
      <c r="DB35" s="403"/>
      <c r="DC35" s="403"/>
      <c r="DD35" s="403"/>
      <c r="DE35" s="403"/>
      <c r="DF35" s="403"/>
      <c r="DG35" s="403"/>
      <c r="DH35" s="403"/>
      <c r="DI35" s="403"/>
    </row>
    <row r="36" spans="1:113" ht="15.75" thickBot="1" x14ac:dyDescent="0.3">
      <c r="A36" s="408"/>
      <c r="B36" s="414"/>
      <c r="C36" s="414"/>
      <c r="D36" s="415"/>
      <c r="E36" s="68" t="s">
        <v>22</v>
      </c>
      <c r="F36" s="68" t="s">
        <v>600</v>
      </c>
      <c r="G36" s="68" t="s">
        <v>601</v>
      </c>
      <c r="H36" s="68" t="s">
        <v>589</v>
      </c>
      <c r="I36" s="68" t="s">
        <v>601</v>
      </c>
      <c r="J36" s="411"/>
      <c r="K36" s="418"/>
      <c r="L36"/>
      <c r="M36" s="403"/>
      <c r="N36" s="400" t="s">
        <v>925</v>
      </c>
      <c r="O36" s="400" t="s">
        <v>926</v>
      </c>
      <c r="P36" s="400"/>
      <c r="Q36" s="400"/>
      <c r="R36" s="400"/>
      <c r="S36" s="398"/>
      <c r="T36" s="398"/>
      <c r="U36" s="398"/>
      <c r="V36" s="398"/>
      <c r="W36" s="398"/>
      <c r="X36" s="398"/>
      <c r="Y36" s="398"/>
      <c r="Z36" s="398"/>
      <c r="AA36" s="398"/>
      <c r="AB36" s="398"/>
      <c r="AC36" s="398"/>
      <c r="AD36" s="398"/>
      <c r="AE36" s="398"/>
      <c r="AF36" s="398"/>
      <c r="AG36" s="398"/>
      <c r="AH36" s="398"/>
      <c r="AI36" s="398"/>
      <c r="AJ36" s="398"/>
      <c r="AK36" s="398"/>
      <c r="AL36" s="398"/>
      <c r="AM36" s="398"/>
      <c r="AN36" s="398"/>
      <c r="AO36" s="398"/>
      <c r="AP36" s="398"/>
      <c r="AQ36" s="398"/>
      <c r="AR36" s="398"/>
      <c r="AS36" s="398"/>
      <c r="AT36" s="398"/>
      <c r="AU36" s="398"/>
      <c r="AV36" s="398"/>
      <c r="AW36" s="398"/>
      <c r="AX36" s="398"/>
      <c r="AY36" s="398"/>
      <c r="AZ36" s="398"/>
      <c r="BA36" s="398"/>
      <c r="BB36" s="398"/>
      <c r="BC36" s="398"/>
      <c r="BD36" s="398"/>
      <c r="BE36" s="398"/>
      <c r="BF36" s="398"/>
      <c r="BG36" s="398"/>
      <c r="BH36" s="398"/>
      <c r="BI36" s="398"/>
      <c r="BJ36" s="398"/>
      <c r="BK36" s="398"/>
      <c r="BL36" s="398"/>
      <c r="BM36" s="398"/>
      <c r="BN36" s="398"/>
      <c r="BO36" s="398"/>
      <c r="BP36" s="398"/>
      <c r="BQ36" s="398"/>
      <c r="BR36" s="398"/>
      <c r="BS36" s="398"/>
      <c r="BT36" s="398"/>
      <c r="BU36" s="398"/>
      <c r="BV36" s="398"/>
      <c r="BW36" s="398"/>
      <c r="BX36" s="398"/>
      <c r="BY36" s="398"/>
      <c r="BZ36" s="398"/>
      <c r="CA36" s="398"/>
      <c r="CB36" s="398"/>
      <c r="CC36" s="398"/>
      <c r="CD36" s="398"/>
      <c r="CE36" s="398"/>
      <c r="CF36" s="398"/>
      <c r="CG36" s="398"/>
      <c r="CH36" s="398"/>
      <c r="CI36" s="398"/>
      <c r="CJ36" s="398"/>
      <c r="CK36" s="398"/>
      <c r="CL36" s="398"/>
      <c r="CM36" s="398"/>
      <c r="CN36" s="398"/>
      <c r="CO36" s="398"/>
      <c r="CP36" s="398"/>
      <c r="CQ36" s="398"/>
      <c r="CR36" s="398"/>
      <c r="CS36" s="398"/>
      <c r="CT36" s="398"/>
      <c r="CU36" s="398"/>
      <c r="CV36" s="398"/>
      <c r="CW36" s="398"/>
      <c r="CX36" s="398"/>
      <c r="CY36" s="398"/>
      <c r="CZ36" s="398"/>
      <c r="DA36" s="398"/>
      <c r="DB36" s="398"/>
      <c r="DC36" s="398"/>
      <c r="DD36" s="398"/>
      <c r="DE36" s="398"/>
      <c r="DF36" s="398"/>
      <c r="DG36" s="398"/>
      <c r="DH36" s="398"/>
      <c r="DI36" s="398"/>
    </row>
    <row r="37" spans="1:113" ht="15.75" thickBot="1" x14ac:dyDescent="0.3">
      <c r="A37" s="409"/>
      <c r="B37" s="124">
        <v>1</v>
      </c>
      <c r="C37" s="124">
        <v>2</v>
      </c>
      <c r="D37" s="124">
        <v>3</v>
      </c>
      <c r="E37" s="70">
        <v>4</v>
      </c>
      <c r="F37" s="70">
        <f>+E37+1</f>
        <v>5</v>
      </c>
      <c r="G37" s="70" t="s">
        <v>652</v>
      </c>
      <c r="H37" s="70">
        <v>7</v>
      </c>
      <c r="I37" s="71" t="s">
        <v>651</v>
      </c>
      <c r="J37" s="42" t="s">
        <v>650</v>
      </c>
      <c r="K37" s="42" t="s">
        <v>653</v>
      </c>
      <c r="L37"/>
      <c r="M37" s="403"/>
      <c r="N37" s="402"/>
      <c r="O37" s="402"/>
      <c r="P37" s="402"/>
      <c r="Q37" s="402"/>
      <c r="R37" s="402"/>
      <c r="S37" s="399"/>
      <c r="T37" s="399"/>
      <c r="U37" s="399"/>
      <c r="V37" s="399"/>
      <c r="W37" s="399"/>
      <c r="X37" s="399"/>
      <c r="Y37" s="399"/>
      <c r="Z37" s="399"/>
      <c r="AA37" s="399"/>
      <c r="AB37" s="399"/>
      <c r="AC37" s="399"/>
      <c r="AD37" s="399"/>
      <c r="AE37" s="399"/>
      <c r="AF37" s="399"/>
      <c r="AG37" s="399"/>
      <c r="AH37" s="399"/>
      <c r="AI37" s="399"/>
      <c r="AJ37" s="399"/>
      <c r="AK37" s="399"/>
      <c r="AL37" s="399"/>
      <c r="AM37" s="399"/>
      <c r="AN37" s="399"/>
      <c r="AO37" s="399"/>
      <c r="AP37" s="399"/>
      <c r="AQ37" s="399"/>
      <c r="AR37" s="399"/>
      <c r="AS37" s="399"/>
      <c r="AT37" s="399"/>
      <c r="AU37" s="399"/>
      <c r="AV37" s="399"/>
      <c r="AW37" s="399"/>
      <c r="AX37" s="399"/>
      <c r="AY37" s="399"/>
      <c r="AZ37" s="399"/>
      <c r="BA37" s="399"/>
      <c r="BB37" s="399"/>
      <c r="BC37" s="399"/>
      <c r="BD37" s="399"/>
      <c r="BE37" s="399"/>
      <c r="BF37" s="399"/>
      <c r="BG37" s="399"/>
      <c r="BH37" s="399"/>
      <c r="BI37" s="399"/>
      <c r="BJ37" s="399"/>
      <c r="BK37" s="399"/>
      <c r="BL37" s="399"/>
      <c r="BM37" s="399"/>
      <c r="BN37" s="399"/>
      <c r="BO37" s="399"/>
      <c r="BP37" s="399"/>
      <c r="BQ37" s="399"/>
      <c r="BR37" s="399"/>
      <c r="BS37" s="399"/>
      <c r="BT37" s="399"/>
      <c r="BU37" s="399"/>
      <c r="BV37" s="399"/>
      <c r="BW37" s="399"/>
      <c r="BX37" s="399"/>
      <c r="BY37" s="399"/>
      <c r="BZ37" s="399"/>
      <c r="CA37" s="399"/>
      <c r="CB37" s="399"/>
      <c r="CC37" s="399"/>
      <c r="CD37" s="399"/>
      <c r="CE37" s="399"/>
      <c r="CF37" s="399"/>
      <c r="CG37" s="399"/>
      <c r="CH37" s="399"/>
      <c r="CI37" s="399"/>
      <c r="CJ37" s="399"/>
      <c r="CK37" s="399"/>
      <c r="CL37" s="399"/>
      <c r="CM37" s="399"/>
      <c r="CN37" s="399"/>
      <c r="CO37" s="399"/>
      <c r="CP37" s="399"/>
      <c r="CQ37" s="399"/>
      <c r="CR37" s="399"/>
      <c r="CS37" s="399"/>
      <c r="CT37" s="399"/>
      <c r="CU37" s="399"/>
      <c r="CV37" s="399"/>
      <c r="CW37" s="399"/>
      <c r="CX37" s="399"/>
      <c r="CY37" s="399"/>
      <c r="CZ37" s="399"/>
      <c r="DA37" s="399"/>
      <c r="DB37" s="399"/>
      <c r="DC37" s="399"/>
      <c r="DD37" s="399"/>
      <c r="DE37" s="399"/>
      <c r="DF37" s="399"/>
      <c r="DG37" s="399"/>
      <c r="DH37" s="399"/>
      <c r="DI37" s="399"/>
    </row>
    <row r="38" spans="1:113" x14ac:dyDescent="0.25">
      <c r="A38" s="140"/>
      <c r="B38" s="141" t="s">
        <v>696</v>
      </c>
      <c r="C38" s="140"/>
      <c r="D38" s="140"/>
      <c r="E38" s="99"/>
      <c r="F38" s="99"/>
      <c r="G38" s="99"/>
      <c r="H38" s="99"/>
      <c r="I38" s="100"/>
      <c r="J38" s="63"/>
      <c r="K38" s="63"/>
      <c r="L38"/>
      <c r="M38" s="314">
        <f t="shared" si="0"/>
        <v>0</v>
      </c>
      <c r="N38" s="310"/>
      <c r="O38" s="315"/>
      <c r="P38" s="315"/>
      <c r="Q38" s="315"/>
      <c r="R38" s="31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55"/>
      <c r="CZ38" s="55"/>
      <c r="DA38" s="55"/>
      <c r="DB38" s="55"/>
      <c r="DC38" s="55"/>
      <c r="DD38" s="55"/>
      <c r="DE38" s="55"/>
      <c r="DF38" s="55"/>
      <c r="DG38" s="55"/>
      <c r="DH38" s="55"/>
      <c r="DI38" s="55"/>
    </row>
    <row r="39" spans="1:113" x14ac:dyDescent="0.25">
      <c r="A39" s="152">
        <v>1</v>
      </c>
      <c r="B39" s="79" t="s">
        <v>156</v>
      </c>
      <c r="C39" s="80">
        <v>6000</v>
      </c>
      <c r="D39" s="142">
        <v>748.19</v>
      </c>
      <c r="E39" s="60">
        <v>0</v>
      </c>
      <c r="F39" s="43"/>
      <c r="G39" s="139">
        <f t="shared" ref="G39:G41" si="16">+E39+F39</f>
        <v>0</v>
      </c>
      <c r="H39" s="55">
        <f>645-645</f>
        <v>0</v>
      </c>
      <c r="I39" s="56">
        <f t="shared" ref="I39:I41" si="17">+G39-H39</f>
        <v>0</v>
      </c>
      <c r="J39" s="56">
        <f t="shared" ref="J39:J41" si="18">I39*C39</f>
        <v>0</v>
      </c>
      <c r="K39" s="57">
        <f t="shared" ref="K39:K41" si="19">+D39*I39</f>
        <v>0</v>
      </c>
      <c r="L39"/>
      <c r="M39" s="314">
        <f t="shared" si="0"/>
        <v>0</v>
      </c>
      <c r="N39" s="310"/>
      <c r="O39" s="315"/>
      <c r="P39" s="315"/>
      <c r="Q39" s="315"/>
      <c r="R39" s="31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55"/>
      <c r="CZ39" s="55"/>
      <c r="DA39" s="55"/>
      <c r="DB39" s="55"/>
      <c r="DC39" s="55"/>
      <c r="DD39" s="55"/>
      <c r="DE39" s="55"/>
      <c r="DF39" s="55"/>
      <c r="DG39" s="55"/>
      <c r="DH39" s="55"/>
      <c r="DI39" s="55"/>
    </row>
    <row r="40" spans="1:113" x14ac:dyDescent="0.25">
      <c r="A40" s="152">
        <v>2</v>
      </c>
      <c r="B40" s="79" t="s">
        <v>157</v>
      </c>
      <c r="C40" s="80">
        <v>46000</v>
      </c>
      <c r="D40" s="142">
        <v>5971.74</v>
      </c>
      <c r="E40" s="80">
        <v>0</v>
      </c>
      <c r="F40" s="60"/>
      <c r="G40" s="139">
        <f t="shared" si="16"/>
        <v>0</v>
      </c>
      <c r="H40" s="55">
        <f>40-40</f>
        <v>0</v>
      </c>
      <c r="I40" s="56">
        <f t="shared" si="17"/>
        <v>0</v>
      </c>
      <c r="J40" s="56">
        <f t="shared" si="18"/>
        <v>0</v>
      </c>
      <c r="K40" s="57">
        <f t="shared" si="19"/>
        <v>0</v>
      </c>
      <c r="L40"/>
      <c r="M40" s="314">
        <f t="shared" si="0"/>
        <v>0</v>
      </c>
      <c r="N40" s="310"/>
      <c r="O40" s="315"/>
      <c r="P40" s="315"/>
      <c r="Q40" s="315"/>
      <c r="R40" s="31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row>
    <row r="41" spans="1:113" ht="15.75" thickBot="1" x14ac:dyDescent="0.3">
      <c r="A41" s="153">
        <v>3</v>
      </c>
      <c r="B41" s="144" t="s">
        <v>149</v>
      </c>
      <c r="C41" s="82">
        <v>3000</v>
      </c>
      <c r="D41" s="145">
        <v>1030.3800000000001</v>
      </c>
      <c r="E41" s="82">
        <v>0</v>
      </c>
      <c r="F41" s="156"/>
      <c r="G41" s="147">
        <f t="shared" si="16"/>
        <v>0</v>
      </c>
      <c r="H41" s="55">
        <f>31-31</f>
        <v>0</v>
      </c>
      <c r="I41" s="64">
        <f t="shared" si="17"/>
        <v>0</v>
      </c>
      <c r="J41" s="64">
        <f t="shared" si="18"/>
        <v>0</v>
      </c>
      <c r="K41" s="65">
        <f t="shared" si="19"/>
        <v>0</v>
      </c>
      <c r="L41"/>
      <c r="M41" s="314">
        <f t="shared" si="0"/>
        <v>0</v>
      </c>
      <c r="N41" s="310"/>
      <c r="O41" s="315"/>
      <c r="P41" s="315"/>
      <c r="Q41" s="315"/>
      <c r="R41" s="31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row>
    <row r="42" spans="1:113" ht="15.75" thickBot="1" x14ac:dyDescent="0.3">
      <c r="A42" s="128"/>
      <c r="B42" s="119" t="s">
        <v>697</v>
      </c>
      <c r="C42" s="84"/>
      <c r="D42" s="137"/>
      <c r="E42" s="137">
        <f>SUM(E39:E41)</f>
        <v>0</v>
      </c>
      <c r="F42" s="137">
        <f>SUM(F39:F41)</f>
        <v>0</v>
      </c>
      <c r="G42" s="137">
        <f>SUM(G39:G41)</f>
        <v>0</v>
      </c>
      <c r="H42" s="137">
        <f>SUM(H39:H41)</f>
        <v>0</v>
      </c>
      <c r="I42" s="137">
        <f>SUM(I39:I41)</f>
        <v>0</v>
      </c>
      <c r="J42" s="137">
        <f t="shared" ref="J42:K42" si="20">SUM(J39:J41)</f>
        <v>0</v>
      </c>
      <c r="K42" s="155">
        <f t="shared" si="20"/>
        <v>0</v>
      </c>
      <c r="L42"/>
      <c r="M42" s="322">
        <f t="shared" si="0"/>
        <v>0</v>
      </c>
      <c r="N42" s="325"/>
      <c r="O42" s="325"/>
      <c r="P42" s="325"/>
      <c r="Q42" s="325"/>
      <c r="R42" s="325"/>
      <c r="S42" s="324"/>
      <c r="T42" s="324"/>
      <c r="U42" s="324"/>
      <c r="V42" s="324"/>
      <c r="W42" s="324"/>
      <c r="X42" s="324"/>
      <c r="Y42" s="324"/>
      <c r="Z42" s="324"/>
      <c r="AA42" s="324"/>
      <c r="AB42" s="324"/>
      <c r="AC42" s="324"/>
      <c r="AD42" s="324"/>
      <c r="AE42" s="324"/>
      <c r="AF42" s="324"/>
      <c r="AG42" s="324"/>
      <c r="AH42" s="324"/>
      <c r="AI42" s="324"/>
      <c r="AJ42" s="324"/>
      <c r="AK42" s="324"/>
      <c r="AL42" s="324"/>
      <c r="AM42" s="324"/>
      <c r="AN42" s="324"/>
      <c r="AO42" s="324"/>
      <c r="AP42" s="324"/>
      <c r="AQ42" s="324"/>
      <c r="AR42" s="324"/>
      <c r="AS42" s="324"/>
      <c r="AT42" s="324"/>
      <c r="AU42" s="324"/>
      <c r="AV42" s="324"/>
      <c r="AW42" s="324"/>
      <c r="AX42" s="324"/>
      <c r="AY42" s="324"/>
      <c r="AZ42" s="324"/>
      <c r="BA42" s="324"/>
      <c r="BB42" s="324"/>
      <c r="BC42" s="324"/>
      <c r="BD42" s="324"/>
      <c r="BE42" s="324"/>
      <c r="BF42" s="324"/>
      <c r="BG42" s="324"/>
      <c r="BH42" s="324"/>
      <c r="BI42" s="324"/>
      <c r="BJ42" s="324"/>
      <c r="BK42" s="324"/>
      <c r="BL42" s="324"/>
      <c r="BM42" s="324"/>
      <c r="BN42" s="324"/>
      <c r="BO42" s="324"/>
      <c r="BP42" s="324"/>
      <c r="BQ42" s="324"/>
      <c r="BR42" s="324"/>
      <c r="BS42" s="324"/>
      <c r="BT42" s="324"/>
      <c r="BU42" s="324"/>
      <c r="BV42" s="324"/>
      <c r="BW42" s="324"/>
      <c r="BX42" s="324"/>
      <c r="BY42" s="324"/>
      <c r="BZ42" s="324"/>
      <c r="CA42" s="324"/>
      <c r="CB42" s="324"/>
      <c r="CC42" s="324"/>
      <c r="CD42" s="324"/>
      <c r="CE42" s="324"/>
      <c r="CF42" s="324"/>
      <c r="CG42" s="324"/>
      <c r="CH42" s="324"/>
      <c r="CI42" s="324"/>
      <c r="CJ42" s="324"/>
      <c r="CK42" s="324"/>
      <c r="CL42" s="324"/>
      <c r="CM42" s="324"/>
      <c r="CN42" s="324"/>
      <c r="CO42" s="324"/>
      <c r="CP42" s="324"/>
      <c r="CQ42" s="324"/>
      <c r="CR42" s="324"/>
      <c r="CS42" s="324"/>
      <c r="CT42" s="324"/>
      <c r="CU42" s="324"/>
      <c r="CV42" s="324"/>
      <c r="CW42" s="324"/>
      <c r="CX42" s="324"/>
      <c r="CY42" s="324"/>
      <c r="CZ42" s="324"/>
      <c r="DA42" s="324"/>
      <c r="DB42" s="324"/>
      <c r="DC42" s="324"/>
      <c r="DD42" s="324"/>
      <c r="DE42" s="324"/>
      <c r="DF42" s="324"/>
      <c r="DG42" s="324"/>
      <c r="DH42" s="324"/>
      <c r="DI42" s="324"/>
    </row>
    <row r="43" spans="1:113" customFormat="1" ht="15.75" thickBot="1" x14ac:dyDescent="0.3"/>
    <row r="44" spans="1:113" ht="15.75" thickBot="1" x14ac:dyDescent="0.3">
      <c r="A44" s="407" t="s">
        <v>657</v>
      </c>
      <c r="B44" s="414" t="s">
        <v>0</v>
      </c>
      <c r="C44" s="414" t="s">
        <v>1</v>
      </c>
      <c r="D44" s="415" t="s">
        <v>649</v>
      </c>
      <c r="E44" s="416" t="s">
        <v>19</v>
      </c>
      <c r="F44" s="416"/>
      <c r="G44" s="416"/>
      <c r="H44" s="416"/>
      <c r="I44" s="416"/>
      <c r="J44" s="410" t="s">
        <v>21</v>
      </c>
      <c r="K44" s="417" t="s">
        <v>602</v>
      </c>
      <c r="L44"/>
      <c r="M44" s="403" t="s">
        <v>601</v>
      </c>
      <c r="N44" s="403" t="s">
        <v>924</v>
      </c>
      <c r="O44" s="403"/>
      <c r="P44" s="403"/>
      <c r="Q44" s="403"/>
      <c r="R44" s="403"/>
      <c r="S44" s="403"/>
      <c r="T44" s="403"/>
      <c r="U44" s="403"/>
      <c r="V44" s="403"/>
      <c r="W44" s="403"/>
      <c r="X44" s="403"/>
      <c r="Y44" s="403"/>
      <c r="Z44" s="403"/>
      <c r="AA44" s="403"/>
      <c r="AB44" s="403"/>
      <c r="AC44" s="403"/>
      <c r="AD44" s="403"/>
      <c r="AE44" s="403"/>
      <c r="AF44" s="403"/>
      <c r="AG44" s="403"/>
      <c r="AH44" s="403"/>
      <c r="AI44" s="403"/>
      <c r="AJ44" s="403"/>
      <c r="AK44" s="403"/>
      <c r="AL44" s="403"/>
      <c r="AM44" s="403"/>
      <c r="AN44" s="403"/>
      <c r="AO44" s="403"/>
      <c r="AP44" s="403"/>
      <c r="AQ44" s="403"/>
      <c r="AR44" s="403"/>
      <c r="AS44" s="403"/>
      <c r="AT44" s="403"/>
      <c r="AU44" s="403"/>
      <c r="AV44" s="403"/>
      <c r="AW44" s="403"/>
      <c r="AX44" s="403"/>
      <c r="AY44" s="403"/>
      <c r="AZ44" s="403"/>
      <c r="BA44" s="403"/>
      <c r="BB44" s="403"/>
      <c r="BC44" s="403"/>
      <c r="BD44" s="403"/>
      <c r="BE44" s="403"/>
      <c r="BF44" s="403"/>
      <c r="BG44" s="403"/>
      <c r="BH44" s="403"/>
      <c r="BI44" s="403"/>
      <c r="BJ44" s="403"/>
      <c r="BK44" s="403"/>
      <c r="BL44" s="403"/>
      <c r="BM44" s="403"/>
      <c r="BN44" s="403"/>
      <c r="BO44" s="403"/>
      <c r="BP44" s="403"/>
      <c r="BQ44" s="403"/>
      <c r="BR44" s="403"/>
      <c r="BS44" s="403"/>
      <c r="BT44" s="403"/>
      <c r="BU44" s="403"/>
      <c r="BV44" s="403"/>
      <c r="BW44" s="403"/>
      <c r="BX44" s="403"/>
      <c r="BY44" s="403"/>
      <c r="BZ44" s="403"/>
      <c r="CA44" s="403"/>
      <c r="CB44" s="403"/>
      <c r="CC44" s="403"/>
      <c r="CD44" s="403"/>
      <c r="CE44" s="403"/>
      <c r="CF44" s="403"/>
      <c r="CG44" s="403"/>
      <c r="CH44" s="403"/>
      <c r="CI44" s="403"/>
      <c r="CJ44" s="403"/>
      <c r="CK44" s="403"/>
      <c r="CL44" s="403"/>
      <c r="CM44" s="403"/>
      <c r="CN44" s="403"/>
      <c r="CO44" s="403"/>
      <c r="CP44" s="403"/>
      <c r="CQ44" s="403"/>
      <c r="CR44" s="403"/>
      <c r="CS44" s="403"/>
      <c r="CT44" s="403"/>
      <c r="CU44" s="403"/>
      <c r="CV44" s="403"/>
      <c r="CW44" s="403"/>
      <c r="CX44" s="403"/>
      <c r="CY44" s="403"/>
      <c r="CZ44" s="403"/>
      <c r="DA44" s="403"/>
      <c r="DB44" s="403"/>
      <c r="DC44" s="403"/>
      <c r="DD44" s="403"/>
      <c r="DE44" s="403"/>
      <c r="DF44" s="403"/>
      <c r="DG44" s="403"/>
      <c r="DH44" s="403"/>
      <c r="DI44" s="403"/>
    </row>
    <row r="45" spans="1:113" ht="15.75" thickBot="1" x14ac:dyDescent="0.3">
      <c r="A45" s="408"/>
      <c r="B45" s="414"/>
      <c r="C45" s="414"/>
      <c r="D45" s="415"/>
      <c r="E45" s="68" t="s">
        <v>22</v>
      </c>
      <c r="F45" s="68" t="s">
        <v>600</v>
      </c>
      <c r="G45" s="68" t="s">
        <v>601</v>
      </c>
      <c r="H45" s="68" t="s">
        <v>589</v>
      </c>
      <c r="I45" s="68" t="s">
        <v>601</v>
      </c>
      <c r="J45" s="411"/>
      <c r="K45" s="418"/>
      <c r="L45"/>
      <c r="M45" s="403"/>
      <c r="N45" s="400" t="s">
        <v>925</v>
      </c>
      <c r="O45" s="400" t="s">
        <v>926</v>
      </c>
      <c r="P45" s="400"/>
      <c r="Q45" s="400"/>
      <c r="R45" s="400"/>
      <c r="S45" s="398"/>
      <c r="T45" s="398"/>
      <c r="U45" s="398"/>
      <c r="V45" s="398"/>
      <c r="W45" s="398"/>
      <c r="X45" s="398"/>
      <c r="Y45" s="398"/>
      <c r="Z45" s="398"/>
      <c r="AA45" s="398"/>
      <c r="AB45" s="398"/>
      <c r="AC45" s="398"/>
      <c r="AD45" s="398"/>
      <c r="AE45" s="398"/>
      <c r="AF45" s="398"/>
      <c r="AG45" s="398"/>
      <c r="AH45" s="398"/>
      <c r="AI45" s="398"/>
      <c r="AJ45" s="398"/>
      <c r="AK45" s="398"/>
      <c r="AL45" s="398"/>
      <c r="AM45" s="398"/>
      <c r="AN45" s="398"/>
      <c r="AO45" s="398"/>
      <c r="AP45" s="398"/>
      <c r="AQ45" s="398"/>
      <c r="AR45" s="398"/>
      <c r="AS45" s="398"/>
      <c r="AT45" s="398"/>
      <c r="AU45" s="398"/>
      <c r="AV45" s="398"/>
      <c r="AW45" s="398"/>
      <c r="AX45" s="398"/>
      <c r="AY45" s="398"/>
      <c r="AZ45" s="398"/>
      <c r="BA45" s="398"/>
      <c r="BB45" s="398"/>
      <c r="BC45" s="398"/>
      <c r="BD45" s="398"/>
      <c r="BE45" s="398"/>
      <c r="BF45" s="398"/>
      <c r="BG45" s="398"/>
      <c r="BH45" s="398"/>
      <c r="BI45" s="398"/>
      <c r="BJ45" s="398"/>
      <c r="BK45" s="398"/>
      <c r="BL45" s="398"/>
      <c r="BM45" s="398"/>
      <c r="BN45" s="398"/>
      <c r="BO45" s="398"/>
      <c r="BP45" s="398"/>
      <c r="BQ45" s="398"/>
      <c r="BR45" s="398"/>
      <c r="BS45" s="398"/>
      <c r="BT45" s="398"/>
      <c r="BU45" s="398"/>
      <c r="BV45" s="398"/>
      <c r="BW45" s="398"/>
      <c r="BX45" s="398"/>
      <c r="BY45" s="398"/>
      <c r="BZ45" s="398"/>
      <c r="CA45" s="398"/>
      <c r="CB45" s="398"/>
      <c r="CC45" s="398"/>
      <c r="CD45" s="398"/>
      <c r="CE45" s="398"/>
      <c r="CF45" s="398"/>
      <c r="CG45" s="398"/>
      <c r="CH45" s="398"/>
      <c r="CI45" s="398"/>
      <c r="CJ45" s="398"/>
      <c r="CK45" s="398"/>
      <c r="CL45" s="398"/>
      <c r="CM45" s="398"/>
      <c r="CN45" s="398"/>
      <c r="CO45" s="398"/>
      <c r="CP45" s="398"/>
      <c r="CQ45" s="398"/>
      <c r="CR45" s="398"/>
      <c r="CS45" s="398"/>
      <c r="CT45" s="398"/>
      <c r="CU45" s="398"/>
      <c r="CV45" s="398"/>
      <c r="CW45" s="398"/>
      <c r="CX45" s="398"/>
      <c r="CY45" s="398"/>
      <c r="CZ45" s="398"/>
      <c r="DA45" s="398"/>
      <c r="DB45" s="398"/>
      <c r="DC45" s="398"/>
      <c r="DD45" s="398"/>
      <c r="DE45" s="398"/>
      <c r="DF45" s="398"/>
      <c r="DG45" s="398"/>
      <c r="DH45" s="398"/>
      <c r="DI45" s="398"/>
    </row>
    <row r="46" spans="1:113" ht="15.75" thickBot="1" x14ac:dyDescent="0.3">
      <c r="A46" s="409"/>
      <c r="B46" s="124">
        <v>1</v>
      </c>
      <c r="C46" s="124">
        <v>2</v>
      </c>
      <c r="D46" s="124">
        <v>3</v>
      </c>
      <c r="E46" s="70">
        <v>4</v>
      </c>
      <c r="F46" s="70">
        <f>+E46+1</f>
        <v>5</v>
      </c>
      <c r="G46" s="70" t="s">
        <v>652</v>
      </c>
      <c r="H46" s="70">
        <v>7</v>
      </c>
      <c r="I46" s="71" t="s">
        <v>651</v>
      </c>
      <c r="J46" s="42" t="s">
        <v>650</v>
      </c>
      <c r="K46" s="42" t="s">
        <v>653</v>
      </c>
      <c r="L46"/>
      <c r="M46" s="403"/>
      <c r="N46" s="402"/>
      <c r="O46" s="402"/>
      <c r="P46" s="402"/>
      <c r="Q46" s="402"/>
      <c r="R46" s="402"/>
      <c r="S46" s="399"/>
      <c r="T46" s="399"/>
      <c r="U46" s="399"/>
      <c r="V46" s="399"/>
      <c r="W46" s="399"/>
      <c r="X46" s="399"/>
      <c r="Y46" s="399"/>
      <c r="Z46" s="399"/>
      <c r="AA46" s="399"/>
      <c r="AB46" s="399"/>
      <c r="AC46" s="399"/>
      <c r="AD46" s="399"/>
      <c r="AE46" s="399"/>
      <c r="AF46" s="399"/>
      <c r="AG46" s="399"/>
      <c r="AH46" s="399"/>
      <c r="AI46" s="399"/>
      <c r="AJ46" s="399"/>
      <c r="AK46" s="399"/>
      <c r="AL46" s="399"/>
      <c r="AM46" s="399"/>
      <c r="AN46" s="399"/>
      <c r="AO46" s="399"/>
      <c r="AP46" s="399"/>
      <c r="AQ46" s="399"/>
      <c r="AR46" s="399"/>
      <c r="AS46" s="399"/>
      <c r="AT46" s="399"/>
      <c r="AU46" s="399"/>
      <c r="AV46" s="399"/>
      <c r="AW46" s="399"/>
      <c r="AX46" s="399"/>
      <c r="AY46" s="399"/>
      <c r="AZ46" s="399"/>
      <c r="BA46" s="399"/>
      <c r="BB46" s="399"/>
      <c r="BC46" s="399"/>
      <c r="BD46" s="399"/>
      <c r="BE46" s="399"/>
      <c r="BF46" s="399"/>
      <c r="BG46" s="399"/>
      <c r="BH46" s="399"/>
      <c r="BI46" s="399"/>
      <c r="BJ46" s="399"/>
      <c r="BK46" s="399"/>
      <c r="BL46" s="399"/>
      <c r="BM46" s="399"/>
      <c r="BN46" s="399"/>
      <c r="BO46" s="399"/>
      <c r="BP46" s="399"/>
      <c r="BQ46" s="399"/>
      <c r="BR46" s="399"/>
      <c r="BS46" s="399"/>
      <c r="BT46" s="399"/>
      <c r="BU46" s="399"/>
      <c r="BV46" s="399"/>
      <c r="BW46" s="399"/>
      <c r="BX46" s="399"/>
      <c r="BY46" s="399"/>
      <c r="BZ46" s="399"/>
      <c r="CA46" s="399"/>
      <c r="CB46" s="399"/>
      <c r="CC46" s="399"/>
      <c r="CD46" s="399"/>
      <c r="CE46" s="399"/>
      <c r="CF46" s="399"/>
      <c r="CG46" s="399"/>
      <c r="CH46" s="399"/>
      <c r="CI46" s="399"/>
      <c r="CJ46" s="399"/>
      <c r="CK46" s="399"/>
      <c r="CL46" s="399"/>
      <c r="CM46" s="399"/>
      <c r="CN46" s="399"/>
      <c r="CO46" s="399"/>
      <c r="CP46" s="399"/>
      <c r="CQ46" s="399"/>
      <c r="CR46" s="399"/>
      <c r="CS46" s="399"/>
      <c r="CT46" s="399"/>
      <c r="CU46" s="399"/>
      <c r="CV46" s="399"/>
      <c r="CW46" s="399"/>
      <c r="CX46" s="399"/>
      <c r="CY46" s="399"/>
      <c r="CZ46" s="399"/>
      <c r="DA46" s="399"/>
      <c r="DB46" s="399"/>
      <c r="DC46" s="399"/>
      <c r="DD46" s="399"/>
      <c r="DE46" s="399"/>
      <c r="DF46" s="399"/>
      <c r="DG46" s="399"/>
      <c r="DH46" s="399"/>
      <c r="DI46" s="399"/>
    </row>
    <row r="47" spans="1:113" x14ac:dyDescent="0.25">
      <c r="A47" s="140"/>
      <c r="B47" s="141" t="s">
        <v>698</v>
      </c>
      <c r="C47" s="140"/>
      <c r="D47" s="140"/>
      <c r="E47" s="99"/>
      <c r="F47" s="99"/>
      <c r="G47" s="99"/>
      <c r="H47" s="99"/>
      <c r="I47" s="100"/>
      <c r="J47" s="63"/>
      <c r="K47" s="63"/>
      <c r="L47"/>
      <c r="M47" s="320">
        <f>SUM(N47:DJ47)</f>
        <v>0</v>
      </c>
      <c r="N47" s="311"/>
      <c r="O47" s="319"/>
      <c r="P47" s="319"/>
      <c r="Q47" s="319"/>
      <c r="R47" s="319"/>
      <c r="S47" s="317"/>
      <c r="T47" s="317"/>
      <c r="U47" s="317"/>
      <c r="V47" s="317"/>
      <c r="W47" s="317"/>
      <c r="X47" s="317"/>
      <c r="Y47" s="317"/>
      <c r="Z47" s="317"/>
      <c r="AA47" s="317"/>
      <c r="AB47" s="317"/>
      <c r="AC47" s="317"/>
      <c r="AD47" s="317"/>
      <c r="AE47" s="317"/>
      <c r="AF47" s="317"/>
      <c r="AG47" s="317"/>
      <c r="AH47" s="317"/>
      <c r="AI47" s="317"/>
      <c r="AJ47" s="317"/>
      <c r="AK47" s="317"/>
      <c r="AL47" s="317"/>
      <c r="AM47" s="317"/>
      <c r="AN47" s="317"/>
      <c r="AO47" s="317"/>
      <c r="AP47" s="317"/>
      <c r="AQ47" s="317"/>
      <c r="AR47" s="317"/>
      <c r="AS47" s="317"/>
      <c r="AT47" s="317"/>
      <c r="AU47" s="317"/>
      <c r="AV47" s="317"/>
      <c r="AW47" s="317"/>
      <c r="AX47" s="317"/>
      <c r="AY47" s="317"/>
      <c r="AZ47" s="317"/>
      <c r="BA47" s="317"/>
      <c r="BB47" s="317"/>
      <c r="BC47" s="317"/>
      <c r="BD47" s="317"/>
      <c r="BE47" s="317"/>
      <c r="BF47" s="317"/>
      <c r="BG47" s="317"/>
      <c r="BH47" s="317"/>
      <c r="BI47" s="317"/>
      <c r="BJ47" s="317"/>
      <c r="BK47" s="317"/>
      <c r="BL47" s="317"/>
      <c r="BM47" s="317"/>
      <c r="BN47" s="317"/>
      <c r="BO47" s="317"/>
      <c r="BP47" s="317"/>
      <c r="BQ47" s="317"/>
      <c r="BR47" s="317"/>
      <c r="BS47" s="317"/>
      <c r="BT47" s="317"/>
      <c r="BU47" s="317"/>
      <c r="BV47" s="317"/>
      <c r="BW47" s="317"/>
      <c r="BX47" s="317"/>
      <c r="BY47" s="317"/>
      <c r="BZ47" s="317"/>
      <c r="CA47" s="317"/>
      <c r="CB47" s="317"/>
      <c r="CC47" s="317"/>
      <c r="CD47" s="317"/>
      <c r="CE47" s="317"/>
      <c r="CF47" s="317"/>
      <c r="CG47" s="317"/>
      <c r="CH47" s="317"/>
      <c r="CI47" s="317"/>
      <c r="CJ47" s="317"/>
      <c r="CK47" s="317"/>
      <c r="CL47" s="317"/>
      <c r="CM47" s="317"/>
      <c r="CN47" s="317"/>
      <c r="CO47" s="317"/>
      <c r="CP47" s="317"/>
      <c r="CQ47" s="317"/>
      <c r="CR47" s="317"/>
      <c r="CS47" s="317"/>
      <c r="CT47" s="317"/>
      <c r="CU47" s="317"/>
      <c r="CV47" s="317"/>
      <c r="CW47" s="317"/>
      <c r="CX47" s="317"/>
      <c r="CY47" s="317"/>
      <c r="CZ47" s="317"/>
      <c r="DA47" s="317"/>
      <c r="DB47" s="317"/>
      <c r="DC47" s="317"/>
      <c r="DD47" s="317"/>
      <c r="DE47" s="317"/>
      <c r="DF47" s="317"/>
      <c r="DG47" s="317"/>
      <c r="DH47" s="317"/>
      <c r="DI47" s="317"/>
    </row>
    <row r="48" spans="1:113" x14ac:dyDescent="0.25">
      <c r="A48" s="152">
        <v>1</v>
      </c>
      <c r="B48" s="79" t="s">
        <v>732</v>
      </c>
      <c r="C48" s="80">
        <v>6000</v>
      </c>
      <c r="D48" s="142">
        <v>748.19</v>
      </c>
      <c r="E48" s="43">
        <v>0</v>
      </c>
      <c r="F48" s="43"/>
      <c r="G48" s="139">
        <f t="shared" ref="G48:G52" si="21">+E48+F48</f>
        <v>0</v>
      </c>
      <c r="H48" s="55"/>
      <c r="I48" s="56">
        <f t="shared" ref="I48:I52" si="22">+G48-H48</f>
        <v>0</v>
      </c>
      <c r="J48" s="56">
        <f t="shared" ref="J48:J52" si="23">I48*C48</f>
        <v>0</v>
      </c>
      <c r="K48" s="57">
        <f t="shared" ref="K48:K52" si="24">+D48*I48</f>
        <v>0</v>
      </c>
      <c r="L48"/>
      <c r="M48" s="314">
        <f t="shared" ref="M48:M49" si="25">SUM(N48:DJ48)</f>
        <v>0</v>
      </c>
      <c r="N48" s="310"/>
      <c r="O48" s="315"/>
      <c r="P48" s="315"/>
      <c r="Q48" s="315"/>
      <c r="R48" s="31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55"/>
      <c r="CB48" s="55"/>
      <c r="CC48" s="55"/>
      <c r="CD48" s="55"/>
      <c r="CE48" s="55"/>
      <c r="CF48" s="55"/>
      <c r="CG48" s="55"/>
      <c r="CH48" s="55"/>
      <c r="CI48" s="55"/>
      <c r="CJ48" s="55"/>
      <c r="CK48" s="55"/>
      <c r="CL48" s="55"/>
      <c r="CM48" s="55"/>
      <c r="CN48" s="55"/>
      <c r="CO48" s="55"/>
      <c r="CP48" s="55"/>
      <c r="CQ48" s="55"/>
      <c r="CR48" s="55"/>
      <c r="CS48" s="55"/>
      <c r="CT48" s="55"/>
      <c r="CU48" s="55"/>
      <c r="CV48" s="55"/>
      <c r="CW48" s="55"/>
      <c r="CX48" s="55"/>
      <c r="CY48" s="55"/>
      <c r="CZ48" s="55"/>
      <c r="DA48" s="55"/>
      <c r="DB48" s="55"/>
      <c r="DC48" s="55"/>
      <c r="DD48" s="55"/>
      <c r="DE48" s="55"/>
      <c r="DF48" s="55"/>
      <c r="DG48" s="55"/>
      <c r="DH48" s="55"/>
      <c r="DI48" s="55"/>
    </row>
    <row r="49" spans="1:113" x14ac:dyDescent="0.25">
      <c r="A49" s="152">
        <v>2</v>
      </c>
      <c r="B49" s="79" t="s">
        <v>50</v>
      </c>
      <c r="C49" s="80">
        <v>3000</v>
      </c>
      <c r="D49" s="142">
        <v>379.05</v>
      </c>
      <c r="E49" s="43">
        <v>0</v>
      </c>
      <c r="F49" s="43"/>
      <c r="G49" s="139">
        <f t="shared" si="21"/>
        <v>0</v>
      </c>
      <c r="H49" s="55">
        <f>4237-4237</f>
        <v>0</v>
      </c>
      <c r="I49" s="56">
        <f t="shared" si="22"/>
        <v>0</v>
      </c>
      <c r="J49" s="56">
        <f t="shared" si="23"/>
        <v>0</v>
      </c>
      <c r="K49" s="57">
        <f t="shared" si="24"/>
        <v>0</v>
      </c>
      <c r="L49"/>
      <c r="M49" s="314">
        <f t="shared" si="25"/>
        <v>0</v>
      </c>
      <c r="N49" s="310"/>
      <c r="O49" s="315"/>
      <c r="P49" s="315"/>
      <c r="Q49" s="315"/>
      <c r="R49" s="31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55"/>
      <c r="CB49" s="55"/>
      <c r="CC49" s="55"/>
      <c r="CD49" s="55"/>
      <c r="CE49" s="55"/>
      <c r="CF49" s="55"/>
      <c r="CG49" s="55"/>
      <c r="CH49" s="55"/>
      <c r="CI49" s="55"/>
      <c r="CJ49" s="55"/>
      <c r="CK49" s="55"/>
      <c r="CL49" s="55"/>
      <c r="CM49" s="55"/>
      <c r="CN49" s="55"/>
      <c r="CO49" s="55"/>
      <c r="CP49" s="55"/>
      <c r="CQ49" s="55"/>
      <c r="CR49" s="55"/>
      <c r="CS49" s="55"/>
      <c r="CT49" s="55"/>
      <c r="CU49" s="55"/>
      <c r="CV49" s="55"/>
      <c r="CW49" s="55"/>
      <c r="CX49" s="55"/>
      <c r="CY49" s="55"/>
      <c r="CZ49" s="55"/>
      <c r="DA49" s="55"/>
      <c r="DB49" s="55"/>
      <c r="DC49" s="55"/>
      <c r="DD49" s="55"/>
      <c r="DE49" s="55"/>
      <c r="DF49" s="55"/>
      <c r="DG49" s="55"/>
      <c r="DH49" s="55"/>
      <c r="DI49" s="55"/>
    </row>
    <row r="50" spans="1:113" x14ac:dyDescent="0.25">
      <c r="A50" s="152">
        <v>3</v>
      </c>
      <c r="B50" s="79" t="s">
        <v>773</v>
      </c>
      <c r="C50" s="80">
        <v>5000</v>
      </c>
      <c r="D50" s="142">
        <v>764.96</v>
      </c>
      <c r="E50" s="43">
        <v>0</v>
      </c>
      <c r="F50" s="43"/>
      <c r="G50" s="139">
        <f t="shared" si="21"/>
        <v>0</v>
      </c>
      <c r="H50" s="55">
        <f>3752-3752</f>
        <v>0</v>
      </c>
      <c r="I50" s="56">
        <f t="shared" si="22"/>
        <v>0</v>
      </c>
      <c r="J50" s="56">
        <f t="shared" si="23"/>
        <v>0</v>
      </c>
      <c r="K50" s="57">
        <f t="shared" si="24"/>
        <v>0</v>
      </c>
      <c r="L50"/>
      <c r="M50" s="314">
        <f t="shared" ref="M50:M56" si="26">SUM(N50:DJ50)</f>
        <v>0</v>
      </c>
      <c r="N50" s="310"/>
      <c r="O50" s="315"/>
      <c r="P50" s="315"/>
      <c r="Q50" s="315"/>
      <c r="R50" s="31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row>
    <row r="51" spans="1:113" x14ac:dyDescent="0.25">
      <c r="A51" s="152">
        <v>4</v>
      </c>
      <c r="B51" s="79" t="s">
        <v>158</v>
      </c>
      <c r="C51" s="80">
        <v>5000</v>
      </c>
      <c r="D51" s="142">
        <v>764.96</v>
      </c>
      <c r="E51" s="43">
        <v>0</v>
      </c>
      <c r="F51" s="43"/>
      <c r="G51" s="139">
        <f t="shared" si="21"/>
        <v>0</v>
      </c>
      <c r="H51" s="55">
        <f>113-113</f>
        <v>0</v>
      </c>
      <c r="I51" s="56">
        <f t="shared" si="22"/>
        <v>0</v>
      </c>
      <c r="J51" s="56">
        <f t="shared" si="23"/>
        <v>0</v>
      </c>
      <c r="K51" s="57">
        <f t="shared" si="24"/>
        <v>0</v>
      </c>
      <c r="L51"/>
      <c r="M51" s="314">
        <f t="shared" si="26"/>
        <v>0</v>
      </c>
      <c r="N51" s="310"/>
      <c r="O51" s="315"/>
      <c r="P51" s="315"/>
      <c r="Q51" s="315"/>
      <c r="R51" s="31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row>
    <row r="52" spans="1:113" ht="15.75" thickBot="1" x14ac:dyDescent="0.3">
      <c r="A52" s="153">
        <v>5</v>
      </c>
      <c r="B52" s="144" t="s">
        <v>159</v>
      </c>
      <c r="C52" s="82">
        <v>5000</v>
      </c>
      <c r="D52" s="145">
        <v>764.96</v>
      </c>
      <c r="E52" s="154">
        <v>0</v>
      </c>
      <c r="F52" s="154"/>
      <c r="G52" s="147">
        <f t="shared" si="21"/>
        <v>0</v>
      </c>
      <c r="H52" s="55">
        <f>379-379</f>
        <v>0</v>
      </c>
      <c r="I52" s="64">
        <f t="shared" si="22"/>
        <v>0</v>
      </c>
      <c r="J52" s="64">
        <f t="shared" si="23"/>
        <v>0</v>
      </c>
      <c r="K52" s="65">
        <f t="shared" si="24"/>
        <v>0</v>
      </c>
      <c r="L52"/>
      <c r="M52" s="314">
        <f t="shared" si="26"/>
        <v>0</v>
      </c>
      <c r="N52" s="310"/>
      <c r="O52" s="315"/>
      <c r="P52" s="315"/>
      <c r="Q52" s="315"/>
      <c r="R52" s="31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row>
    <row r="53" spans="1:113" ht="15.75" hidden="1" thickBot="1" x14ac:dyDescent="0.3">
      <c r="B53" s="419"/>
      <c r="C53" s="420"/>
      <c r="D53" s="421"/>
      <c r="E53" s="157"/>
      <c r="F53" s="157"/>
      <c r="G53" s="157"/>
      <c r="H53" s="157"/>
      <c r="I53" s="157"/>
      <c r="J53" s="133"/>
      <c r="K53" s="133"/>
      <c r="L53"/>
      <c r="M53" s="314">
        <f t="shared" si="26"/>
        <v>0</v>
      </c>
      <c r="N53" s="310"/>
      <c r="O53" s="315"/>
      <c r="P53" s="315"/>
      <c r="Q53" s="315"/>
      <c r="R53" s="315"/>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row>
    <row r="54" spans="1:113" ht="15.75" hidden="1" thickBot="1" x14ac:dyDescent="0.3">
      <c r="B54" s="419"/>
      <c r="C54" s="420"/>
      <c r="D54" s="421"/>
      <c r="E54" s="158"/>
      <c r="F54" s="158"/>
      <c r="G54" s="158"/>
      <c r="H54" s="158"/>
      <c r="I54" s="158"/>
      <c r="J54" s="32"/>
      <c r="K54" s="32"/>
      <c r="L54"/>
      <c r="M54" s="314">
        <f t="shared" si="26"/>
        <v>0</v>
      </c>
      <c r="N54" s="310"/>
      <c r="O54" s="315"/>
      <c r="P54" s="315"/>
      <c r="Q54" s="315"/>
      <c r="R54" s="31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row>
    <row r="55" spans="1:113" ht="15.75" hidden="1" thickBot="1" x14ac:dyDescent="0.3">
      <c r="B55" s="419"/>
      <c r="C55" s="131"/>
      <c r="D55" s="132"/>
      <c r="E55" s="159"/>
      <c r="F55" s="159"/>
      <c r="G55" s="159"/>
      <c r="H55" s="159"/>
      <c r="I55" s="159"/>
      <c r="J55" s="130"/>
      <c r="K55" s="130"/>
      <c r="L55"/>
      <c r="M55" s="314">
        <f t="shared" si="26"/>
        <v>0</v>
      </c>
      <c r="N55" s="310"/>
      <c r="O55" s="315"/>
      <c r="P55" s="315"/>
      <c r="Q55" s="315"/>
      <c r="R55" s="315"/>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row>
    <row r="56" spans="1:113" ht="15.75" thickBot="1" x14ac:dyDescent="0.3">
      <c r="A56" s="128"/>
      <c r="B56" s="119" t="s">
        <v>699</v>
      </c>
      <c r="C56" s="36"/>
      <c r="D56" s="36"/>
      <c r="E56" s="29">
        <f>SUM(E48:E52)</f>
        <v>0</v>
      </c>
      <c r="F56" s="29"/>
      <c r="G56" s="29">
        <f>SUM(G48:G52)</f>
        <v>0</v>
      </c>
      <c r="H56" s="29">
        <f>SUM(H48:H52)</f>
        <v>0</v>
      </c>
      <c r="I56" s="29">
        <f>SUM(I48:I52)</f>
        <v>0</v>
      </c>
      <c r="J56" s="29">
        <f>SUM(J48:J52)</f>
        <v>0</v>
      </c>
      <c r="K56" s="149">
        <f>SUM(K48:K52)</f>
        <v>0</v>
      </c>
      <c r="L56"/>
      <c r="M56" s="322">
        <f t="shared" si="26"/>
        <v>0</v>
      </c>
      <c r="N56" s="325"/>
      <c r="O56" s="325"/>
      <c r="P56" s="325"/>
      <c r="Q56" s="325"/>
      <c r="R56" s="325"/>
      <c r="S56" s="324"/>
      <c r="T56" s="324"/>
      <c r="U56" s="324"/>
      <c r="V56" s="324"/>
      <c r="W56" s="324"/>
      <c r="X56" s="324"/>
      <c r="Y56" s="324"/>
      <c r="Z56" s="324"/>
      <c r="AA56" s="324"/>
      <c r="AB56" s="324"/>
      <c r="AC56" s="324"/>
      <c r="AD56" s="324"/>
      <c r="AE56" s="324"/>
      <c r="AF56" s="324"/>
      <c r="AG56" s="324"/>
      <c r="AH56" s="324"/>
      <c r="AI56" s="324"/>
      <c r="AJ56" s="324"/>
      <c r="AK56" s="324"/>
      <c r="AL56" s="324"/>
      <c r="AM56" s="324"/>
      <c r="AN56" s="324"/>
      <c r="AO56" s="324"/>
      <c r="AP56" s="324"/>
      <c r="AQ56" s="324"/>
      <c r="AR56" s="324"/>
      <c r="AS56" s="324"/>
      <c r="AT56" s="324"/>
      <c r="AU56" s="324"/>
      <c r="AV56" s="324"/>
      <c r="AW56" s="324"/>
      <c r="AX56" s="324"/>
      <c r="AY56" s="324"/>
      <c r="AZ56" s="324"/>
      <c r="BA56" s="324"/>
      <c r="BB56" s="324"/>
      <c r="BC56" s="324"/>
      <c r="BD56" s="324"/>
      <c r="BE56" s="324"/>
      <c r="BF56" s="324"/>
      <c r="BG56" s="324"/>
      <c r="BH56" s="324"/>
      <c r="BI56" s="324"/>
      <c r="BJ56" s="324"/>
      <c r="BK56" s="324"/>
      <c r="BL56" s="324"/>
      <c r="BM56" s="324"/>
      <c r="BN56" s="324"/>
      <c r="BO56" s="324"/>
      <c r="BP56" s="324"/>
      <c r="BQ56" s="324"/>
      <c r="BR56" s="324"/>
      <c r="BS56" s="324"/>
      <c r="BT56" s="324"/>
      <c r="BU56" s="324"/>
      <c r="BV56" s="324"/>
      <c r="BW56" s="324"/>
      <c r="BX56" s="324"/>
      <c r="BY56" s="324"/>
      <c r="BZ56" s="324"/>
      <c r="CA56" s="324"/>
      <c r="CB56" s="324"/>
      <c r="CC56" s="324"/>
      <c r="CD56" s="324"/>
      <c r="CE56" s="324"/>
      <c r="CF56" s="324"/>
      <c r="CG56" s="324"/>
      <c r="CH56" s="324"/>
      <c r="CI56" s="324"/>
      <c r="CJ56" s="324"/>
      <c r="CK56" s="324"/>
      <c r="CL56" s="324"/>
      <c r="CM56" s="324"/>
      <c r="CN56" s="324"/>
      <c r="CO56" s="324"/>
      <c r="CP56" s="324"/>
      <c r="CQ56" s="324"/>
      <c r="CR56" s="324"/>
      <c r="CS56" s="324"/>
      <c r="CT56" s="324"/>
      <c r="CU56" s="324"/>
      <c r="CV56" s="324"/>
      <c r="CW56" s="324"/>
      <c r="CX56" s="324"/>
      <c r="CY56" s="324"/>
      <c r="CZ56" s="324"/>
      <c r="DA56" s="324"/>
      <c r="DB56" s="324"/>
      <c r="DC56" s="324"/>
      <c r="DD56" s="324"/>
      <c r="DE56" s="324"/>
      <c r="DF56" s="324"/>
      <c r="DG56" s="324"/>
      <c r="DH56" s="324"/>
      <c r="DI56" s="324"/>
    </row>
    <row r="57" spans="1:113" customFormat="1" ht="15.75" thickBot="1" x14ac:dyDescent="0.3"/>
    <row r="58" spans="1:113" ht="15.75" thickBot="1" x14ac:dyDescent="0.3">
      <c r="A58" s="407" t="s">
        <v>657</v>
      </c>
      <c r="B58" s="414" t="s">
        <v>0</v>
      </c>
      <c r="C58" s="414" t="s">
        <v>1</v>
      </c>
      <c r="D58" s="415" t="s">
        <v>649</v>
      </c>
      <c r="E58" s="416" t="s">
        <v>19</v>
      </c>
      <c r="F58" s="416"/>
      <c r="G58" s="416"/>
      <c r="H58" s="416"/>
      <c r="I58" s="416"/>
      <c r="J58" s="410" t="s">
        <v>21</v>
      </c>
      <c r="K58" s="417" t="s">
        <v>602</v>
      </c>
      <c r="L58"/>
      <c r="M58" s="403" t="s">
        <v>601</v>
      </c>
      <c r="N58" s="403" t="s">
        <v>924</v>
      </c>
      <c r="O58" s="403"/>
      <c r="P58" s="403"/>
      <c r="Q58" s="403"/>
      <c r="R58" s="403"/>
      <c r="S58" s="403"/>
      <c r="T58" s="403"/>
      <c r="U58" s="403"/>
      <c r="V58" s="403"/>
      <c r="W58" s="403"/>
      <c r="X58" s="403"/>
      <c r="Y58" s="403"/>
      <c r="Z58" s="403"/>
      <c r="AA58" s="403"/>
      <c r="AB58" s="403"/>
      <c r="AC58" s="403"/>
      <c r="AD58" s="403"/>
      <c r="AE58" s="403"/>
      <c r="AF58" s="403"/>
      <c r="AG58" s="403"/>
      <c r="AH58" s="403"/>
      <c r="AI58" s="403"/>
      <c r="AJ58" s="403"/>
      <c r="AK58" s="403"/>
      <c r="AL58" s="403"/>
      <c r="AM58" s="403"/>
      <c r="AN58" s="403"/>
      <c r="AO58" s="403"/>
      <c r="AP58" s="403"/>
      <c r="AQ58" s="403"/>
      <c r="AR58" s="403"/>
      <c r="AS58" s="403"/>
      <c r="AT58" s="403"/>
      <c r="AU58" s="403"/>
      <c r="AV58" s="403"/>
      <c r="AW58" s="403"/>
      <c r="AX58" s="403"/>
      <c r="AY58" s="403"/>
      <c r="AZ58" s="403"/>
      <c r="BA58" s="403"/>
      <c r="BB58" s="403"/>
      <c r="BC58" s="403"/>
      <c r="BD58" s="403"/>
      <c r="BE58" s="403"/>
      <c r="BF58" s="403"/>
      <c r="BG58" s="403"/>
      <c r="BH58" s="403"/>
      <c r="BI58" s="403"/>
      <c r="BJ58" s="403"/>
      <c r="BK58" s="403"/>
      <c r="BL58" s="403"/>
      <c r="BM58" s="403"/>
      <c r="BN58" s="403"/>
      <c r="BO58" s="403"/>
      <c r="BP58" s="403"/>
      <c r="BQ58" s="403"/>
      <c r="BR58" s="403"/>
      <c r="BS58" s="403"/>
      <c r="BT58" s="403"/>
      <c r="BU58" s="403"/>
      <c r="BV58" s="403"/>
      <c r="BW58" s="403"/>
      <c r="BX58" s="403"/>
      <c r="BY58" s="403"/>
      <c r="BZ58" s="403"/>
      <c r="CA58" s="403"/>
      <c r="CB58" s="403"/>
      <c r="CC58" s="403"/>
      <c r="CD58" s="403"/>
      <c r="CE58" s="403"/>
      <c r="CF58" s="403"/>
      <c r="CG58" s="403"/>
      <c r="CH58" s="403"/>
      <c r="CI58" s="403"/>
      <c r="CJ58" s="403"/>
      <c r="CK58" s="403"/>
      <c r="CL58" s="403"/>
      <c r="CM58" s="403"/>
      <c r="CN58" s="403"/>
      <c r="CO58" s="403"/>
      <c r="CP58" s="403"/>
      <c r="CQ58" s="403"/>
      <c r="CR58" s="403"/>
      <c r="CS58" s="403"/>
      <c r="CT58" s="403"/>
      <c r="CU58" s="403"/>
      <c r="CV58" s="403"/>
      <c r="CW58" s="403"/>
      <c r="CX58" s="403"/>
      <c r="CY58" s="403"/>
      <c r="CZ58" s="403"/>
      <c r="DA58" s="403"/>
      <c r="DB58" s="403"/>
      <c r="DC58" s="403"/>
      <c r="DD58" s="403"/>
      <c r="DE58" s="403"/>
      <c r="DF58" s="403"/>
      <c r="DG58" s="403"/>
      <c r="DH58" s="403"/>
      <c r="DI58" s="403"/>
    </row>
    <row r="59" spans="1:113" ht="15.75" thickBot="1" x14ac:dyDescent="0.3">
      <c r="A59" s="408"/>
      <c r="B59" s="414"/>
      <c r="C59" s="414"/>
      <c r="D59" s="415"/>
      <c r="E59" s="68" t="s">
        <v>22</v>
      </c>
      <c r="F59" s="68" t="s">
        <v>600</v>
      </c>
      <c r="G59" s="68" t="s">
        <v>601</v>
      </c>
      <c r="H59" s="68" t="s">
        <v>589</v>
      </c>
      <c r="I59" s="68" t="s">
        <v>601</v>
      </c>
      <c r="J59" s="411"/>
      <c r="K59" s="418"/>
      <c r="L59"/>
      <c r="M59" s="403"/>
      <c r="N59" s="400" t="s">
        <v>925</v>
      </c>
      <c r="O59" s="400" t="s">
        <v>926</v>
      </c>
      <c r="P59" s="400"/>
      <c r="Q59" s="400"/>
      <c r="R59" s="400"/>
      <c r="S59" s="398"/>
      <c r="T59" s="398"/>
      <c r="U59" s="398"/>
      <c r="V59" s="398"/>
      <c r="W59" s="398"/>
      <c r="X59" s="398"/>
      <c r="Y59" s="398"/>
      <c r="Z59" s="398"/>
      <c r="AA59" s="398"/>
      <c r="AB59" s="398"/>
      <c r="AC59" s="398"/>
      <c r="AD59" s="398"/>
      <c r="AE59" s="398"/>
      <c r="AF59" s="398"/>
      <c r="AG59" s="398"/>
      <c r="AH59" s="398"/>
      <c r="AI59" s="398"/>
      <c r="AJ59" s="398"/>
      <c r="AK59" s="398"/>
      <c r="AL59" s="398"/>
      <c r="AM59" s="398"/>
      <c r="AN59" s="398"/>
      <c r="AO59" s="398"/>
      <c r="AP59" s="398"/>
      <c r="AQ59" s="398"/>
      <c r="AR59" s="398"/>
      <c r="AS59" s="398"/>
      <c r="AT59" s="398"/>
      <c r="AU59" s="398"/>
      <c r="AV59" s="398"/>
      <c r="AW59" s="398"/>
      <c r="AX59" s="398"/>
      <c r="AY59" s="398"/>
      <c r="AZ59" s="398"/>
      <c r="BA59" s="398"/>
      <c r="BB59" s="398"/>
      <c r="BC59" s="398"/>
      <c r="BD59" s="398"/>
      <c r="BE59" s="398"/>
      <c r="BF59" s="398"/>
      <c r="BG59" s="398"/>
      <c r="BH59" s="398"/>
      <c r="BI59" s="398"/>
      <c r="BJ59" s="398"/>
      <c r="BK59" s="398"/>
      <c r="BL59" s="398"/>
      <c r="BM59" s="398"/>
      <c r="BN59" s="398"/>
      <c r="BO59" s="398"/>
      <c r="BP59" s="398"/>
      <c r="BQ59" s="398"/>
      <c r="BR59" s="398"/>
      <c r="BS59" s="398"/>
      <c r="BT59" s="398"/>
      <c r="BU59" s="398"/>
      <c r="BV59" s="398"/>
      <c r="BW59" s="398"/>
      <c r="BX59" s="398"/>
      <c r="BY59" s="398"/>
      <c r="BZ59" s="398"/>
      <c r="CA59" s="398"/>
      <c r="CB59" s="398"/>
      <c r="CC59" s="398"/>
      <c r="CD59" s="398"/>
      <c r="CE59" s="398"/>
      <c r="CF59" s="398"/>
      <c r="CG59" s="398"/>
      <c r="CH59" s="398"/>
      <c r="CI59" s="398"/>
      <c r="CJ59" s="398"/>
      <c r="CK59" s="398"/>
      <c r="CL59" s="398"/>
      <c r="CM59" s="398"/>
      <c r="CN59" s="398"/>
      <c r="CO59" s="398"/>
      <c r="CP59" s="398"/>
      <c r="CQ59" s="398"/>
      <c r="CR59" s="398"/>
      <c r="CS59" s="398"/>
      <c r="CT59" s="398"/>
      <c r="CU59" s="398"/>
      <c r="CV59" s="398"/>
      <c r="CW59" s="398"/>
      <c r="CX59" s="398"/>
      <c r="CY59" s="398"/>
      <c r="CZ59" s="398"/>
      <c r="DA59" s="398"/>
      <c r="DB59" s="398"/>
      <c r="DC59" s="398"/>
      <c r="DD59" s="398"/>
      <c r="DE59" s="398"/>
      <c r="DF59" s="398"/>
      <c r="DG59" s="398"/>
      <c r="DH59" s="398"/>
      <c r="DI59" s="398"/>
    </row>
    <row r="60" spans="1:113" ht="15.75" thickBot="1" x14ac:dyDescent="0.3">
      <c r="A60" s="409"/>
      <c r="B60" s="124">
        <v>1</v>
      </c>
      <c r="C60" s="124">
        <v>2</v>
      </c>
      <c r="D60" s="124">
        <v>3</v>
      </c>
      <c r="E60" s="70">
        <v>4</v>
      </c>
      <c r="F60" s="70">
        <f>+E60+1</f>
        <v>5</v>
      </c>
      <c r="G60" s="70" t="s">
        <v>652</v>
      </c>
      <c r="H60" s="70">
        <v>7</v>
      </c>
      <c r="I60" s="71" t="s">
        <v>651</v>
      </c>
      <c r="J60" s="42" t="s">
        <v>650</v>
      </c>
      <c r="K60" s="42" t="s">
        <v>653</v>
      </c>
      <c r="L60"/>
      <c r="M60" s="403"/>
      <c r="N60" s="402"/>
      <c r="O60" s="402"/>
      <c r="P60" s="402"/>
      <c r="Q60" s="402"/>
      <c r="R60" s="402"/>
      <c r="S60" s="399"/>
      <c r="T60" s="399"/>
      <c r="U60" s="399"/>
      <c r="V60" s="399"/>
      <c r="W60" s="399"/>
      <c r="X60" s="399"/>
      <c r="Y60" s="399"/>
      <c r="Z60" s="399"/>
      <c r="AA60" s="399"/>
      <c r="AB60" s="399"/>
      <c r="AC60" s="399"/>
      <c r="AD60" s="399"/>
      <c r="AE60" s="399"/>
      <c r="AF60" s="399"/>
      <c r="AG60" s="399"/>
      <c r="AH60" s="399"/>
      <c r="AI60" s="399"/>
      <c r="AJ60" s="399"/>
      <c r="AK60" s="399"/>
      <c r="AL60" s="399"/>
      <c r="AM60" s="399"/>
      <c r="AN60" s="399"/>
      <c r="AO60" s="399"/>
      <c r="AP60" s="399"/>
      <c r="AQ60" s="399"/>
      <c r="AR60" s="399"/>
      <c r="AS60" s="399"/>
      <c r="AT60" s="399"/>
      <c r="AU60" s="399"/>
      <c r="AV60" s="399"/>
      <c r="AW60" s="399"/>
      <c r="AX60" s="399"/>
      <c r="AY60" s="399"/>
      <c r="AZ60" s="399"/>
      <c r="BA60" s="399"/>
      <c r="BB60" s="399"/>
      <c r="BC60" s="399"/>
      <c r="BD60" s="399"/>
      <c r="BE60" s="399"/>
      <c r="BF60" s="399"/>
      <c r="BG60" s="399"/>
      <c r="BH60" s="399"/>
      <c r="BI60" s="399"/>
      <c r="BJ60" s="399"/>
      <c r="BK60" s="399"/>
      <c r="BL60" s="399"/>
      <c r="BM60" s="399"/>
      <c r="BN60" s="399"/>
      <c r="BO60" s="399"/>
      <c r="BP60" s="399"/>
      <c r="BQ60" s="399"/>
      <c r="BR60" s="399"/>
      <c r="BS60" s="399"/>
      <c r="BT60" s="399"/>
      <c r="BU60" s="399"/>
      <c r="BV60" s="399"/>
      <c r="BW60" s="399"/>
      <c r="BX60" s="399"/>
      <c r="BY60" s="399"/>
      <c r="BZ60" s="399"/>
      <c r="CA60" s="399"/>
      <c r="CB60" s="399"/>
      <c r="CC60" s="399"/>
      <c r="CD60" s="399"/>
      <c r="CE60" s="399"/>
      <c r="CF60" s="399"/>
      <c r="CG60" s="399"/>
      <c r="CH60" s="399"/>
      <c r="CI60" s="399"/>
      <c r="CJ60" s="399"/>
      <c r="CK60" s="399"/>
      <c r="CL60" s="399"/>
      <c r="CM60" s="399"/>
      <c r="CN60" s="399"/>
      <c r="CO60" s="399"/>
      <c r="CP60" s="399"/>
      <c r="CQ60" s="399"/>
      <c r="CR60" s="399"/>
      <c r="CS60" s="399"/>
      <c r="CT60" s="399"/>
      <c r="CU60" s="399"/>
      <c r="CV60" s="399"/>
      <c r="CW60" s="399"/>
      <c r="CX60" s="399"/>
      <c r="CY60" s="399"/>
      <c r="CZ60" s="399"/>
      <c r="DA60" s="399"/>
      <c r="DB60" s="399"/>
      <c r="DC60" s="399"/>
      <c r="DD60" s="399"/>
      <c r="DE60" s="399"/>
      <c r="DF60" s="399"/>
      <c r="DG60" s="399"/>
      <c r="DH60" s="399"/>
      <c r="DI60" s="399"/>
    </row>
    <row r="61" spans="1:113" x14ac:dyDescent="0.25">
      <c r="A61" s="160"/>
      <c r="B61" s="72" t="s">
        <v>700</v>
      </c>
      <c r="C61" s="54"/>
      <c r="D61" s="54"/>
      <c r="E61" s="54"/>
      <c r="F61" s="54"/>
      <c r="G61" s="54"/>
      <c r="H61" s="54"/>
      <c r="I61" s="54"/>
      <c r="J61" s="54"/>
      <c r="K61" s="54"/>
      <c r="L61"/>
      <c r="M61" s="320">
        <f>SUM(N61:DJ61)</f>
        <v>0</v>
      </c>
      <c r="N61" s="311"/>
      <c r="O61" s="319"/>
      <c r="P61" s="319"/>
      <c r="Q61" s="319"/>
      <c r="R61" s="319"/>
      <c r="S61" s="317"/>
      <c r="T61" s="317"/>
      <c r="U61" s="317"/>
      <c r="V61" s="317"/>
      <c r="W61" s="317"/>
      <c r="X61" s="317"/>
      <c r="Y61" s="317"/>
      <c r="Z61" s="317"/>
      <c r="AA61" s="317"/>
      <c r="AB61" s="317"/>
      <c r="AC61" s="317"/>
      <c r="AD61" s="317"/>
      <c r="AE61" s="317"/>
      <c r="AF61" s="317"/>
      <c r="AG61" s="317"/>
      <c r="AH61" s="317"/>
      <c r="AI61" s="317"/>
      <c r="AJ61" s="317"/>
      <c r="AK61" s="317"/>
      <c r="AL61" s="317"/>
      <c r="AM61" s="317"/>
      <c r="AN61" s="317"/>
      <c r="AO61" s="317"/>
      <c r="AP61" s="317"/>
      <c r="AQ61" s="317"/>
      <c r="AR61" s="317"/>
      <c r="AS61" s="317"/>
      <c r="AT61" s="317"/>
      <c r="AU61" s="317"/>
      <c r="AV61" s="317"/>
      <c r="AW61" s="317"/>
      <c r="AX61" s="317"/>
      <c r="AY61" s="317"/>
      <c r="AZ61" s="317"/>
      <c r="BA61" s="317"/>
      <c r="BB61" s="317"/>
      <c r="BC61" s="317"/>
      <c r="BD61" s="317"/>
      <c r="BE61" s="317"/>
      <c r="BF61" s="317"/>
      <c r="BG61" s="317"/>
      <c r="BH61" s="317"/>
      <c r="BI61" s="317"/>
      <c r="BJ61" s="317"/>
      <c r="BK61" s="317"/>
      <c r="BL61" s="317"/>
      <c r="BM61" s="317"/>
      <c r="BN61" s="317"/>
      <c r="BO61" s="317"/>
      <c r="BP61" s="317"/>
      <c r="BQ61" s="317"/>
      <c r="BR61" s="317"/>
      <c r="BS61" s="317"/>
      <c r="BT61" s="317"/>
      <c r="BU61" s="317"/>
      <c r="BV61" s="317"/>
      <c r="BW61" s="317"/>
      <c r="BX61" s="317"/>
      <c r="BY61" s="317"/>
      <c r="BZ61" s="317"/>
      <c r="CA61" s="317"/>
      <c r="CB61" s="317"/>
      <c r="CC61" s="317"/>
      <c r="CD61" s="317"/>
      <c r="CE61" s="317"/>
      <c r="CF61" s="317"/>
      <c r="CG61" s="317"/>
      <c r="CH61" s="317"/>
      <c r="CI61" s="317"/>
      <c r="CJ61" s="317"/>
      <c r="CK61" s="317"/>
      <c r="CL61" s="317"/>
      <c r="CM61" s="317"/>
      <c r="CN61" s="317"/>
      <c r="CO61" s="317"/>
      <c r="CP61" s="317"/>
      <c r="CQ61" s="317"/>
      <c r="CR61" s="317"/>
      <c r="CS61" s="317"/>
      <c r="CT61" s="317"/>
      <c r="CU61" s="317"/>
      <c r="CV61" s="317"/>
      <c r="CW61" s="317"/>
      <c r="CX61" s="317"/>
      <c r="CY61" s="317"/>
      <c r="CZ61" s="317"/>
      <c r="DA61" s="317"/>
      <c r="DB61" s="317"/>
      <c r="DC61" s="317"/>
      <c r="DD61" s="317"/>
      <c r="DE61" s="317"/>
      <c r="DF61" s="317"/>
      <c r="DG61" s="317"/>
      <c r="DH61" s="317"/>
      <c r="DI61" s="317"/>
    </row>
    <row r="62" spans="1:113" x14ac:dyDescent="0.25">
      <c r="A62" s="152">
        <v>1</v>
      </c>
      <c r="B62" s="79" t="s">
        <v>774</v>
      </c>
      <c r="C62" s="80">
        <v>6000</v>
      </c>
      <c r="D62" s="142">
        <v>1619.38</v>
      </c>
      <c r="E62" s="43">
        <v>27999</v>
      </c>
      <c r="F62" s="60"/>
      <c r="G62" s="139">
        <f t="shared" ref="G62:G66" si="27">+E62+F62</f>
        <v>27999</v>
      </c>
      <c r="H62" s="55">
        <f>5000-5000</f>
        <v>0</v>
      </c>
      <c r="I62" s="56">
        <f t="shared" ref="I62:I66" si="28">+G62-H62</f>
        <v>27999</v>
      </c>
      <c r="J62" s="56">
        <f t="shared" ref="J62:J66" si="29">I62*C62</f>
        <v>167994000</v>
      </c>
      <c r="K62" s="57">
        <f t="shared" ref="K62:K66" si="30">+D62*I62</f>
        <v>45341020.620000005</v>
      </c>
      <c r="L62"/>
      <c r="M62" s="314">
        <f t="shared" ref="M62" si="31">SUM(N62:DJ62)</f>
        <v>0</v>
      </c>
      <c r="N62" s="310"/>
      <c r="O62" s="315"/>
      <c r="P62" s="315"/>
      <c r="Q62" s="315"/>
      <c r="R62" s="31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row>
    <row r="63" spans="1:113" x14ac:dyDescent="0.25">
      <c r="A63" s="152">
        <v>2</v>
      </c>
      <c r="B63" s="79" t="s">
        <v>161</v>
      </c>
      <c r="C63" s="80">
        <v>5000</v>
      </c>
      <c r="D63" s="142">
        <v>872.71</v>
      </c>
      <c r="E63" s="43">
        <v>0</v>
      </c>
      <c r="F63" s="60"/>
      <c r="G63" s="139">
        <f t="shared" si="27"/>
        <v>0</v>
      </c>
      <c r="H63" s="55">
        <f>1129-1129</f>
        <v>0</v>
      </c>
      <c r="I63" s="56">
        <f t="shared" si="28"/>
        <v>0</v>
      </c>
      <c r="J63" s="56">
        <f t="shared" si="29"/>
        <v>0</v>
      </c>
      <c r="K63" s="57">
        <f t="shared" si="30"/>
        <v>0</v>
      </c>
      <c r="L63"/>
      <c r="M63" s="320">
        <f>SUM(N63:DJ63)</f>
        <v>0</v>
      </c>
      <c r="N63" s="311"/>
      <c r="O63" s="319"/>
      <c r="P63" s="319"/>
      <c r="Q63" s="319"/>
      <c r="R63" s="319"/>
      <c r="S63" s="317"/>
      <c r="T63" s="317"/>
      <c r="U63" s="317"/>
      <c r="V63" s="317"/>
      <c r="W63" s="317"/>
      <c r="X63" s="317"/>
      <c r="Y63" s="317"/>
      <c r="Z63" s="317"/>
      <c r="AA63" s="317"/>
      <c r="AB63" s="317"/>
      <c r="AC63" s="317"/>
      <c r="AD63" s="317"/>
      <c r="AE63" s="317"/>
      <c r="AF63" s="317"/>
      <c r="AG63" s="317"/>
      <c r="AH63" s="317"/>
      <c r="AI63" s="317"/>
      <c r="AJ63" s="317"/>
      <c r="AK63" s="317"/>
      <c r="AL63" s="317"/>
      <c r="AM63" s="317"/>
      <c r="AN63" s="317"/>
      <c r="AO63" s="317"/>
      <c r="AP63" s="317"/>
      <c r="AQ63" s="317"/>
      <c r="AR63" s="317"/>
      <c r="AS63" s="317"/>
      <c r="AT63" s="317"/>
      <c r="AU63" s="317"/>
      <c r="AV63" s="317"/>
      <c r="AW63" s="317"/>
      <c r="AX63" s="317"/>
      <c r="AY63" s="317"/>
      <c r="AZ63" s="317"/>
      <c r="BA63" s="317"/>
      <c r="BB63" s="317"/>
      <c r="BC63" s="317"/>
      <c r="BD63" s="317"/>
      <c r="BE63" s="317"/>
      <c r="BF63" s="317"/>
      <c r="BG63" s="317"/>
      <c r="BH63" s="317"/>
      <c r="BI63" s="317"/>
      <c r="BJ63" s="317"/>
      <c r="BK63" s="317"/>
      <c r="BL63" s="317"/>
      <c r="BM63" s="317"/>
      <c r="BN63" s="317"/>
      <c r="BO63" s="317"/>
      <c r="BP63" s="317"/>
      <c r="BQ63" s="317"/>
      <c r="BR63" s="317"/>
      <c r="BS63" s="317"/>
      <c r="BT63" s="317"/>
      <c r="BU63" s="317"/>
      <c r="BV63" s="317"/>
      <c r="BW63" s="317"/>
      <c r="BX63" s="317"/>
      <c r="BY63" s="317"/>
      <c r="BZ63" s="317"/>
      <c r="CA63" s="317"/>
      <c r="CB63" s="317"/>
      <c r="CC63" s="317"/>
      <c r="CD63" s="317"/>
      <c r="CE63" s="317"/>
      <c r="CF63" s="317"/>
      <c r="CG63" s="317"/>
      <c r="CH63" s="317"/>
      <c r="CI63" s="317"/>
      <c r="CJ63" s="317"/>
      <c r="CK63" s="317"/>
      <c r="CL63" s="317"/>
      <c r="CM63" s="317"/>
      <c r="CN63" s="317"/>
      <c r="CO63" s="317"/>
      <c r="CP63" s="317"/>
      <c r="CQ63" s="317"/>
      <c r="CR63" s="317"/>
      <c r="CS63" s="317"/>
      <c r="CT63" s="317"/>
      <c r="CU63" s="317"/>
      <c r="CV63" s="317"/>
      <c r="CW63" s="317"/>
      <c r="CX63" s="317"/>
      <c r="CY63" s="317"/>
      <c r="CZ63" s="317"/>
      <c r="DA63" s="317"/>
      <c r="DB63" s="317"/>
      <c r="DC63" s="317"/>
      <c r="DD63" s="317"/>
      <c r="DE63" s="317"/>
      <c r="DF63" s="317"/>
      <c r="DG63" s="317"/>
      <c r="DH63" s="317"/>
      <c r="DI63" s="317"/>
    </row>
    <row r="64" spans="1:113" x14ac:dyDescent="0.25">
      <c r="A64" s="152">
        <v>3</v>
      </c>
      <c r="B64" s="79" t="s">
        <v>162</v>
      </c>
      <c r="C64" s="80">
        <v>5000</v>
      </c>
      <c r="D64" s="142">
        <v>636.86</v>
      </c>
      <c r="E64" s="43">
        <v>0</v>
      </c>
      <c r="F64" s="60"/>
      <c r="G64" s="139">
        <f t="shared" si="27"/>
        <v>0</v>
      </c>
      <c r="H64" s="55">
        <f>4230-4230</f>
        <v>0</v>
      </c>
      <c r="I64" s="56">
        <f t="shared" si="28"/>
        <v>0</v>
      </c>
      <c r="J64" s="56">
        <f t="shared" si="29"/>
        <v>0</v>
      </c>
      <c r="K64" s="57">
        <f t="shared" si="30"/>
        <v>0</v>
      </c>
      <c r="L64"/>
      <c r="M64" s="314">
        <f t="shared" ref="M64:M65" si="32">SUM(N64:DJ64)</f>
        <v>0</v>
      </c>
      <c r="N64" s="310"/>
      <c r="O64" s="315"/>
      <c r="P64" s="315"/>
      <c r="Q64" s="315"/>
      <c r="R64" s="31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55"/>
      <c r="CZ64" s="55"/>
      <c r="DA64" s="55"/>
      <c r="DB64" s="55"/>
      <c r="DC64" s="55"/>
      <c r="DD64" s="55"/>
      <c r="DE64" s="55"/>
      <c r="DF64" s="55"/>
      <c r="DG64" s="55"/>
      <c r="DH64" s="55"/>
      <c r="DI64" s="55"/>
    </row>
    <row r="65" spans="1:113" x14ac:dyDescent="0.25">
      <c r="A65" s="152">
        <v>4</v>
      </c>
      <c r="B65" s="79" t="s">
        <v>158</v>
      </c>
      <c r="C65" s="80">
        <v>5000</v>
      </c>
      <c r="D65" s="142">
        <v>636</v>
      </c>
      <c r="E65" s="43">
        <v>0</v>
      </c>
      <c r="F65" s="60"/>
      <c r="G65" s="139">
        <f t="shared" si="27"/>
        <v>0</v>
      </c>
      <c r="H65" s="55">
        <f>2017-2017</f>
        <v>0</v>
      </c>
      <c r="I65" s="56">
        <f t="shared" si="28"/>
        <v>0</v>
      </c>
      <c r="J65" s="56">
        <f t="shared" si="29"/>
        <v>0</v>
      </c>
      <c r="K65" s="57">
        <f t="shared" si="30"/>
        <v>0</v>
      </c>
      <c r="L65"/>
      <c r="M65" s="314">
        <f t="shared" si="32"/>
        <v>0</v>
      </c>
      <c r="N65" s="310"/>
      <c r="O65" s="315"/>
      <c r="P65" s="315"/>
      <c r="Q65" s="315"/>
      <c r="R65" s="31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BX65" s="55"/>
      <c r="BY65" s="55"/>
      <c r="BZ65" s="55"/>
      <c r="CA65" s="55"/>
      <c r="CB65" s="55"/>
      <c r="CC65" s="55"/>
      <c r="CD65" s="55"/>
      <c r="CE65" s="55"/>
      <c r="CF65" s="55"/>
      <c r="CG65" s="55"/>
      <c r="CH65" s="55"/>
      <c r="CI65" s="55"/>
      <c r="CJ65" s="55"/>
      <c r="CK65" s="55"/>
      <c r="CL65" s="55"/>
      <c r="CM65" s="55"/>
      <c r="CN65" s="55"/>
      <c r="CO65" s="55"/>
      <c r="CP65" s="55"/>
      <c r="CQ65" s="55"/>
      <c r="CR65" s="55"/>
      <c r="CS65" s="55"/>
      <c r="CT65" s="55"/>
      <c r="CU65" s="55"/>
      <c r="CV65" s="55"/>
      <c r="CW65" s="55"/>
      <c r="CX65" s="55"/>
      <c r="CY65" s="55"/>
      <c r="CZ65" s="55"/>
      <c r="DA65" s="55"/>
      <c r="DB65" s="55"/>
      <c r="DC65" s="55"/>
      <c r="DD65" s="55"/>
      <c r="DE65" s="55"/>
      <c r="DF65" s="55"/>
      <c r="DG65" s="55"/>
      <c r="DH65" s="55"/>
      <c r="DI65" s="55"/>
    </row>
    <row r="66" spans="1:113" ht="15.75" thickBot="1" x14ac:dyDescent="0.3">
      <c r="A66" s="153">
        <v>5</v>
      </c>
      <c r="B66" s="144" t="s">
        <v>163</v>
      </c>
      <c r="C66" s="82">
        <v>5000</v>
      </c>
      <c r="D66" s="145">
        <v>677.89</v>
      </c>
      <c r="E66" s="154">
        <v>0</v>
      </c>
      <c r="F66" s="156"/>
      <c r="G66" s="147">
        <f t="shared" si="27"/>
        <v>0</v>
      </c>
      <c r="H66" s="55">
        <f>1867-1867</f>
        <v>0</v>
      </c>
      <c r="I66" s="64">
        <f t="shared" si="28"/>
        <v>0</v>
      </c>
      <c r="J66" s="64">
        <f t="shared" si="29"/>
        <v>0</v>
      </c>
      <c r="K66" s="65">
        <f t="shared" si="30"/>
        <v>0</v>
      </c>
      <c r="L66"/>
      <c r="M66" s="320">
        <f>SUM(N66:DJ66)</f>
        <v>0</v>
      </c>
      <c r="N66" s="311"/>
      <c r="O66" s="319"/>
      <c r="P66" s="319"/>
      <c r="Q66" s="319"/>
      <c r="R66" s="319"/>
      <c r="S66" s="317"/>
      <c r="T66" s="317"/>
      <c r="U66" s="317"/>
      <c r="V66" s="317"/>
      <c r="W66" s="317"/>
      <c r="X66" s="317"/>
      <c r="Y66" s="317"/>
      <c r="Z66" s="317"/>
      <c r="AA66" s="317"/>
      <c r="AB66" s="317"/>
      <c r="AC66" s="317"/>
      <c r="AD66" s="317"/>
      <c r="AE66" s="317"/>
      <c r="AF66" s="317"/>
      <c r="AG66" s="317"/>
      <c r="AH66" s="317"/>
      <c r="AI66" s="317"/>
      <c r="AJ66" s="317"/>
      <c r="AK66" s="317"/>
      <c r="AL66" s="317"/>
      <c r="AM66" s="317"/>
      <c r="AN66" s="317"/>
      <c r="AO66" s="317"/>
      <c r="AP66" s="317"/>
      <c r="AQ66" s="317"/>
      <c r="AR66" s="317"/>
      <c r="AS66" s="317"/>
      <c r="AT66" s="317"/>
      <c r="AU66" s="317"/>
      <c r="AV66" s="317"/>
      <c r="AW66" s="317"/>
      <c r="AX66" s="317"/>
      <c r="AY66" s="317"/>
      <c r="AZ66" s="317"/>
      <c r="BA66" s="317"/>
      <c r="BB66" s="317"/>
      <c r="BC66" s="317"/>
      <c r="BD66" s="317"/>
      <c r="BE66" s="317"/>
      <c r="BF66" s="317"/>
      <c r="BG66" s="317"/>
      <c r="BH66" s="317"/>
      <c r="BI66" s="317"/>
      <c r="BJ66" s="317"/>
      <c r="BK66" s="317"/>
      <c r="BL66" s="317"/>
      <c r="BM66" s="317"/>
      <c r="BN66" s="317"/>
      <c r="BO66" s="317"/>
      <c r="BP66" s="317"/>
      <c r="BQ66" s="317"/>
      <c r="BR66" s="317"/>
      <c r="BS66" s="317"/>
      <c r="BT66" s="317"/>
      <c r="BU66" s="317"/>
      <c r="BV66" s="317"/>
      <c r="BW66" s="317"/>
      <c r="BX66" s="317"/>
      <c r="BY66" s="317"/>
      <c r="BZ66" s="317"/>
      <c r="CA66" s="317"/>
      <c r="CB66" s="317"/>
      <c r="CC66" s="317"/>
      <c r="CD66" s="317"/>
      <c r="CE66" s="317"/>
      <c r="CF66" s="317"/>
      <c r="CG66" s="317"/>
      <c r="CH66" s="317"/>
      <c r="CI66" s="317"/>
      <c r="CJ66" s="317"/>
      <c r="CK66" s="317"/>
      <c r="CL66" s="317"/>
      <c r="CM66" s="317"/>
      <c r="CN66" s="317"/>
      <c r="CO66" s="317"/>
      <c r="CP66" s="317"/>
      <c r="CQ66" s="317"/>
      <c r="CR66" s="317"/>
      <c r="CS66" s="317"/>
      <c r="CT66" s="317"/>
      <c r="CU66" s="317"/>
      <c r="CV66" s="317"/>
      <c r="CW66" s="317"/>
      <c r="CX66" s="317"/>
      <c r="CY66" s="317"/>
      <c r="CZ66" s="317"/>
      <c r="DA66" s="317"/>
      <c r="DB66" s="317"/>
      <c r="DC66" s="317"/>
      <c r="DD66" s="317"/>
      <c r="DE66" s="317"/>
      <c r="DF66" s="317"/>
      <c r="DG66" s="317"/>
      <c r="DH66" s="317"/>
      <c r="DI66" s="317"/>
    </row>
    <row r="67" spans="1:113" ht="15.75" thickBot="1" x14ac:dyDescent="0.3">
      <c r="A67" s="128"/>
      <c r="B67" s="119" t="s">
        <v>701</v>
      </c>
      <c r="C67" s="36"/>
      <c r="D67" s="36"/>
      <c r="E67" s="29">
        <f>SUM(E62:E66)</f>
        <v>27999</v>
      </c>
      <c r="F67" s="36"/>
      <c r="G67" s="29">
        <f>SUM(G62:G66)</f>
        <v>27999</v>
      </c>
      <c r="H67" s="29">
        <f>SUM(H62:H66)</f>
        <v>0</v>
      </c>
      <c r="I67" s="29">
        <f>SUM(I62:I66)</f>
        <v>27999</v>
      </c>
      <c r="J67" s="29">
        <f t="shared" ref="J67:K67" si="33">SUM(J62:J66)</f>
        <v>167994000</v>
      </c>
      <c r="K67" s="47">
        <f t="shared" si="33"/>
        <v>45341020.620000005</v>
      </c>
      <c r="L67"/>
      <c r="M67" s="322">
        <f t="shared" ref="M67" si="34">SUM(N67:DJ67)</f>
        <v>0</v>
      </c>
      <c r="N67" s="325"/>
      <c r="O67" s="325"/>
      <c r="P67" s="325"/>
      <c r="Q67" s="325"/>
      <c r="R67" s="325"/>
      <c r="S67" s="324"/>
      <c r="T67" s="324"/>
      <c r="U67" s="324"/>
      <c r="V67" s="324"/>
      <c r="W67" s="324"/>
      <c r="X67" s="324"/>
      <c r="Y67" s="324"/>
      <c r="Z67" s="324"/>
      <c r="AA67" s="324"/>
      <c r="AB67" s="324"/>
      <c r="AC67" s="324"/>
      <c r="AD67" s="324"/>
      <c r="AE67" s="324"/>
      <c r="AF67" s="324"/>
      <c r="AG67" s="324"/>
      <c r="AH67" s="324"/>
      <c r="AI67" s="324"/>
      <c r="AJ67" s="324"/>
      <c r="AK67" s="324"/>
      <c r="AL67" s="324"/>
      <c r="AM67" s="324"/>
      <c r="AN67" s="324"/>
      <c r="AO67" s="324"/>
      <c r="AP67" s="324"/>
      <c r="AQ67" s="324"/>
      <c r="AR67" s="324"/>
      <c r="AS67" s="324"/>
      <c r="AT67" s="324"/>
      <c r="AU67" s="324"/>
      <c r="AV67" s="324"/>
      <c r="AW67" s="324"/>
      <c r="AX67" s="324"/>
      <c r="AY67" s="324"/>
      <c r="AZ67" s="324"/>
      <c r="BA67" s="324"/>
      <c r="BB67" s="324"/>
      <c r="BC67" s="324"/>
      <c r="BD67" s="324"/>
      <c r="BE67" s="324"/>
      <c r="BF67" s="324"/>
      <c r="BG67" s="324"/>
      <c r="BH67" s="324"/>
      <c r="BI67" s="324"/>
      <c r="BJ67" s="324"/>
      <c r="BK67" s="324"/>
      <c r="BL67" s="324"/>
      <c r="BM67" s="324"/>
      <c r="BN67" s="324"/>
      <c r="BO67" s="324"/>
      <c r="BP67" s="324"/>
      <c r="BQ67" s="324"/>
      <c r="BR67" s="324"/>
      <c r="BS67" s="324"/>
      <c r="BT67" s="324"/>
      <c r="BU67" s="324"/>
      <c r="BV67" s="324"/>
      <c r="BW67" s="324"/>
      <c r="BX67" s="324"/>
      <c r="BY67" s="324"/>
      <c r="BZ67" s="324"/>
      <c r="CA67" s="324"/>
      <c r="CB67" s="324"/>
      <c r="CC67" s="324"/>
      <c r="CD67" s="324"/>
      <c r="CE67" s="324"/>
      <c r="CF67" s="324"/>
      <c r="CG67" s="324"/>
      <c r="CH67" s="324"/>
      <c r="CI67" s="324"/>
      <c r="CJ67" s="324"/>
      <c r="CK67" s="324"/>
      <c r="CL67" s="324"/>
      <c r="CM67" s="324"/>
      <c r="CN67" s="324"/>
      <c r="CO67" s="324"/>
      <c r="CP67" s="324"/>
      <c r="CQ67" s="324"/>
      <c r="CR67" s="324"/>
      <c r="CS67" s="324"/>
      <c r="CT67" s="324"/>
      <c r="CU67" s="324"/>
      <c r="CV67" s="324"/>
      <c r="CW67" s="324"/>
      <c r="CX67" s="324"/>
      <c r="CY67" s="324"/>
      <c r="CZ67" s="324"/>
      <c r="DA67" s="324"/>
      <c r="DB67" s="324"/>
      <c r="DC67" s="324"/>
      <c r="DD67" s="324"/>
      <c r="DE67" s="324"/>
      <c r="DF67" s="324"/>
      <c r="DG67" s="324"/>
      <c r="DH67" s="324"/>
      <c r="DI67" s="324"/>
    </row>
    <row r="68" spans="1:113" customFormat="1" ht="15.75" thickBot="1" x14ac:dyDescent="0.3"/>
    <row r="69" spans="1:113" ht="15.75" thickBot="1" x14ac:dyDescent="0.3">
      <c r="A69" s="407" t="s">
        <v>657</v>
      </c>
      <c r="B69" s="414" t="s">
        <v>0</v>
      </c>
      <c r="C69" s="414" t="s">
        <v>1</v>
      </c>
      <c r="D69" s="415" t="s">
        <v>649</v>
      </c>
      <c r="E69" s="416" t="s">
        <v>19</v>
      </c>
      <c r="F69" s="416"/>
      <c r="G69" s="416"/>
      <c r="H69" s="416"/>
      <c r="I69" s="416"/>
      <c r="J69" s="410" t="s">
        <v>21</v>
      </c>
      <c r="K69" s="417" t="s">
        <v>602</v>
      </c>
      <c r="L69"/>
      <c r="M69" s="403" t="s">
        <v>601</v>
      </c>
      <c r="N69" s="403" t="s">
        <v>924</v>
      </c>
      <c r="O69" s="403"/>
      <c r="P69" s="403"/>
      <c r="Q69" s="403"/>
      <c r="R69" s="403"/>
      <c r="S69" s="403"/>
      <c r="T69" s="403"/>
      <c r="U69" s="403"/>
      <c r="V69" s="403"/>
      <c r="W69" s="403"/>
      <c r="X69" s="403"/>
      <c r="Y69" s="403"/>
      <c r="Z69" s="403"/>
      <c r="AA69" s="403"/>
      <c r="AB69" s="403"/>
      <c r="AC69" s="403"/>
      <c r="AD69" s="403"/>
      <c r="AE69" s="403"/>
      <c r="AF69" s="403"/>
      <c r="AG69" s="403"/>
      <c r="AH69" s="403"/>
      <c r="AI69" s="403"/>
      <c r="AJ69" s="403"/>
      <c r="AK69" s="403"/>
      <c r="AL69" s="403"/>
      <c r="AM69" s="403"/>
      <c r="AN69" s="403"/>
      <c r="AO69" s="403"/>
      <c r="AP69" s="403"/>
      <c r="AQ69" s="403"/>
      <c r="AR69" s="403"/>
      <c r="AS69" s="403"/>
      <c r="AT69" s="403"/>
      <c r="AU69" s="403"/>
      <c r="AV69" s="403"/>
      <c r="AW69" s="403"/>
      <c r="AX69" s="403"/>
      <c r="AY69" s="403"/>
      <c r="AZ69" s="403"/>
      <c r="BA69" s="403"/>
      <c r="BB69" s="403"/>
      <c r="BC69" s="403"/>
      <c r="BD69" s="403"/>
      <c r="BE69" s="403"/>
      <c r="BF69" s="403"/>
      <c r="BG69" s="403"/>
      <c r="BH69" s="403"/>
      <c r="BI69" s="403"/>
      <c r="BJ69" s="403"/>
      <c r="BK69" s="403"/>
      <c r="BL69" s="403"/>
      <c r="BM69" s="403"/>
      <c r="BN69" s="403"/>
      <c r="BO69" s="403"/>
      <c r="BP69" s="403"/>
      <c r="BQ69" s="403"/>
      <c r="BR69" s="403"/>
      <c r="BS69" s="403"/>
      <c r="BT69" s="403"/>
      <c r="BU69" s="403"/>
      <c r="BV69" s="403"/>
      <c r="BW69" s="403"/>
      <c r="BX69" s="403"/>
      <c r="BY69" s="403"/>
      <c r="BZ69" s="403"/>
      <c r="CA69" s="403"/>
      <c r="CB69" s="403"/>
      <c r="CC69" s="403"/>
      <c r="CD69" s="403"/>
      <c r="CE69" s="403"/>
      <c r="CF69" s="403"/>
      <c r="CG69" s="403"/>
      <c r="CH69" s="403"/>
      <c r="CI69" s="403"/>
      <c r="CJ69" s="403"/>
      <c r="CK69" s="403"/>
      <c r="CL69" s="403"/>
      <c r="CM69" s="403"/>
      <c r="CN69" s="403"/>
      <c r="CO69" s="403"/>
      <c r="CP69" s="403"/>
      <c r="CQ69" s="403"/>
      <c r="CR69" s="403"/>
      <c r="CS69" s="403"/>
      <c r="CT69" s="403"/>
      <c r="CU69" s="403"/>
      <c r="CV69" s="403"/>
      <c r="CW69" s="403"/>
      <c r="CX69" s="403"/>
      <c r="CY69" s="403"/>
      <c r="CZ69" s="403"/>
      <c r="DA69" s="403"/>
      <c r="DB69" s="403"/>
      <c r="DC69" s="403"/>
      <c r="DD69" s="403"/>
      <c r="DE69" s="403"/>
      <c r="DF69" s="403"/>
      <c r="DG69" s="403"/>
      <c r="DH69" s="403"/>
      <c r="DI69" s="403"/>
    </row>
    <row r="70" spans="1:113" ht="15.75" thickBot="1" x14ac:dyDescent="0.3">
      <c r="A70" s="408"/>
      <c r="B70" s="414"/>
      <c r="C70" s="414"/>
      <c r="D70" s="415"/>
      <c r="E70" s="68" t="s">
        <v>22</v>
      </c>
      <c r="F70" s="68" t="s">
        <v>600</v>
      </c>
      <c r="G70" s="68" t="s">
        <v>601</v>
      </c>
      <c r="H70" s="68" t="s">
        <v>589</v>
      </c>
      <c r="I70" s="68" t="s">
        <v>601</v>
      </c>
      <c r="J70" s="411"/>
      <c r="K70" s="418"/>
      <c r="L70"/>
      <c r="M70" s="403"/>
      <c r="N70" s="400" t="s">
        <v>925</v>
      </c>
      <c r="O70" s="400" t="s">
        <v>926</v>
      </c>
      <c r="P70" s="400"/>
      <c r="Q70" s="400"/>
      <c r="R70" s="400"/>
      <c r="S70" s="398"/>
      <c r="T70" s="398"/>
      <c r="U70" s="398"/>
      <c r="V70" s="398"/>
      <c r="W70" s="398"/>
      <c r="X70" s="398"/>
      <c r="Y70" s="398"/>
      <c r="Z70" s="398"/>
      <c r="AA70" s="398"/>
      <c r="AB70" s="398"/>
      <c r="AC70" s="398"/>
      <c r="AD70" s="398"/>
      <c r="AE70" s="398"/>
      <c r="AF70" s="398"/>
      <c r="AG70" s="398"/>
      <c r="AH70" s="398"/>
      <c r="AI70" s="398"/>
      <c r="AJ70" s="398"/>
      <c r="AK70" s="398"/>
      <c r="AL70" s="398"/>
      <c r="AM70" s="398"/>
      <c r="AN70" s="398"/>
      <c r="AO70" s="398"/>
      <c r="AP70" s="398"/>
      <c r="AQ70" s="398"/>
      <c r="AR70" s="398"/>
      <c r="AS70" s="398"/>
      <c r="AT70" s="398"/>
      <c r="AU70" s="398"/>
      <c r="AV70" s="398"/>
      <c r="AW70" s="398"/>
      <c r="AX70" s="398"/>
      <c r="AY70" s="398"/>
      <c r="AZ70" s="398"/>
      <c r="BA70" s="398"/>
      <c r="BB70" s="398"/>
      <c r="BC70" s="398"/>
      <c r="BD70" s="398"/>
      <c r="BE70" s="398"/>
      <c r="BF70" s="398"/>
      <c r="BG70" s="398"/>
      <c r="BH70" s="398"/>
      <c r="BI70" s="398"/>
      <c r="BJ70" s="398"/>
      <c r="BK70" s="398"/>
      <c r="BL70" s="398"/>
      <c r="BM70" s="398"/>
      <c r="BN70" s="398"/>
      <c r="BO70" s="398"/>
      <c r="BP70" s="398"/>
      <c r="BQ70" s="398"/>
      <c r="BR70" s="398"/>
      <c r="BS70" s="398"/>
      <c r="BT70" s="398"/>
      <c r="BU70" s="398"/>
      <c r="BV70" s="398"/>
      <c r="BW70" s="398"/>
      <c r="BX70" s="398"/>
      <c r="BY70" s="398"/>
      <c r="BZ70" s="398"/>
      <c r="CA70" s="398"/>
      <c r="CB70" s="398"/>
      <c r="CC70" s="398"/>
      <c r="CD70" s="398"/>
      <c r="CE70" s="398"/>
      <c r="CF70" s="398"/>
      <c r="CG70" s="398"/>
      <c r="CH70" s="398"/>
      <c r="CI70" s="398"/>
      <c r="CJ70" s="398"/>
      <c r="CK70" s="398"/>
      <c r="CL70" s="398"/>
      <c r="CM70" s="398"/>
      <c r="CN70" s="398"/>
      <c r="CO70" s="398"/>
      <c r="CP70" s="398"/>
      <c r="CQ70" s="398"/>
      <c r="CR70" s="398"/>
      <c r="CS70" s="398"/>
      <c r="CT70" s="398"/>
      <c r="CU70" s="398"/>
      <c r="CV70" s="398"/>
      <c r="CW70" s="398"/>
      <c r="CX70" s="398"/>
      <c r="CY70" s="398"/>
      <c r="CZ70" s="398"/>
      <c r="DA70" s="398"/>
      <c r="DB70" s="398"/>
      <c r="DC70" s="398"/>
      <c r="DD70" s="398"/>
      <c r="DE70" s="398"/>
      <c r="DF70" s="398"/>
      <c r="DG70" s="398"/>
      <c r="DH70" s="398"/>
      <c r="DI70" s="398"/>
    </row>
    <row r="71" spans="1:113" ht="15.75" thickBot="1" x14ac:dyDescent="0.3">
      <c r="A71" s="409"/>
      <c r="B71" s="124">
        <v>1</v>
      </c>
      <c r="C71" s="124">
        <v>2</v>
      </c>
      <c r="D71" s="124">
        <v>3</v>
      </c>
      <c r="E71" s="70">
        <v>4</v>
      </c>
      <c r="F71" s="70">
        <f>+E71+1</f>
        <v>5</v>
      </c>
      <c r="G71" s="70" t="s">
        <v>652</v>
      </c>
      <c r="H71" s="70">
        <v>7</v>
      </c>
      <c r="I71" s="71" t="s">
        <v>651</v>
      </c>
      <c r="J71" s="42" t="s">
        <v>650</v>
      </c>
      <c r="K71" s="42" t="s">
        <v>653</v>
      </c>
      <c r="L71"/>
      <c r="M71" s="403"/>
      <c r="N71" s="402"/>
      <c r="O71" s="402"/>
      <c r="P71" s="402"/>
      <c r="Q71" s="402"/>
      <c r="R71" s="402"/>
      <c r="S71" s="399"/>
      <c r="T71" s="399"/>
      <c r="U71" s="399"/>
      <c r="V71" s="399"/>
      <c r="W71" s="399"/>
      <c r="X71" s="399"/>
      <c r="Y71" s="399"/>
      <c r="Z71" s="399"/>
      <c r="AA71" s="399"/>
      <c r="AB71" s="399"/>
      <c r="AC71" s="399"/>
      <c r="AD71" s="399"/>
      <c r="AE71" s="399"/>
      <c r="AF71" s="399"/>
      <c r="AG71" s="399"/>
      <c r="AH71" s="399"/>
      <c r="AI71" s="399"/>
      <c r="AJ71" s="399"/>
      <c r="AK71" s="399"/>
      <c r="AL71" s="399"/>
      <c r="AM71" s="399"/>
      <c r="AN71" s="399"/>
      <c r="AO71" s="399"/>
      <c r="AP71" s="399"/>
      <c r="AQ71" s="399"/>
      <c r="AR71" s="399"/>
      <c r="AS71" s="399"/>
      <c r="AT71" s="399"/>
      <c r="AU71" s="399"/>
      <c r="AV71" s="399"/>
      <c r="AW71" s="399"/>
      <c r="AX71" s="399"/>
      <c r="AY71" s="399"/>
      <c r="AZ71" s="399"/>
      <c r="BA71" s="399"/>
      <c r="BB71" s="399"/>
      <c r="BC71" s="399"/>
      <c r="BD71" s="399"/>
      <c r="BE71" s="399"/>
      <c r="BF71" s="399"/>
      <c r="BG71" s="399"/>
      <c r="BH71" s="399"/>
      <c r="BI71" s="399"/>
      <c r="BJ71" s="399"/>
      <c r="BK71" s="399"/>
      <c r="BL71" s="399"/>
      <c r="BM71" s="399"/>
      <c r="BN71" s="399"/>
      <c r="BO71" s="399"/>
      <c r="BP71" s="399"/>
      <c r="BQ71" s="399"/>
      <c r="BR71" s="399"/>
      <c r="BS71" s="399"/>
      <c r="BT71" s="399"/>
      <c r="BU71" s="399"/>
      <c r="BV71" s="399"/>
      <c r="BW71" s="399"/>
      <c r="BX71" s="399"/>
      <c r="BY71" s="399"/>
      <c r="BZ71" s="399"/>
      <c r="CA71" s="399"/>
      <c r="CB71" s="399"/>
      <c r="CC71" s="399"/>
      <c r="CD71" s="399"/>
      <c r="CE71" s="399"/>
      <c r="CF71" s="399"/>
      <c r="CG71" s="399"/>
      <c r="CH71" s="399"/>
      <c r="CI71" s="399"/>
      <c r="CJ71" s="399"/>
      <c r="CK71" s="399"/>
      <c r="CL71" s="399"/>
      <c r="CM71" s="399"/>
      <c r="CN71" s="399"/>
      <c r="CO71" s="399"/>
      <c r="CP71" s="399"/>
      <c r="CQ71" s="399"/>
      <c r="CR71" s="399"/>
      <c r="CS71" s="399"/>
      <c r="CT71" s="399"/>
      <c r="CU71" s="399"/>
      <c r="CV71" s="399"/>
      <c r="CW71" s="399"/>
      <c r="CX71" s="399"/>
      <c r="CY71" s="399"/>
      <c r="CZ71" s="399"/>
      <c r="DA71" s="399"/>
      <c r="DB71" s="399"/>
      <c r="DC71" s="399"/>
      <c r="DD71" s="399"/>
      <c r="DE71" s="399"/>
      <c r="DF71" s="399"/>
      <c r="DG71" s="399"/>
      <c r="DH71" s="399"/>
      <c r="DI71" s="399"/>
    </row>
    <row r="72" spans="1:113" x14ac:dyDescent="0.25">
      <c r="A72" s="160"/>
      <c r="B72" s="72" t="s">
        <v>703</v>
      </c>
      <c r="C72" s="54"/>
      <c r="D72" s="54"/>
      <c r="E72" s="54"/>
      <c r="F72" s="54"/>
      <c r="G72" s="54"/>
      <c r="H72" s="54"/>
      <c r="I72" s="54"/>
      <c r="J72" s="54"/>
      <c r="K72" s="54"/>
      <c r="L72"/>
      <c r="M72" s="314">
        <f t="shared" ref="M72:M79" si="35">SUM(N72:DJ72)</f>
        <v>0</v>
      </c>
      <c r="N72" s="310"/>
      <c r="O72" s="315"/>
      <c r="P72" s="315"/>
      <c r="Q72" s="315"/>
      <c r="R72" s="315"/>
      <c r="S72" s="5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BX72" s="55"/>
      <c r="BY72" s="55"/>
      <c r="BZ72" s="55"/>
      <c r="CA72" s="55"/>
      <c r="CB72" s="55"/>
      <c r="CC72" s="55"/>
      <c r="CD72" s="55"/>
      <c r="CE72" s="55"/>
      <c r="CF72" s="55"/>
      <c r="CG72" s="55"/>
      <c r="CH72" s="55"/>
      <c r="CI72" s="55"/>
      <c r="CJ72" s="55"/>
      <c r="CK72" s="55"/>
      <c r="CL72" s="55"/>
      <c r="CM72" s="55"/>
      <c r="CN72" s="55"/>
      <c r="CO72" s="55"/>
      <c r="CP72" s="55"/>
      <c r="CQ72" s="55"/>
      <c r="CR72" s="55"/>
      <c r="CS72" s="55"/>
      <c r="CT72" s="55"/>
      <c r="CU72" s="55"/>
      <c r="CV72" s="55"/>
      <c r="CW72" s="55"/>
      <c r="CX72" s="55"/>
      <c r="CY72" s="55"/>
      <c r="CZ72" s="55"/>
      <c r="DA72" s="55"/>
      <c r="DB72" s="55"/>
      <c r="DC72" s="55"/>
      <c r="DD72" s="55"/>
      <c r="DE72" s="55"/>
      <c r="DF72" s="55"/>
      <c r="DG72" s="55"/>
      <c r="DH72" s="55"/>
      <c r="DI72" s="55"/>
    </row>
    <row r="73" spans="1:113" x14ac:dyDescent="0.25">
      <c r="A73" s="152">
        <v>1</v>
      </c>
      <c r="B73" s="79" t="s">
        <v>164</v>
      </c>
      <c r="C73" s="80">
        <v>5000</v>
      </c>
      <c r="D73" s="142">
        <v>920.06</v>
      </c>
      <c r="E73" s="43">
        <v>19999</v>
      </c>
      <c r="F73" s="43"/>
      <c r="G73" s="139">
        <f t="shared" ref="G73:G78" si="36">+E73+F73</f>
        <v>19999</v>
      </c>
      <c r="H73" s="55">
        <f>5000-5000</f>
        <v>0</v>
      </c>
      <c r="I73" s="56">
        <f t="shared" ref="I73:I78" si="37">+G73-H73</f>
        <v>19999</v>
      </c>
      <c r="J73" s="56">
        <f t="shared" ref="J73:J78" si="38">I73*C73</f>
        <v>99995000</v>
      </c>
      <c r="K73" s="57">
        <f t="shared" ref="K73:K78" si="39">+D73*I73</f>
        <v>18400279.939999998</v>
      </c>
      <c r="L73"/>
      <c r="M73" s="314">
        <f t="shared" si="35"/>
        <v>0</v>
      </c>
      <c r="N73" s="310"/>
      <c r="O73" s="315"/>
      <c r="P73" s="315"/>
      <c r="Q73" s="315"/>
      <c r="R73" s="315"/>
      <c r="S73" s="55"/>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c r="BQ73" s="55"/>
      <c r="BR73" s="55"/>
      <c r="BS73" s="55"/>
      <c r="BT73" s="55"/>
      <c r="BU73" s="55"/>
      <c r="BV73" s="55"/>
      <c r="BW73" s="55"/>
      <c r="BX73" s="55"/>
      <c r="BY73" s="55"/>
      <c r="BZ73" s="55"/>
      <c r="CA73" s="55"/>
      <c r="CB73" s="55"/>
      <c r="CC73" s="55"/>
      <c r="CD73" s="55"/>
      <c r="CE73" s="55"/>
      <c r="CF73" s="55"/>
      <c r="CG73" s="55"/>
      <c r="CH73" s="55"/>
      <c r="CI73" s="55"/>
      <c r="CJ73" s="55"/>
      <c r="CK73" s="55"/>
      <c r="CL73" s="55"/>
      <c r="CM73" s="55"/>
      <c r="CN73" s="55"/>
      <c r="CO73" s="55"/>
      <c r="CP73" s="55"/>
      <c r="CQ73" s="55"/>
      <c r="CR73" s="55"/>
      <c r="CS73" s="55"/>
      <c r="CT73" s="55"/>
      <c r="CU73" s="55"/>
      <c r="CV73" s="55"/>
      <c r="CW73" s="55"/>
      <c r="CX73" s="55"/>
      <c r="CY73" s="55"/>
      <c r="CZ73" s="55"/>
      <c r="DA73" s="55"/>
      <c r="DB73" s="55"/>
      <c r="DC73" s="55"/>
      <c r="DD73" s="55"/>
      <c r="DE73" s="55"/>
      <c r="DF73" s="55"/>
      <c r="DG73" s="55"/>
      <c r="DH73" s="55"/>
      <c r="DI73" s="55"/>
    </row>
    <row r="74" spans="1:113" x14ac:dyDescent="0.25">
      <c r="A74" s="152">
        <v>2</v>
      </c>
      <c r="B74" s="79" t="s">
        <v>165</v>
      </c>
      <c r="C74" s="80">
        <v>10000</v>
      </c>
      <c r="D74" s="142">
        <v>806.73</v>
      </c>
      <c r="E74" s="43">
        <v>0</v>
      </c>
      <c r="F74" s="43"/>
      <c r="G74" s="139">
        <f t="shared" si="36"/>
        <v>0</v>
      </c>
      <c r="H74" s="55">
        <f>8627-8627</f>
        <v>0</v>
      </c>
      <c r="I74" s="56">
        <f t="shared" si="37"/>
        <v>0</v>
      </c>
      <c r="J74" s="56">
        <f t="shared" si="38"/>
        <v>0</v>
      </c>
      <c r="K74" s="57">
        <f t="shared" si="39"/>
        <v>0</v>
      </c>
      <c r="L74"/>
      <c r="M74" s="314">
        <f t="shared" si="35"/>
        <v>0</v>
      </c>
      <c r="N74" s="310"/>
      <c r="O74" s="315"/>
      <c r="P74" s="315"/>
      <c r="Q74" s="315"/>
      <c r="R74" s="315"/>
      <c r="S74" s="55"/>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c r="BM74" s="55"/>
      <c r="BN74" s="55"/>
      <c r="BO74" s="55"/>
      <c r="BP74" s="55"/>
      <c r="BQ74" s="55"/>
      <c r="BR74" s="55"/>
      <c r="BS74" s="55"/>
      <c r="BT74" s="55"/>
      <c r="BU74" s="55"/>
      <c r="BV74" s="55"/>
      <c r="BW74" s="55"/>
      <c r="BX74" s="55"/>
      <c r="BY74" s="55"/>
      <c r="BZ74" s="55"/>
      <c r="CA74" s="55"/>
      <c r="CB74" s="55"/>
      <c r="CC74" s="55"/>
      <c r="CD74" s="55"/>
      <c r="CE74" s="55"/>
      <c r="CF74" s="55"/>
      <c r="CG74" s="55"/>
      <c r="CH74" s="55"/>
      <c r="CI74" s="55"/>
      <c r="CJ74" s="55"/>
      <c r="CK74" s="55"/>
      <c r="CL74" s="55"/>
      <c r="CM74" s="55"/>
      <c r="CN74" s="55"/>
      <c r="CO74" s="55"/>
      <c r="CP74" s="55"/>
      <c r="CQ74" s="55"/>
      <c r="CR74" s="55"/>
      <c r="CS74" s="55"/>
      <c r="CT74" s="55"/>
      <c r="CU74" s="55"/>
      <c r="CV74" s="55"/>
      <c r="CW74" s="55"/>
      <c r="CX74" s="55"/>
      <c r="CY74" s="55"/>
      <c r="CZ74" s="55"/>
      <c r="DA74" s="55"/>
      <c r="DB74" s="55"/>
      <c r="DC74" s="55"/>
      <c r="DD74" s="55"/>
      <c r="DE74" s="55"/>
      <c r="DF74" s="55"/>
      <c r="DG74" s="55"/>
      <c r="DH74" s="55"/>
      <c r="DI74" s="55"/>
    </row>
    <row r="75" spans="1:113" x14ac:dyDescent="0.25">
      <c r="A75" s="152">
        <v>3</v>
      </c>
      <c r="B75" s="79" t="s">
        <v>166</v>
      </c>
      <c r="C75" s="80">
        <v>10000</v>
      </c>
      <c r="D75" s="142">
        <v>715</v>
      </c>
      <c r="E75" s="43">
        <v>0</v>
      </c>
      <c r="F75" s="43"/>
      <c r="G75" s="139">
        <f t="shared" si="36"/>
        <v>0</v>
      </c>
      <c r="H75" s="55">
        <f>594-594</f>
        <v>0</v>
      </c>
      <c r="I75" s="56">
        <f t="shared" si="37"/>
        <v>0</v>
      </c>
      <c r="J75" s="56">
        <f t="shared" si="38"/>
        <v>0</v>
      </c>
      <c r="K75" s="57">
        <f t="shared" si="39"/>
        <v>0</v>
      </c>
      <c r="L75"/>
      <c r="M75" s="314">
        <f t="shared" si="35"/>
        <v>0</v>
      </c>
      <c r="N75" s="310"/>
      <c r="O75" s="315"/>
      <c r="P75" s="315"/>
      <c r="Q75" s="315"/>
      <c r="R75" s="315"/>
      <c r="S75" s="55"/>
      <c r="T75" s="55"/>
      <c r="U75" s="55"/>
      <c r="V75" s="55"/>
      <c r="W75" s="55"/>
      <c r="X75" s="55"/>
      <c r="Y75" s="55"/>
      <c r="Z75" s="55"/>
      <c r="AA75" s="55"/>
      <c r="AB75" s="55"/>
      <c r="AC75" s="55"/>
      <c r="AD75" s="55"/>
      <c r="AE75" s="55"/>
      <c r="AF75" s="55"/>
      <c r="AG75" s="55"/>
      <c r="AH75" s="55"/>
      <c r="AI75" s="55"/>
      <c r="AJ75" s="55"/>
      <c r="AK75" s="55"/>
      <c r="AL75" s="55"/>
      <c r="AM75" s="55"/>
      <c r="AN75" s="55"/>
      <c r="AO75" s="55"/>
      <c r="AP75" s="55"/>
      <c r="AQ75" s="55"/>
      <c r="AR75" s="55"/>
      <c r="AS75" s="55"/>
      <c r="AT75" s="55"/>
      <c r="AU75" s="55"/>
      <c r="AV75" s="55"/>
      <c r="AW75" s="55"/>
      <c r="AX75" s="55"/>
      <c r="AY75" s="55"/>
      <c r="AZ75" s="55"/>
      <c r="BA75" s="55"/>
      <c r="BB75" s="55"/>
      <c r="BC75" s="55"/>
      <c r="BD75" s="55"/>
      <c r="BE75" s="55"/>
      <c r="BF75" s="55"/>
      <c r="BG75" s="55"/>
      <c r="BH75" s="55"/>
      <c r="BI75" s="55"/>
      <c r="BJ75" s="55"/>
      <c r="BK75" s="55"/>
      <c r="BL75" s="55"/>
      <c r="BM75" s="55"/>
      <c r="BN75" s="55"/>
      <c r="BO75" s="55"/>
      <c r="BP75" s="55"/>
      <c r="BQ75" s="55"/>
      <c r="BR75" s="55"/>
      <c r="BS75" s="55"/>
      <c r="BT75" s="55"/>
      <c r="BU75" s="55"/>
      <c r="BV75" s="55"/>
      <c r="BW75" s="55"/>
      <c r="BX75" s="55"/>
      <c r="BY75" s="55"/>
      <c r="BZ75" s="55"/>
      <c r="CA75" s="55"/>
      <c r="CB75" s="55"/>
      <c r="CC75" s="55"/>
      <c r="CD75" s="55"/>
      <c r="CE75" s="55"/>
      <c r="CF75" s="55"/>
      <c r="CG75" s="55"/>
      <c r="CH75" s="55"/>
      <c r="CI75" s="55"/>
      <c r="CJ75" s="55"/>
      <c r="CK75" s="55"/>
      <c r="CL75" s="55"/>
      <c r="CM75" s="55"/>
      <c r="CN75" s="55"/>
      <c r="CO75" s="55"/>
      <c r="CP75" s="55"/>
      <c r="CQ75" s="55"/>
      <c r="CR75" s="55"/>
      <c r="CS75" s="55"/>
      <c r="CT75" s="55"/>
      <c r="CU75" s="55"/>
      <c r="CV75" s="55"/>
      <c r="CW75" s="55"/>
      <c r="CX75" s="55"/>
      <c r="CY75" s="55"/>
      <c r="CZ75" s="55"/>
      <c r="DA75" s="55"/>
      <c r="DB75" s="55"/>
      <c r="DC75" s="55"/>
      <c r="DD75" s="55"/>
      <c r="DE75" s="55"/>
      <c r="DF75" s="55"/>
      <c r="DG75" s="55"/>
      <c r="DH75" s="55"/>
      <c r="DI75" s="55"/>
    </row>
    <row r="76" spans="1:113" x14ac:dyDescent="0.25">
      <c r="A76" s="152">
        <v>4</v>
      </c>
      <c r="B76" s="79" t="s">
        <v>167</v>
      </c>
      <c r="C76" s="80">
        <v>100000</v>
      </c>
      <c r="D76" s="142">
        <v>3237.85</v>
      </c>
      <c r="E76" s="43">
        <v>0</v>
      </c>
      <c r="F76" s="43"/>
      <c r="G76" s="139">
        <f t="shared" si="36"/>
        <v>0</v>
      </c>
      <c r="H76" s="55">
        <f>300-300</f>
        <v>0</v>
      </c>
      <c r="I76" s="56">
        <f t="shared" si="37"/>
        <v>0</v>
      </c>
      <c r="J76" s="56">
        <f t="shared" si="38"/>
        <v>0</v>
      </c>
      <c r="K76" s="57">
        <f t="shared" si="39"/>
        <v>0</v>
      </c>
      <c r="L76"/>
      <c r="M76" s="314">
        <f t="shared" si="35"/>
        <v>0</v>
      </c>
      <c r="N76" s="310"/>
      <c r="O76" s="315"/>
      <c r="P76" s="315"/>
      <c r="Q76" s="315"/>
      <c r="R76" s="315"/>
      <c r="S76" s="55"/>
      <c r="T76" s="55"/>
      <c r="U76" s="55"/>
      <c r="V76" s="55"/>
      <c r="W76" s="55"/>
      <c r="X76" s="55"/>
      <c r="Y76" s="55"/>
      <c r="Z76" s="55"/>
      <c r="AA76" s="55"/>
      <c r="AB76" s="55"/>
      <c r="AC76" s="55"/>
      <c r="AD76" s="55"/>
      <c r="AE76" s="55"/>
      <c r="AF76" s="55"/>
      <c r="AG76" s="55"/>
      <c r="AH76" s="55"/>
      <c r="AI76" s="55"/>
      <c r="AJ76" s="55"/>
      <c r="AK76" s="55"/>
      <c r="AL76" s="55"/>
      <c r="AM76" s="55"/>
      <c r="AN76" s="55"/>
      <c r="AO76" s="55"/>
      <c r="AP76" s="55"/>
      <c r="AQ76" s="55"/>
      <c r="AR76" s="55"/>
      <c r="AS76" s="55"/>
      <c r="AT76" s="55"/>
      <c r="AU76" s="55"/>
      <c r="AV76" s="55"/>
      <c r="AW76" s="55"/>
      <c r="AX76" s="55"/>
      <c r="AY76" s="55"/>
      <c r="AZ76" s="55"/>
      <c r="BA76" s="55"/>
      <c r="BB76" s="55"/>
      <c r="BC76" s="55"/>
      <c r="BD76" s="55"/>
      <c r="BE76" s="55"/>
      <c r="BF76" s="55"/>
      <c r="BG76" s="55"/>
      <c r="BH76" s="55"/>
      <c r="BI76" s="55"/>
      <c r="BJ76" s="55"/>
      <c r="BK76" s="55"/>
      <c r="BL76" s="55"/>
      <c r="BM76" s="55"/>
      <c r="BN76" s="55"/>
      <c r="BO76" s="55"/>
      <c r="BP76" s="55"/>
      <c r="BQ76" s="55"/>
      <c r="BR76" s="55"/>
      <c r="BS76" s="55"/>
      <c r="BT76" s="55"/>
      <c r="BU76" s="55"/>
      <c r="BV76" s="55"/>
      <c r="BW76" s="55"/>
      <c r="BX76" s="55"/>
      <c r="BY76" s="55"/>
      <c r="BZ76" s="55"/>
      <c r="CA76" s="55"/>
      <c r="CB76" s="55"/>
      <c r="CC76" s="55"/>
      <c r="CD76" s="55"/>
      <c r="CE76" s="55"/>
      <c r="CF76" s="55"/>
      <c r="CG76" s="55"/>
      <c r="CH76" s="55"/>
      <c r="CI76" s="55"/>
      <c r="CJ76" s="55"/>
      <c r="CK76" s="55"/>
      <c r="CL76" s="55"/>
      <c r="CM76" s="55"/>
      <c r="CN76" s="55"/>
      <c r="CO76" s="55"/>
      <c r="CP76" s="55"/>
      <c r="CQ76" s="55"/>
      <c r="CR76" s="55"/>
      <c r="CS76" s="55"/>
      <c r="CT76" s="55"/>
      <c r="CU76" s="55"/>
      <c r="CV76" s="55"/>
      <c r="CW76" s="55"/>
      <c r="CX76" s="55"/>
      <c r="CY76" s="55"/>
      <c r="CZ76" s="55"/>
      <c r="DA76" s="55"/>
      <c r="DB76" s="55"/>
      <c r="DC76" s="55"/>
      <c r="DD76" s="55"/>
      <c r="DE76" s="55"/>
      <c r="DF76" s="55"/>
      <c r="DG76" s="55"/>
      <c r="DH76" s="55"/>
      <c r="DI76" s="55"/>
    </row>
    <row r="77" spans="1:113" x14ac:dyDescent="0.25">
      <c r="A77" s="152">
        <v>5</v>
      </c>
      <c r="B77" s="79" t="s">
        <v>168</v>
      </c>
      <c r="C77" s="80">
        <v>25000</v>
      </c>
      <c r="D77" s="142">
        <f>820.1*5</f>
        <v>4100.5</v>
      </c>
      <c r="E77" s="43">
        <v>0</v>
      </c>
      <c r="F77" s="43"/>
      <c r="G77" s="139">
        <f t="shared" si="36"/>
        <v>0</v>
      </c>
      <c r="H77" s="55">
        <f>2483-2483</f>
        <v>0</v>
      </c>
      <c r="I77" s="56">
        <f t="shared" si="37"/>
        <v>0</v>
      </c>
      <c r="J77" s="56">
        <f t="shared" si="38"/>
        <v>0</v>
      </c>
      <c r="K77" s="57">
        <f t="shared" si="39"/>
        <v>0</v>
      </c>
      <c r="L77"/>
      <c r="M77" s="314">
        <f t="shared" si="35"/>
        <v>0</v>
      </c>
      <c r="N77" s="310"/>
      <c r="O77" s="315"/>
      <c r="P77" s="315"/>
      <c r="Q77" s="315"/>
      <c r="R77" s="315"/>
      <c r="S77" s="55"/>
      <c r="T77" s="55"/>
      <c r="U77" s="55"/>
      <c r="V77" s="55"/>
      <c r="W77" s="55"/>
      <c r="X77" s="55"/>
      <c r="Y77" s="55"/>
      <c r="Z77" s="55"/>
      <c r="AA77" s="55"/>
      <c r="AB77" s="55"/>
      <c r="AC77" s="55"/>
      <c r="AD77" s="55"/>
      <c r="AE77" s="55"/>
      <c r="AF77" s="55"/>
      <c r="AG77" s="55"/>
      <c r="AH77" s="55"/>
      <c r="AI77" s="55"/>
      <c r="AJ77" s="55"/>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c r="BM77" s="55"/>
      <c r="BN77" s="55"/>
      <c r="BO77" s="55"/>
      <c r="BP77" s="55"/>
      <c r="BQ77" s="55"/>
      <c r="BR77" s="55"/>
      <c r="BS77" s="55"/>
      <c r="BT77" s="55"/>
      <c r="BU77" s="55"/>
      <c r="BV77" s="55"/>
      <c r="BW77" s="55"/>
      <c r="BX77" s="55"/>
      <c r="BY77" s="55"/>
      <c r="BZ77" s="55"/>
      <c r="CA77" s="55"/>
      <c r="CB77" s="55"/>
      <c r="CC77" s="55"/>
      <c r="CD77" s="55"/>
      <c r="CE77" s="55"/>
      <c r="CF77" s="55"/>
      <c r="CG77" s="55"/>
      <c r="CH77" s="55"/>
      <c r="CI77" s="55"/>
      <c r="CJ77" s="55"/>
      <c r="CK77" s="55"/>
      <c r="CL77" s="55"/>
      <c r="CM77" s="55"/>
      <c r="CN77" s="55"/>
      <c r="CO77" s="55"/>
      <c r="CP77" s="55"/>
      <c r="CQ77" s="55"/>
      <c r="CR77" s="55"/>
      <c r="CS77" s="55"/>
      <c r="CT77" s="55"/>
      <c r="CU77" s="55"/>
      <c r="CV77" s="55"/>
      <c r="CW77" s="55"/>
      <c r="CX77" s="55"/>
      <c r="CY77" s="55"/>
      <c r="CZ77" s="55"/>
      <c r="DA77" s="55"/>
      <c r="DB77" s="55"/>
      <c r="DC77" s="55"/>
      <c r="DD77" s="55"/>
      <c r="DE77" s="55"/>
      <c r="DF77" s="55"/>
      <c r="DG77" s="55"/>
      <c r="DH77" s="55"/>
      <c r="DI77" s="55"/>
    </row>
    <row r="78" spans="1:113" ht="15.75" thickBot="1" x14ac:dyDescent="0.3">
      <c r="A78" s="153">
        <v>6</v>
      </c>
      <c r="B78" s="144" t="s">
        <v>168</v>
      </c>
      <c r="C78" s="82">
        <v>5000</v>
      </c>
      <c r="D78" s="145">
        <v>820.1</v>
      </c>
      <c r="E78" s="154">
        <v>0</v>
      </c>
      <c r="F78" s="154"/>
      <c r="G78" s="139">
        <f t="shared" si="36"/>
        <v>0</v>
      </c>
      <c r="H78" s="55">
        <f>483-483</f>
        <v>0</v>
      </c>
      <c r="I78" s="56">
        <f t="shared" si="37"/>
        <v>0</v>
      </c>
      <c r="J78" s="56">
        <f t="shared" si="38"/>
        <v>0</v>
      </c>
      <c r="K78" s="57">
        <f t="shared" si="39"/>
        <v>0</v>
      </c>
      <c r="L78"/>
      <c r="M78" s="314">
        <f t="shared" si="35"/>
        <v>0</v>
      </c>
      <c r="N78" s="310"/>
      <c r="O78" s="315"/>
      <c r="P78" s="315"/>
      <c r="Q78" s="315"/>
      <c r="R78" s="315"/>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c r="BQ78" s="55"/>
      <c r="BR78" s="55"/>
      <c r="BS78" s="55"/>
      <c r="BT78" s="55"/>
      <c r="BU78" s="55"/>
      <c r="BV78" s="55"/>
      <c r="BW78" s="55"/>
      <c r="BX78" s="55"/>
      <c r="BY78" s="55"/>
      <c r="BZ78" s="55"/>
      <c r="CA78" s="55"/>
      <c r="CB78" s="55"/>
      <c r="CC78" s="55"/>
      <c r="CD78" s="55"/>
      <c r="CE78" s="55"/>
      <c r="CF78" s="55"/>
      <c r="CG78" s="55"/>
      <c r="CH78" s="55"/>
      <c r="CI78" s="55"/>
      <c r="CJ78" s="55"/>
      <c r="CK78" s="55"/>
      <c r="CL78" s="55"/>
      <c r="CM78" s="55"/>
      <c r="CN78" s="55"/>
      <c r="CO78" s="55"/>
      <c r="CP78" s="55"/>
      <c r="CQ78" s="55"/>
      <c r="CR78" s="55"/>
      <c r="CS78" s="55"/>
      <c r="CT78" s="55"/>
      <c r="CU78" s="55"/>
      <c r="CV78" s="55"/>
      <c r="CW78" s="55"/>
      <c r="CX78" s="55"/>
      <c r="CY78" s="55"/>
      <c r="CZ78" s="55"/>
      <c r="DA78" s="55"/>
      <c r="DB78" s="55"/>
      <c r="DC78" s="55"/>
      <c r="DD78" s="55"/>
      <c r="DE78" s="55"/>
      <c r="DF78" s="55"/>
      <c r="DG78" s="55"/>
      <c r="DH78" s="55"/>
      <c r="DI78" s="55"/>
    </row>
    <row r="79" spans="1:113" ht="15.75" thickBot="1" x14ac:dyDescent="0.3">
      <c r="A79" s="128"/>
      <c r="B79" s="119" t="s">
        <v>702</v>
      </c>
      <c r="C79" s="36"/>
      <c r="D79" s="29"/>
      <c r="E79" s="29">
        <f>SUM(E73:E78)</f>
        <v>19999</v>
      </c>
      <c r="F79" s="36"/>
      <c r="G79" s="29">
        <f>SUM(G73:G78)</f>
        <v>19999</v>
      </c>
      <c r="H79" s="29">
        <f>SUM(H73:H78)</f>
        <v>0</v>
      </c>
      <c r="I79" s="29">
        <f>SUM(I73:I78)</f>
        <v>19999</v>
      </c>
      <c r="J79" s="29">
        <f t="shared" ref="J79:K79" si="40">SUM(J73:J78)</f>
        <v>99995000</v>
      </c>
      <c r="K79" s="47">
        <f t="shared" si="40"/>
        <v>18400279.939999998</v>
      </c>
      <c r="L79"/>
      <c r="M79" s="322">
        <f t="shared" si="35"/>
        <v>0</v>
      </c>
      <c r="N79" s="325"/>
      <c r="O79" s="325"/>
      <c r="P79" s="325"/>
      <c r="Q79" s="325"/>
      <c r="R79" s="325"/>
      <c r="S79" s="324"/>
      <c r="T79" s="324"/>
      <c r="U79" s="324"/>
      <c r="V79" s="324"/>
      <c r="W79" s="324"/>
      <c r="X79" s="324"/>
      <c r="Y79" s="324"/>
      <c r="Z79" s="324"/>
      <c r="AA79" s="324"/>
      <c r="AB79" s="324"/>
      <c r="AC79" s="324"/>
      <c r="AD79" s="324"/>
      <c r="AE79" s="324"/>
      <c r="AF79" s="324"/>
      <c r="AG79" s="324"/>
      <c r="AH79" s="324"/>
      <c r="AI79" s="324"/>
      <c r="AJ79" s="324"/>
      <c r="AK79" s="324"/>
      <c r="AL79" s="324"/>
      <c r="AM79" s="324"/>
      <c r="AN79" s="324"/>
      <c r="AO79" s="324"/>
      <c r="AP79" s="324"/>
      <c r="AQ79" s="324"/>
      <c r="AR79" s="324"/>
      <c r="AS79" s="324"/>
      <c r="AT79" s="324"/>
      <c r="AU79" s="324"/>
      <c r="AV79" s="324"/>
      <c r="AW79" s="324"/>
      <c r="AX79" s="324"/>
      <c r="AY79" s="324"/>
      <c r="AZ79" s="324"/>
      <c r="BA79" s="324"/>
      <c r="BB79" s="324"/>
      <c r="BC79" s="324"/>
      <c r="BD79" s="324"/>
      <c r="BE79" s="324"/>
      <c r="BF79" s="324"/>
      <c r="BG79" s="324"/>
      <c r="BH79" s="324"/>
      <c r="BI79" s="324"/>
      <c r="BJ79" s="324"/>
      <c r="BK79" s="324"/>
      <c r="BL79" s="324"/>
      <c r="BM79" s="324"/>
      <c r="BN79" s="324"/>
      <c r="BO79" s="324"/>
      <c r="BP79" s="324"/>
      <c r="BQ79" s="324"/>
      <c r="BR79" s="324"/>
      <c r="BS79" s="324"/>
      <c r="BT79" s="324"/>
      <c r="BU79" s="324"/>
      <c r="BV79" s="324"/>
      <c r="BW79" s="324"/>
      <c r="BX79" s="324"/>
      <c r="BY79" s="324"/>
      <c r="BZ79" s="324"/>
      <c r="CA79" s="324"/>
      <c r="CB79" s="324"/>
      <c r="CC79" s="324"/>
      <c r="CD79" s="324"/>
      <c r="CE79" s="324"/>
      <c r="CF79" s="324"/>
      <c r="CG79" s="324"/>
      <c r="CH79" s="324"/>
      <c r="CI79" s="324"/>
      <c r="CJ79" s="324"/>
      <c r="CK79" s="324"/>
      <c r="CL79" s="324"/>
      <c r="CM79" s="324"/>
      <c r="CN79" s="324"/>
      <c r="CO79" s="324"/>
      <c r="CP79" s="324"/>
      <c r="CQ79" s="324"/>
      <c r="CR79" s="324"/>
      <c r="CS79" s="324"/>
      <c r="CT79" s="324"/>
      <c r="CU79" s="324"/>
      <c r="CV79" s="324"/>
      <c r="CW79" s="324"/>
      <c r="CX79" s="324"/>
      <c r="CY79" s="324"/>
      <c r="CZ79" s="324"/>
      <c r="DA79" s="324"/>
      <c r="DB79" s="324"/>
      <c r="DC79" s="324"/>
      <c r="DD79" s="324"/>
      <c r="DE79" s="324"/>
      <c r="DF79" s="324"/>
      <c r="DG79" s="324"/>
      <c r="DH79" s="324"/>
      <c r="DI79" s="324"/>
    </row>
    <row r="80" spans="1:113" customFormat="1" ht="15.75" thickBot="1" x14ac:dyDescent="0.3"/>
    <row r="81" spans="1:113" ht="15.75" thickBot="1" x14ac:dyDescent="0.3">
      <c r="A81" s="407" t="s">
        <v>657</v>
      </c>
      <c r="B81" s="414" t="s">
        <v>0</v>
      </c>
      <c r="C81" s="414" t="s">
        <v>1</v>
      </c>
      <c r="D81" s="415" t="s">
        <v>649</v>
      </c>
      <c r="E81" s="416" t="s">
        <v>19</v>
      </c>
      <c r="F81" s="416"/>
      <c r="G81" s="416"/>
      <c r="H81" s="416"/>
      <c r="I81" s="416"/>
      <c r="J81" s="410" t="s">
        <v>21</v>
      </c>
      <c r="K81" s="417" t="s">
        <v>602</v>
      </c>
      <c r="L81"/>
      <c r="M81" s="403" t="s">
        <v>601</v>
      </c>
      <c r="N81" s="403" t="s">
        <v>924</v>
      </c>
      <c r="O81" s="403"/>
      <c r="P81" s="403"/>
      <c r="Q81" s="403"/>
      <c r="R81" s="403"/>
      <c r="S81" s="403"/>
      <c r="T81" s="403"/>
      <c r="U81" s="403"/>
      <c r="V81" s="403"/>
      <c r="W81" s="403"/>
      <c r="X81" s="403"/>
      <c r="Y81" s="403"/>
      <c r="Z81" s="403"/>
      <c r="AA81" s="403"/>
      <c r="AB81" s="403"/>
      <c r="AC81" s="403"/>
      <c r="AD81" s="403"/>
      <c r="AE81" s="403"/>
      <c r="AF81" s="403"/>
      <c r="AG81" s="403"/>
      <c r="AH81" s="403"/>
      <c r="AI81" s="403"/>
      <c r="AJ81" s="403"/>
      <c r="AK81" s="403"/>
      <c r="AL81" s="403"/>
      <c r="AM81" s="403"/>
      <c r="AN81" s="403"/>
      <c r="AO81" s="403"/>
      <c r="AP81" s="403"/>
      <c r="AQ81" s="403"/>
      <c r="AR81" s="403"/>
      <c r="AS81" s="403"/>
      <c r="AT81" s="403"/>
      <c r="AU81" s="403"/>
      <c r="AV81" s="403"/>
      <c r="AW81" s="403"/>
      <c r="AX81" s="403"/>
      <c r="AY81" s="403"/>
      <c r="AZ81" s="403"/>
      <c r="BA81" s="403"/>
      <c r="BB81" s="403"/>
      <c r="BC81" s="403"/>
      <c r="BD81" s="403"/>
      <c r="BE81" s="403"/>
      <c r="BF81" s="403"/>
      <c r="BG81" s="403"/>
      <c r="BH81" s="403"/>
      <c r="BI81" s="403"/>
      <c r="BJ81" s="403"/>
      <c r="BK81" s="403"/>
      <c r="BL81" s="403"/>
      <c r="BM81" s="403"/>
      <c r="BN81" s="403"/>
      <c r="BO81" s="403"/>
      <c r="BP81" s="403"/>
      <c r="BQ81" s="403"/>
      <c r="BR81" s="403"/>
      <c r="BS81" s="403"/>
      <c r="BT81" s="403"/>
      <c r="BU81" s="403"/>
      <c r="BV81" s="403"/>
      <c r="BW81" s="403"/>
      <c r="BX81" s="403"/>
      <c r="BY81" s="403"/>
      <c r="BZ81" s="403"/>
      <c r="CA81" s="403"/>
      <c r="CB81" s="403"/>
      <c r="CC81" s="403"/>
      <c r="CD81" s="403"/>
      <c r="CE81" s="403"/>
      <c r="CF81" s="403"/>
      <c r="CG81" s="403"/>
      <c r="CH81" s="403"/>
      <c r="CI81" s="403"/>
      <c r="CJ81" s="403"/>
      <c r="CK81" s="403"/>
      <c r="CL81" s="403"/>
      <c r="CM81" s="403"/>
      <c r="CN81" s="403"/>
      <c r="CO81" s="403"/>
      <c r="CP81" s="403"/>
      <c r="CQ81" s="403"/>
      <c r="CR81" s="403"/>
      <c r="CS81" s="403"/>
      <c r="CT81" s="403"/>
      <c r="CU81" s="403"/>
      <c r="CV81" s="403"/>
      <c r="CW81" s="403"/>
      <c r="CX81" s="403"/>
      <c r="CY81" s="403"/>
      <c r="CZ81" s="403"/>
      <c r="DA81" s="403"/>
      <c r="DB81" s="403"/>
      <c r="DC81" s="403"/>
      <c r="DD81" s="403"/>
      <c r="DE81" s="403"/>
      <c r="DF81" s="403"/>
      <c r="DG81" s="403"/>
      <c r="DH81" s="403"/>
      <c r="DI81" s="403"/>
    </row>
    <row r="82" spans="1:113" ht="15.75" thickBot="1" x14ac:dyDescent="0.3">
      <c r="A82" s="408"/>
      <c r="B82" s="414"/>
      <c r="C82" s="414"/>
      <c r="D82" s="415"/>
      <c r="E82" s="68" t="s">
        <v>22</v>
      </c>
      <c r="F82" s="68" t="s">
        <v>600</v>
      </c>
      <c r="G82" s="68" t="s">
        <v>601</v>
      </c>
      <c r="H82" s="68" t="s">
        <v>589</v>
      </c>
      <c r="I82" s="68" t="s">
        <v>601</v>
      </c>
      <c r="J82" s="411"/>
      <c r="K82" s="418"/>
      <c r="L82"/>
      <c r="M82" s="403"/>
      <c r="N82" s="400" t="s">
        <v>925</v>
      </c>
      <c r="O82" s="400" t="s">
        <v>926</v>
      </c>
      <c r="P82" s="400"/>
      <c r="Q82" s="400"/>
      <c r="R82" s="400"/>
      <c r="S82" s="398"/>
      <c r="T82" s="398"/>
      <c r="U82" s="398"/>
      <c r="V82" s="398"/>
      <c r="W82" s="398"/>
      <c r="X82" s="398"/>
      <c r="Y82" s="398"/>
      <c r="Z82" s="398"/>
      <c r="AA82" s="398"/>
      <c r="AB82" s="398"/>
      <c r="AC82" s="398"/>
      <c r="AD82" s="398"/>
      <c r="AE82" s="398"/>
      <c r="AF82" s="398"/>
      <c r="AG82" s="398"/>
      <c r="AH82" s="398"/>
      <c r="AI82" s="398"/>
      <c r="AJ82" s="398"/>
      <c r="AK82" s="398"/>
      <c r="AL82" s="398"/>
      <c r="AM82" s="398"/>
      <c r="AN82" s="398"/>
      <c r="AO82" s="398"/>
      <c r="AP82" s="398"/>
      <c r="AQ82" s="398"/>
      <c r="AR82" s="398"/>
      <c r="AS82" s="398"/>
      <c r="AT82" s="398"/>
      <c r="AU82" s="398"/>
      <c r="AV82" s="398"/>
      <c r="AW82" s="398"/>
      <c r="AX82" s="398"/>
      <c r="AY82" s="398"/>
      <c r="AZ82" s="398"/>
      <c r="BA82" s="398"/>
      <c r="BB82" s="398"/>
      <c r="BC82" s="398"/>
      <c r="BD82" s="398"/>
      <c r="BE82" s="398"/>
      <c r="BF82" s="398"/>
      <c r="BG82" s="398"/>
      <c r="BH82" s="398"/>
      <c r="BI82" s="398"/>
      <c r="BJ82" s="398"/>
      <c r="BK82" s="398"/>
      <c r="BL82" s="398"/>
      <c r="BM82" s="398"/>
      <c r="BN82" s="398"/>
      <c r="BO82" s="398"/>
      <c r="BP82" s="398"/>
      <c r="BQ82" s="398"/>
      <c r="BR82" s="398"/>
      <c r="BS82" s="398"/>
      <c r="BT82" s="398"/>
      <c r="BU82" s="398"/>
      <c r="BV82" s="398"/>
      <c r="BW82" s="398"/>
      <c r="BX82" s="398"/>
      <c r="BY82" s="398"/>
      <c r="BZ82" s="398"/>
      <c r="CA82" s="398"/>
      <c r="CB82" s="398"/>
      <c r="CC82" s="398"/>
      <c r="CD82" s="398"/>
      <c r="CE82" s="398"/>
      <c r="CF82" s="398"/>
      <c r="CG82" s="398"/>
      <c r="CH82" s="398"/>
      <c r="CI82" s="398"/>
      <c r="CJ82" s="398"/>
      <c r="CK82" s="398"/>
      <c r="CL82" s="398"/>
      <c r="CM82" s="398"/>
      <c r="CN82" s="398"/>
      <c r="CO82" s="398"/>
      <c r="CP82" s="398"/>
      <c r="CQ82" s="398"/>
      <c r="CR82" s="398"/>
      <c r="CS82" s="398"/>
      <c r="CT82" s="398"/>
      <c r="CU82" s="398"/>
      <c r="CV82" s="398"/>
      <c r="CW82" s="398"/>
      <c r="CX82" s="398"/>
      <c r="CY82" s="398"/>
      <c r="CZ82" s="398"/>
      <c r="DA82" s="398"/>
      <c r="DB82" s="398"/>
      <c r="DC82" s="398"/>
      <c r="DD82" s="398"/>
      <c r="DE82" s="398"/>
      <c r="DF82" s="398"/>
      <c r="DG82" s="398"/>
      <c r="DH82" s="398"/>
      <c r="DI82" s="398"/>
    </row>
    <row r="83" spans="1:113" ht="15.75" thickBot="1" x14ac:dyDescent="0.3">
      <c r="A83" s="409"/>
      <c r="B83" s="124">
        <v>1</v>
      </c>
      <c r="C83" s="124">
        <v>2</v>
      </c>
      <c r="D83" s="124">
        <v>3</v>
      </c>
      <c r="E83" s="70">
        <v>4</v>
      </c>
      <c r="F83" s="70">
        <f>+E83+1</f>
        <v>5</v>
      </c>
      <c r="G83" s="70" t="s">
        <v>652</v>
      </c>
      <c r="H83" s="70">
        <v>7</v>
      </c>
      <c r="I83" s="71" t="s">
        <v>651</v>
      </c>
      <c r="J83" s="42" t="s">
        <v>650</v>
      </c>
      <c r="K83" s="42" t="s">
        <v>653</v>
      </c>
      <c r="L83"/>
      <c r="M83" s="403"/>
      <c r="N83" s="402"/>
      <c r="O83" s="402"/>
      <c r="P83" s="402"/>
      <c r="Q83" s="402"/>
      <c r="R83" s="402"/>
      <c r="S83" s="399"/>
      <c r="T83" s="399"/>
      <c r="U83" s="399"/>
      <c r="V83" s="399"/>
      <c r="W83" s="399"/>
      <c r="X83" s="399"/>
      <c r="Y83" s="399"/>
      <c r="Z83" s="399"/>
      <c r="AA83" s="399"/>
      <c r="AB83" s="399"/>
      <c r="AC83" s="399"/>
      <c r="AD83" s="399"/>
      <c r="AE83" s="399"/>
      <c r="AF83" s="399"/>
      <c r="AG83" s="399"/>
      <c r="AH83" s="399"/>
      <c r="AI83" s="399"/>
      <c r="AJ83" s="399"/>
      <c r="AK83" s="399"/>
      <c r="AL83" s="399"/>
      <c r="AM83" s="399"/>
      <c r="AN83" s="399"/>
      <c r="AO83" s="399"/>
      <c r="AP83" s="399"/>
      <c r="AQ83" s="399"/>
      <c r="AR83" s="399"/>
      <c r="AS83" s="399"/>
      <c r="AT83" s="399"/>
      <c r="AU83" s="399"/>
      <c r="AV83" s="399"/>
      <c r="AW83" s="399"/>
      <c r="AX83" s="399"/>
      <c r="AY83" s="399"/>
      <c r="AZ83" s="399"/>
      <c r="BA83" s="399"/>
      <c r="BB83" s="399"/>
      <c r="BC83" s="399"/>
      <c r="BD83" s="399"/>
      <c r="BE83" s="399"/>
      <c r="BF83" s="399"/>
      <c r="BG83" s="399"/>
      <c r="BH83" s="399"/>
      <c r="BI83" s="399"/>
      <c r="BJ83" s="399"/>
      <c r="BK83" s="399"/>
      <c r="BL83" s="399"/>
      <c r="BM83" s="399"/>
      <c r="BN83" s="399"/>
      <c r="BO83" s="399"/>
      <c r="BP83" s="399"/>
      <c r="BQ83" s="399"/>
      <c r="BR83" s="399"/>
      <c r="BS83" s="399"/>
      <c r="BT83" s="399"/>
      <c r="BU83" s="399"/>
      <c r="BV83" s="399"/>
      <c r="BW83" s="399"/>
      <c r="BX83" s="399"/>
      <c r="BY83" s="399"/>
      <c r="BZ83" s="399"/>
      <c r="CA83" s="399"/>
      <c r="CB83" s="399"/>
      <c r="CC83" s="399"/>
      <c r="CD83" s="399"/>
      <c r="CE83" s="399"/>
      <c r="CF83" s="399"/>
      <c r="CG83" s="399"/>
      <c r="CH83" s="399"/>
      <c r="CI83" s="399"/>
      <c r="CJ83" s="399"/>
      <c r="CK83" s="399"/>
      <c r="CL83" s="399"/>
      <c r="CM83" s="399"/>
      <c r="CN83" s="399"/>
      <c r="CO83" s="399"/>
      <c r="CP83" s="399"/>
      <c r="CQ83" s="399"/>
      <c r="CR83" s="399"/>
      <c r="CS83" s="399"/>
      <c r="CT83" s="399"/>
      <c r="CU83" s="399"/>
      <c r="CV83" s="399"/>
      <c r="CW83" s="399"/>
      <c r="CX83" s="399"/>
      <c r="CY83" s="399"/>
      <c r="CZ83" s="399"/>
      <c r="DA83" s="399"/>
      <c r="DB83" s="399"/>
      <c r="DC83" s="399"/>
      <c r="DD83" s="399"/>
      <c r="DE83" s="399"/>
      <c r="DF83" s="399"/>
      <c r="DG83" s="399"/>
      <c r="DH83" s="399"/>
      <c r="DI83" s="399"/>
    </row>
    <row r="84" spans="1:113" x14ac:dyDescent="0.25">
      <c r="A84" s="160"/>
      <c r="B84" s="72" t="s">
        <v>704</v>
      </c>
      <c r="C84" s="54"/>
      <c r="D84" s="54"/>
      <c r="E84" s="54"/>
      <c r="F84" s="54"/>
      <c r="G84" s="54"/>
      <c r="H84" s="54"/>
      <c r="I84" s="54"/>
      <c r="J84" s="54"/>
      <c r="K84" s="54"/>
      <c r="L84"/>
      <c r="M84" s="320">
        <f>SUM(N84:DJ84)</f>
        <v>0</v>
      </c>
      <c r="N84" s="311"/>
      <c r="O84" s="319"/>
      <c r="P84" s="319"/>
      <c r="Q84" s="319"/>
      <c r="R84" s="319"/>
      <c r="S84" s="317"/>
      <c r="T84" s="317"/>
      <c r="U84" s="317"/>
      <c r="V84" s="317"/>
      <c r="W84" s="317"/>
      <c r="X84" s="317"/>
      <c r="Y84" s="317"/>
      <c r="Z84" s="317"/>
      <c r="AA84" s="317"/>
      <c r="AB84" s="317"/>
      <c r="AC84" s="317"/>
      <c r="AD84" s="317"/>
      <c r="AE84" s="317"/>
      <c r="AF84" s="317"/>
      <c r="AG84" s="317"/>
      <c r="AH84" s="317"/>
      <c r="AI84" s="317"/>
      <c r="AJ84" s="317"/>
      <c r="AK84" s="317"/>
      <c r="AL84" s="317"/>
      <c r="AM84" s="317"/>
      <c r="AN84" s="317"/>
      <c r="AO84" s="317"/>
      <c r="AP84" s="317"/>
      <c r="AQ84" s="317"/>
      <c r="AR84" s="317"/>
      <c r="AS84" s="317"/>
      <c r="AT84" s="317"/>
      <c r="AU84" s="317"/>
      <c r="AV84" s="317"/>
      <c r="AW84" s="317"/>
      <c r="AX84" s="317"/>
      <c r="AY84" s="317"/>
      <c r="AZ84" s="317"/>
      <c r="BA84" s="317"/>
      <c r="BB84" s="317"/>
      <c r="BC84" s="317"/>
      <c r="BD84" s="317"/>
      <c r="BE84" s="317"/>
      <c r="BF84" s="317"/>
      <c r="BG84" s="317"/>
      <c r="BH84" s="317"/>
      <c r="BI84" s="317"/>
      <c r="BJ84" s="317"/>
      <c r="BK84" s="317"/>
      <c r="BL84" s="317"/>
      <c r="BM84" s="317"/>
      <c r="BN84" s="317"/>
      <c r="BO84" s="317"/>
      <c r="BP84" s="317"/>
      <c r="BQ84" s="317"/>
      <c r="BR84" s="317"/>
      <c r="BS84" s="317"/>
      <c r="BT84" s="317"/>
      <c r="BU84" s="317"/>
      <c r="BV84" s="317"/>
      <c r="BW84" s="317"/>
      <c r="BX84" s="317"/>
      <c r="BY84" s="317"/>
      <c r="BZ84" s="317"/>
      <c r="CA84" s="317"/>
      <c r="CB84" s="317"/>
      <c r="CC84" s="317"/>
      <c r="CD84" s="317"/>
      <c r="CE84" s="317"/>
      <c r="CF84" s="317"/>
      <c r="CG84" s="317"/>
      <c r="CH84" s="317"/>
      <c r="CI84" s="317"/>
      <c r="CJ84" s="317"/>
      <c r="CK84" s="317"/>
      <c r="CL84" s="317"/>
      <c r="CM84" s="317"/>
      <c r="CN84" s="317"/>
      <c r="CO84" s="317"/>
      <c r="CP84" s="317"/>
      <c r="CQ84" s="317"/>
      <c r="CR84" s="317"/>
      <c r="CS84" s="317"/>
      <c r="CT84" s="317"/>
      <c r="CU84" s="317"/>
      <c r="CV84" s="317"/>
      <c r="CW84" s="317"/>
      <c r="CX84" s="317"/>
      <c r="CY84" s="317"/>
      <c r="CZ84" s="317"/>
      <c r="DA84" s="317"/>
      <c r="DB84" s="317"/>
      <c r="DC84" s="317"/>
      <c r="DD84" s="317"/>
      <c r="DE84" s="317"/>
      <c r="DF84" s="317"/>
      <c r="DG84" s="317"/>
      <c r="DH84" s="317"/>
      <c r="DI84" s="317"/>
    </row>
    <row r="85" spans="1:113" x14ac:dyDescent="0.25">
      <c r="A85" s="152">
        <v>1</v>
      </c>
      <c r="B85" s="79" t="s">
        <v>169</v>
      </c>
      <c r="C85" s="80">
        <v>5000</v>
      </c>
      <c r="D85" s="142">
        <v>600.29999999999995</v>
      </c>
      <c r="E85" s="43">
        <v>0</v>
      </c>
      <c r="F85" s="43"/>
      <c r="G85" s="139">
        <f t="shared" ref="G85:G91" si="41">+E85+F85</f>
        <v>0</v>
      </c>
      <c r="H85" s="55"/>
      <c r="I85" s="56">
        <f t="shared" ref="I85:I91" si="42">+G85-H85</f>
        <v>0</v>
      </c>
      <c r="J85" s="56">
        <f t="shared" ref="J85:J91" si="43">I85*C85</f>
        <v>0</v>
      </c>
      <c r="K85" s="57">
        <f t="shared" ref="K85:K91" si="44">+D85*I85</f>
        <v>0</v>
      </c>
      <c r="L85"/>
      <c r="M85" s="314">
        <f t="shared" ref="M85:M86" si="45">SUM(N85:DJ85)</f>
        <v>0</v>
      </c>
      <c r="N85" s="310"/>
      <c r="O85" s="315"/>
      <c r="P85" s="315"/>
      <c r="Q85" s="315"/>
      <c r="R85" s="315"/>
      <c r="S85" s="55"/>
      <c r="T85" s="55"/>
      <c r="U85" s="55"/>
      <c r="V85" s="55"/>
      <c r="W85" s="55"/>
      <c r="X85" s="55"/>
      <c r="Y85" s="55"/>
      <c r="Z85" s="55"/>
      <c r="AA85" s="55"/>
      <c r="AB85" s="55"/>
      <c r="AC85" s="55"/>
      <c r="AD85" s="55"/>
      <c r="AE85" s="55"/>
      <c r="AF85" s="55"/>
      <c r="AG85" s="55"/>
      <c r="AH85" s="55"/>
      <c r="AI85" s="55"/>
      <c r="AJ85" s="55"/>
      <c r="AK85" s="55"/>
      <c r="AL85" s="55"/>
      <c r="AM85" s="55"/>
      <c r="AN85" s="55"/>
      <c r="AO85" s="55"/>
      <c r="AP85" s="55"/>
      <c r="AQ85" s="55"/>
      <c r="AR85" s="55"/>
      <c r="AS85" s="55"/>
      <c r="AT85" s="55"/>
      <c r="AU85" s="55"/>
      <c r="AV85" s="55"/>
      <c r="AW85" s="55"/>
      <c r="AX85" s="55"/>
      <c r="AY85" s="55"/>
      <c r="AZ85" s="55"/>
      <c r="BA85" s="55"/>
      <c r="BB85" s="55"/>
      <c r="BC85" s="55"/>
      <c r="BD85" s="55"/>
      <c r="BE85" s="55"/>
      <c r="BF85" s="55"/>
      <c r="BG85" s="55"/>
      <c r="BH85" s="55"/>
      <c r="BI85" s="55"/>
      <c r="BJ85" s="55"/>
      <c r="BK85" s="55"/>
      <c r="BL85" s="55"/>
      <c r="BM85" s="55"/>
      <c r="BN85" s="55"/>
      <c r="BO85" s="55"/>
      <c r="BP85" s="55"/>
      <c r="BQ85" s="55"/>
      <c r="BR85" s="55"/>
      <c r="BS85" s="55"/>
      <c r="BT85" s="55"/>
      <c r="BU85" s="55"/>
      <c r="BV85" s="55"/>
      <c r="BW85" s="55"/>
      <c r="BX85" s="55"/>
      <c r="BY85" s="55"/>
      <c r="BZ85" s="55"/>
      <c r="CA85" s="55"/>
      <c r="CB85" s="55"/>
      <c r="CC85" s="55"/>
      <c r="CD85" s="55"/>
      <c r="CE85" s="55"/>
      <c r="CF85" s="55"/>
      <c r="CG85" s="55"/>
      <c r="CH85" s="55"/>
      <c r="CI85" s="55"/>
      <c r="CJ85" s="55"/>
      <c r="CK85" s="55"/>
      <c r="CL85" s="55"/>
      <c r="CM85" s="55"/>
      <c r="CN85" s="55"/>
      <c r="CO85" s="55"/>
      <c r="CP85" s="55"/>
      <c r="CQ85" s="55"/>
      <c r="CR85" s="55"/>
      <c r="CS85" s="55"/>
      <c r="CT85" s="55"/>
      <c r="CU85" s="55"/>
      <c r="CV85" s="55"/>
      <c r="CW85" s="55"/>
      <c r="CX85" s="55"/>
      <c r="CY85" s="55"/>
      <c r="CZ85" s="55"/>
      <c r="DA85" s="55"/>
      <c r="DB85" s="55"/>
      <c r="DC85" s="55"/>
      <c r="DD85" s="55"/>
      <c r="DE85" s="55"/>
      <c r="DF85" s="55"/>
      <c r="DG85" s="55"/>
      <c r="DH85" s="55"/>
      <c r="DI85" s="55"/>
    </row>
    <row r="86" spans="1:113" x14ac:dyDescent="0.25">
      <c r="A86" s="152">
        <v>2</v>
      </c>
      <c r="B86" s="79" t="s">
        <v>170</v>
      </c>
      <c r="C86" s="80">
        <v>5000</v>
      </c>
      <c r="D86" s="142">
        <v>582.69000000000005</v>
      </c>
      <c r="E86" s="43">
        <v>0</v>
      </c>
      <c r="F86" s="43"/>
      <c r="G86" s="139">
        <f t="shared" si="41"/>
        <v>0</v>
      </c>
      <c r="H86" s="55">
        <f>700-700</f>
        <v>0</v>
      </c>
      <c r="I86" s="56">
        <f t="shared" si="42"/>
        <v>0</v>
      </c>
      <c r="J86" s="56">
        <f t="shared" si="43"/>
        <v>0</v>
      </c>
      <c r="K86" s="57">
        <f t="shared" si="44"/>
        <v>0</v>
      </c>
      <c r="L86"/>
      <c r="M86" s="314">
        <f t="shared" si="45"/>
        <v>0</v>
      </c>
      <c r="N86" s="310"/>
      <c r="O86" s="315"/>
      <c r="P86" s="315"/>
      <c r="Q86" s="315"/>
      <c r="R86" s="315"/>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c r="BP86" s="55"/>
      <c r="BQ86" s="55"/>
      <c r="BR86" s="55"/>
      <c r="BS86" s="55"/>
      <c r="BT86" s="55"/>
      <c r="BU86" s="55"/>
      <c r="BV86" s="55"/>
      <c r="BW86" s="55"/>
      <c r="BX86" s="55"/>
      <c r="BY86" s="55"/>
      <c r="BZ86" s="55"/>
      <c r="CA86" s="55"/>
      <c r="CB86" s="55"/>
      <c r="CC86" s="55"/>
      <c r="CD86" s="55"/>
      <c r="CE86" s="55"/>
      <c r="CF86" s="55"/>
      <c r="CG86" s="55"/>
      <c r="CH86" s="55"/>
      <c r="CI86" s="55"/>
      <c r="CJ86" s="55"/>
      <c r="CK86" s="55"/>
      <c r="CL86" s="55"/>
      <c r="CM86" s="55"/>
      <c r="CN86" s="55"/>
      <c r="CO86" s="55"/>
      <c r="CP86" s="55"/>
      <c r="CQ86" s="55"/>
      <c r="CR86" s="55"/>
      <c r="CS86" s="55"/>
      <c r="CT86" s="55"/>
      <c r="CU86" s="55"/>
      <c r="CV86" s="55"/>
      <c r="CW86" s="55"/>
      <c r="CX86" s="55"/>
      <c r="CY86" s="55"/>
      <c r="CZ86" s="55"/>
      <c r="DA86" s="55"/>
      <c r="DB86" s="55"/>
      <c r="DC86" s="55"/>
      <c r="DD86" s="55"/>
      <c r="DE86" s="55"/>
      <c r="DF86" s="55"/>
      <c r="DG86" s="55"/>
      <c r="DH86" s="55"/>
      <c r="DI86" s="55"/>
    </row>
    <row r="87" spans="1:113" x14ac:dyDescent="0.25">
      <c r="A87" s="152">
        <v>3</v>
      </c>
      <c r="B87" s="79" t="s">
        <v>171</v>
      </c>
      <c r="C87" s="80">
        <v>5000</v>
      </c>
      <c r="D87" s="142">
        <v>582.69000000000005</v>
      </c>
      <c r="E87" s="43">
        <v>0</v>
      </c>
      <c r="F87" s="43"/>
      <c r="G87" s="139">
        <f t="shared" si="41"/>
        <v>0</v>
      </c>
      <c r="H87" s="55">
        <f>700-700</f>
        <v>0</v>
      </c>
      <c r="I87" s="56">
        <f t="shared" si="42"/>
        <v>0</v>
      </c>
      <c r="J87" s="56">
        <f t="shared" si="43"/>
        <v>0</v>
      </c>
      <c r="K87" s="57">
        <f t="shared" si="44"/>
        <v>0</v>
      </c>
      <c r="L87"/>
      <c r="M87" s="314">
        <f t="shared" ref="M87:M100" si="46">SUM(N87:DJ87)</f>
        <v>0</v>
      </c>
      <c r="N87" s="310"/>
      <c r="O87" s="315"/>
      <c r="P87" s="315"/>
      <c r="Q87" s="315"/>
      <c r="R87" s="315"/>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c r="BQ87" s="55"/>
      <c r="BR87" s="55"/>
      <c r="BS87" s="55"/>
      <c r="BT87" s="55"/>
      <c r="BU87" s="55"/>
      <c r="BV87" s="55"/>
      <c r="BW87" s="55"/>
      <c r="BX87" s="55"/>
      <c r="BY87" s="55"/>
      <c r="BZ87" s="55"/>
      <c r="CA87" s="55"/>
      <c r="CB87" s="55"/>
      <c r="CC87" s="55"/>
      <c r="CD87" s="55"/>
      <c r="CE87" s="55"/>
      <c r="CF87" s="55"/>
      <c r="CG87" s="55"/>
      <c r="CH87" s="55"/>
      <c r="CI87" s="55"/>
      <c r="CJ87" s="55"/>
      <c r="CK87" s="55"/>
      <c r="CL87" s="55"/>
      <c r="CM87" s="55"/>
      <c r="CN87" s="55"/>
      <c r="CO87" s="55"/>
      <c r="CP87" s="55"/>
      <c r="CQ87" s="55"/>
      <c r="CR87" s="55"/>
      <c r="CS87" s="55"/>
      <c r="CT87" s="55"/>
      <c r="CU87" s="55"/>
      <c r="CV87" s="55"/>
      <c r="CW87" s="55"/>
      <c r="CX87" s="55"/>
      <c r="CY87" s="55"/>
      <c r="CZ87" s="55"/>
      <c r="DA87" s="55"/>
      <c r="DB87" s="55"/>
      <c r="DC87" s="55"/>
      <c r="DD87" s="55"/>
      <c r="DE87" s="55"/>
      <c r="DF87" s="55"/>
      <c r="DG87" s="55"/>
      <c r="DH87" s="55"/>
      <c r="DI87" s="55"/>
    </row>
    <row r="88" spans="1:113" x14ac:dyDescent="0.25">
      <c r="A88" s="152">
        <v>4</v>
      </c>
      <c r="B88" s="79" t="s">
        <v>172</v>
      </c>
      <c r="C88" s="80">
        <v>5000</v>
      </c>
      <c r="D88" s="142">
        <v>539.53</v>
      </c>
      <c r="E88" s="43">
        <v>0</v>
      </c>
      <c r="F88" s="43"/>
      <c r="G88" s="139">
        <f t="shared" si="41"/>
        <v>0</v>
      </c>
      <c r="H88" s="55">
        <f>3485-3485+200-200</f>
        <v>0</v>
      </c>
      <c r="I88" s="56">
        <f t="shared" si="42"/>
        <v>0</v>
      </c>
      <c r="J88" s="56">
        <f t="shared" si="43"/>
        <v>0</v>
      </c>
      <c r="K88" s="57">
        <f t="shared" si="44"/>
        <v>0</v>
      </c>
      <c r="L88"/>
      <c r="M88" s="314">
        <f t="shared" si="46"/>
        <v>0</v>
      </c>
      <c r="N88" s="310"/>
      <c r="O88" s="315"/>
      <c r="P88" s="315"/>
      <c r="Q88" s="315"/>
      <c r="R88" s="315"/>
      <c r="S88" s="55"/>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c r="BM88" s="55"/>
      <c r="BN88" s="55"/>
      <c r="BO88" s="55"/>
      <c r="BP88" s="55"/>
      <c r="BQ88" s="55"/>
      <c r="BR88" s="55"/>
      <c r="BS88" s="55"/>
      <c r="BT88" s="55"/>
      <c r="BU88" s="55"/>
      <c r="BV88" s="55"/>
      <c r="BW88" s="55"/>
      <c r="BX88" s="55"/>
      <c r="BY88" s="55"/>
      <c r="BZ88" s="55"/>
      <c r="CA88" s="55"/>
      <c r="CB88" s="55"/>
      <c r="CC88" s="55"/>
      <c r="CD88" s="55"/>
      <c r="CE88" s="55"/>
      <c r="CF88" s="55"/>
      <c r="CG88" s="55"/>
      <c r="CH88" s="55"/>
      <c r="CI88" s="55"/>
      <c r="CJ88" s="55"/>
      <c r="CK88" s="55"/>
      <c r="CL88" s="55"/>
      <c r="CM88" s="55"/>
      <c r="CN88" s="55"/>
      <c r="CO88" s="55"/>
      <c r="CP88" s="55"/>
      <c r="CQ88" s="55"/>
      <c r="CR88" s="55"/>
      <c r="CS88" s="55"/>
      <c r="CT88" s="55"/>
      <c r="CU88" s="55"/>
      <c r="CV88" s="55"/>
      <c r="CW88" s="55"/>
      <c r="CX88" s="55"/>
      <c r="CY88" s="55"/>
      <c r="CZ88" s="55"/>
      <c r="DA88" s="55"/>
      <c r="DB88" s="55"/>
      <c r="DC88" s="55"/>
      <c r="DD88" s="55"/>
      <c r="DE88" s="55"/>
      <c r="DF88" s="55"/>
      <c r="DG88" s="55"/>
      <c r="DH88" s="55"/>
      <c r="DI88" s="55"/>
    </row>
    <row r="89" spans="1:113" x14ac:dyDescent="0.25">
      <c r="A89" s="152">
        <v>5</v>
      </c>
      <c r="B89" s="79" t="s">
        <v>173</v>
      </c>
      <c r="C89" s="80">
        <v>5000</v>
      </c>
      <c r="D89" s="142">
        <v>735.57</v>
      </c>
      <c r="E89" s="43">
        <v>0</v>
      </c>
      <c r="F89" s="43"/>
      <c r="G89" s="139">
        <f t="shared" si="41"/>
        <v>0</v>
      </c>
      <c r="H89" s="55">
        <f>9355-9355</f>
        <v>0</v>
      </c>
      <c r="I89" s="56">
        <f t="shared" si="42"/>
        <v>0</v>
      </c>
      <c r="J89" s="56">
        <f t="shared" si="43"/>
        <v>0</v>
      </c>
      <c r="K89" s="57">
        <f t="shared" si="44"/>
        <v>0</v>
      </c>
      <c r="L89"/>
      <c r="M89" s="314">
        <f t="shared" si="46"/>
        <v>0</v>
      </c>
      <c r="N89" s="310"/>
      <c r="O89" s="315"/>
      <c r="P89" s="315"/>
      <c r="Q89" s="315"/>
      <c r="R89" s="315"/>
      <c r="S89" s="55"/>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c r="BM89" s="55"/>
      <c r="BN89" s="55"/>
      <c r="BO89" s="55"/>
      <c r="BP89" s="55"/>
      <c r="BQ89" s="55"/>
      <c r="BR89" s="55"/>
      <c r="BS89" s="55"/>
      <c r="BT89" s="55"/>
      <c r="BU89" s="55"/>
      <c r="BV89" s="55"/>
      <c r="BW89" s="55"/>
      <c r="BX89" s="55"/>
      <c r="BY89" s="55"/>
      <c r="BZ89" s="55"/>
      <c r="CA89" s="55"/>
      <c r="CB89" s="55"/>
      <c r="CC89" s="55"/>
      <c r="CD89" s="55"/>
      <c r="CE89" s="55"/>
      <c r="CF89" s="55"/>
      <c r="CG89" s="55"/>
      <c r="CH89" s="55"/>
      <c r="CI89" s="55"/>
      <c r="CJ89" s="55"/>
      <c r="CK89" s="55"/>
      <c r="CL89" s="55"/>
      <c r="CM89" s="55"/>
      <c r="CN89" s="55"/>
      <c r="CO89" s="55"/>
      <c r="CP89" s="55"/>
      <c r="CQ89" s="55"/>
      <c r="CR89" s="55"/>
      <c r="CS89" s="55"/>
      <c r="CT89" s="55"/>
      <c r="CU89" s="55"/>
      <c r="CV89" s="55"/>
      <c r="CW89" s="55"/>
      <c r="CX89" s="55"/>
      <c r="CY89" s="55"/>
      <c r="CZ89" s="55"/>
      <c r="DA89" s="55"/>
      <c r="DB89" s="55"/>
      <c r="DC89" s="55"/>
      <c r="DD89" s="55"/>
      <c r="DE89" s="55"/>
      <c r="DF89" s="55"/>
      <c r="DG89" s="55"/>
      <c r="DH89" s="55"/>
      <c r="DI89" s="55"/>
    </row>
    <row r="90" spans="1:113" x14ac:dyDescent="0.25">
      <c r="A90" s="152">
        <v>6</v>
      </c>
      <c r="B90" s="79" t="s">
        <v>174</v>
      </c>
      <c r="C90" s="80">
        <v>5000</v>
      </c>
      <c r="D90" s="142">
        <v>634.70000000000005</v>
      </c>
      <c r="E90" s="43">
        <v>0</v>
      </c>
      <c r="F90" s="43"/>
      <c r="G90" s="139">
        <f t="shared" si="41"/>
        <v>0</v>
      </c>
      <c r="H90" s="55">
        <f>6920-6920</f>
        <v>0</v>
      </c>
      <c r="I90" s="56">
        <f t="shared" si="42"/>
        <v>0</v>
      </c>
      <c r="J90" s="56">
        <f t="shared" si="43"/>
        <v>0</v>
      </c>
      <c r="K90" s="57">
        <f t="shared" si="44"/>
        <v>0</v>
      </c>
      <c r="L90"/>
      <c r="M90" s="314">
        <f t="shared" si="46"/>
        <v>0</v>
      </c>
      <c r="N90" s="310"/>
      <c r="O90" s="315"/>
      <c r="P90" s="315"/>
      <c r="Q90" s="315"/>
      <c r="R90" s="315"/>
      <c r="S90" s="55"/>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c r="BM90" s="55"/>
      <c r="BN90" s="55"/>
      <c r="BO90" s="55"/>
      <c r="BP90" s="55"/>
      <c r="BQ90" s="55"/>
      <c r="BR90" s="55"/>
      <c r="BS90" s="55"/>
      <c r="BT90" s="55"/>
      <c r="BU90" s="55"/>
      <c r="BV90" s="55"/>
      <c r="BW90" s="55"/>
      <c r="BX90" s="55"/>
      <c r="BY90" s="55"/>
      <c r="BZ90" s="55"/>
      <c r="CA90" s="55"/>
      <c r="CB90" s="55"/>
      <c r="CC90" s="55"/>
      <c r="CD90" s="55"/>
      <c r="CE90" s="55"/>
      <c r="CF90" s="55"/>
      <c r="CG90" s="55"/>
      <c r="CH90" s="55"/>
      <c r="CI90" s="55"/>
      <c r="CJ90" s="55"/>
      <c r="CK90" s="55"/>
      <c r="CL90" s="55"/>
      <c r="CM90" s="55"/>
      <c r="CN90" s="55"/>
      <c r="CO90" s="55"/>
      <c r="CP90" s="55"/>
      <c r="CQ90" s="55"/>
      <c r="CR90" s="55"/>
      <c r="CS90" s="55"/>
      <c r="CT90" s="55"/>
      <c r="CU90" s="55"/>
      <c r="CV90" s="55"/>
      <c r="CW90" s="55"/>
      <c r="CX90" s="55"/>
      <c r="CY90" s="55"/>
      <c r="CZ90" s="55"/>
      <c r="DA90" s="55"/>
      <c r="DB90" s="55"/>
      <c r="DC90" s="55"/>
      <c r="DD90" s="55"/>
      <c r="DE90" s="55"/>
      <c r="DF90" s="55"/>
      <c r="DG90" s="55"/>
      <c r="DH90" s="55"/>
      <c r="DI90" s="55"/>
    </row>
    <row r="91" spans="1:113" ht="15.75" thickBot="1" x14ac:dyDescent="0.3">
      <c r="A91" s="153">
        <v>7</v>
      </c>
      <c r="B91" s="144" t="s">
        <v>175</v>
      </c>
      <c r="C91" s="82">
        <v>5000</v>
      </c>
      <c r="D91" s="145">
        <v>807.02</v>
      </c>
      <c r="E91" s="154">
        <v>0</v>
      </c>
      <c r="F91" s="154"/>
      <c r="G91" s="147">
        <f t="shared" si="41"/>
        <v>0</v>
      </c>
      <c r="H91" s="55">
        <f>525-525</f>
        <v>0</v>
      </c>
      <c r="I91" s="64">
        <f t="shared" si="42"/>
        <v>0</v>
      </c>
      <c r="J91" s="64">
        <f t="shared" si="43"/>
        <v>0</v>
      </c>
      <c r="K91" s="65">
        <f t="shared" si="44"/>
        <v>0</v>
      </c>
      <c r="L91"/>
      <c r="M91" s="314">
        <f t="shared" si="46"/>
        <v>0</v>
      </c>
      <c r="N91" s="310"/>
      <c r="O91" s="315"/>
      <c r="P91" s="315"/>
      <c r="Q91" s="315"/>
      <c r="R91" s="315"/>
      <c r="S91" s="55"/>
      <c r="T91" s="55"/>
      <c r="U91" s="55"/>
      <c r="V91" s="55"/>
      <c r="W91" s="55"/>
      <c r="X91" s="55"/>
      <c r="Y91" s="55"/>
      <c r="Z91" s="55"/>
      <c r="AA91" s="55"/>
      <c r="AB91" s="55"/>
      <c r="AC91" s="55"/>
      <c r="AD91" s="55"/>
      <c r="AE91" s="55"/>
      <c r="AF91" s="55"/>
      <c r="AG91" s="55"/>
      <c r="AH91" s="55"/>
      <c r="AI91" s="55"/>
      <c r="AJ91" s="55"/>
      <c r="AK91" s="55"/>
      <c r="AL91" s="55"/>
      <c r="AM91" s="55"/>
      <c r="AN91" s="55"/>
      <c r="AO91" s="55"/>
      <c r="AP91" s="55"/>
      <c r="AQ91" s="55"/>
      <c r="AR91" s="55"/>
      <c r="AS91" s="55"/>
      <c r="AT91" s="55"/>
      <c r="AU91" s="55"/>
      <c r="AV91" s="55"/>
      <c r="AW91" s="55"/>
      <c r="AX91" s="55"/>
      <c r="AY91" s="55"/>
      <c r="AZ91" s="55"/>
      <c r="BA91" s="55"/>
      <c r="BB91" s="55"/>
      <c r="BC91" s="55"/>
      <c r="BD91" s="55"/>
      <c r="BE91" s="55"/>
      <c r="BF91" s="55"/>
      <c r="BG91" s="55"/>
      <c r="BH91" s="55"/>
      <c r="BI91" s="55"/>
      <c r="BJ91" s="55"/>
      <c r="BK91" s="55"/>
      <c r="BL91" s="55"/>
      <c r="BM91" s="55"/>
      <c r="BN91" s="55"/>
      <c r="BO91" s="55"/>
      <c r="BP91" s="55"/>
      <c r="BQ91" s="55"/>
      <c r="BR91" s="55"/>
      <c r="BS91" s="55"/>
      <c r="BT91" s="55"/>
      <c r="BU91" s="55"/>
      <c r="BV91" s="55"/>
      <c r="BW91" s="55"/>
      <c r="BX91" s="55"/>
      <c r="BY91" s="55"/>
      <c r="BZ91" s="55"/>
      <c r="CA91" s="55"/>
      <c r="CB91" s="55"/>
      <c r="CC91" s="55"/>
      <c r="CD91" s="55"/>
      <c r="CE91" s="55"/>
      <c r="CF91" s="55"/>
      <c r="CG91" s="55"/>
      <c r="CH91" s="55"/>
      <c r="CI91" s="55"/>
      <c r="CJ91" s="55"/>
      <c r="CK91" s="55"/>
      <c r="CL91" s="55"/>
      <c r="CM91" s="55"/>
      <c r="CN91" s="55"/>
      <c r="CO91" s="55"/>
      <c r="CP91" s="55"/>
      <c r="CQ91" s="55"/>
      <c r="CR91" s="55"/>
      <c r="CS91" s="55"/>
      <c r="CT91" s="55"/>
      <c r="CU91" s="55"/>
      <c r="CV91" s="55"/>
      <c r="CW91" s="55"/>
      <c r="CX91" s="55"/>
      <c r="CY91" s="55"/>
      <c r="CZ91" s="55"/>
      <c r="DA91" s="55"/>
      <c r="DB91" s="55"/>
      <c r="DC91" s="55"/>
      <c r="DD91" s="55"/>
      <c r="DE91" s="55"/>
      <c r="DF91" s="55"/>
      <c r="DG91" s="55"/>
      <c r="DH91" s="55"/>
      <c r="DI91" s="55"/>
    </row>
    <row r="92" spans="1:113" ht="15.75" thickBot="1" x14ac:dyDescent="0.3">
      <c r="A92" s="128"/>
      <c r="B92" s="119" t="s">
        <v>705</v>
      </c>
      <c r="C92" s="36"/>
      <c r="D92" s="29"/>
      <c r="E92" s="29">
        <f>SUM(E85:E91)</f>
        <v>0</v>
      </c>
      <c r="F92" s="29">
        <f>SUM(F85:F91)</f>
        <v>0</v>
      </c>
      <c r="G92" s="29">
        <f>SUM(G85:G91)</f>
        <v>0</v>
      </c>
      <c r="H92" s="29">
        <f>SUM(H85:H91)</f>
        <v>0</v>
      </c>
      <c r="I92" s="29">
        <f>SUM(I85:I91)</f>
        <v>0</v>
      </c>
      <c r="J92" s="29">
        <f t="shared" ref="J92:K92" si="47">SUM(J85:J91)</f>
        <v>0</v>
      </c>
      <c r="K92" s="47">
        <f t="shared" si="47"/>
        <v>0</v>
      </c>
      <c r="L92"/>
      <c r="M92" s="322">
        <f t="shared" si="46"/>
        <v>0</v>
      </c>
      <c r="N92" s="325"/>
      <c r="O92" s="325"/>
      <c r="P92" s="325"/>
      <c r="Q92" s="325"/>
      <c r="R92" s="325"/>
      <c r="S92" s="324"/>
      <c r="T92" s="324"/>
      <c r="U92" s="324"/>
      <c r="V92" s="324"/>
      <c r="W92" s="324"/>
      <c r="X92" s="324"/>
      <c r="Y92" s="324"/>
      <c r="Z92" s="324"/>
      <c r="AA92" s="324"/>
      <c r="AB92" s="324"/>
      <c r="AC92" s="324"/>
      <c r="AD92" s="324"/>
      <c r="AE92" s="324"/>
      <c r="AF92" s="324"/>
      <c r="AG92" s="324"/>
      <c r="AH92" s="324"/>
      <c r="AI92" s="324"/>
      <c r="AJ92" s="324"/>
      <c r="AK92" s="324"/>
      <c r="AL92" s="324"/>
      <c r="AM92" s="324"/>
      <c r="AN92" s="324"/>
      <c r="AO92" s="324"/>
      <c r="AP92" s="324"/>
      <c r="AQ92" s="324"/>
      <c r="AR92" s="324"/>
      <c r="AS92" s="324"/>
      <c r="AT92" s="324"/>
      <c r="AU92" s="324"/>
      <c r="AV92" s="324"/>
      <c r="AW92" s="324"/>
      <c r="AX92" s="324"/>
      <c r="AY92" s="324"/>
      <c r="AZ92" s="324"/>
      <c r="BA92" s="324"/>
      <c r="BB92" s="324"/>
      <c r="BC92" s="324"/>
      <c r="BD92" s="324"/>
      <c r="BE92" s="324"/>
      <c r="BF92" s="324"/>
      <c r="BG92" s="324"/>
      <c r="BH92" s="324"/>
      <c r="BI92" s="324"/>
      <c r="BJ92" s="324"/>
      <c r="BK92" s="324"/>
      <c r="BL92" s="324"/>
      <c r="BM92" s="324"/>
      <c r="BN92" s="324"/>
      <c r="BO92" s="324"/>
      <c r="BP92" s="324"/>
      <c r="BQ92" s="324"/>
      <c r="BR92" s="324"/>
      <c r="BS92" s="324"/>
      <c r="BT92" s="324"/>
      <c r="BU92" s="324"/>
      <c r="BV92" s="324"/>
      <c r="BW92" s="324"/>
      <c r="BX92" s="324"/>
      <c r="BY92" s="324"/>
      <c r="BZ92" s="324"/>
      <c r="CA92" s="324"/>
      <c r="CB92" s="324"/>
      <c r="CC92" s="324"/>
      <c r="CD92" s="324"/>
      <c r="CE92" s="324"/>
      <c r="CF92" s="324"/>
      <c r="CG92" s="324"/>
      <c r="CH92" s="324"/>
      <c r="CI92" s="324"/>
      <c r="CJ92" s="324"/>
      <c r="CK92" s="324"/>
      <c r="CL92" s="324"/>
      <c r="CM92" s="324"/>
      <c r="CN92" s="324"/>
      <c r="CO92" s="324"/>
      <c r="CP92" s="324"/>
      <c r="CQ92" s="324"/>
      <c r="CR92" s="324"/>
      <c r="CS92" s="324"/>
      <c r="CT92" s="324"/>
      <c r="CU92" s="324"/>
      <c r="CV92" s="324"/>
      <c r="CW92" s="324"/>
      <c r="CX92" s="324"/>
      <c r="CY92" s="324"/>
      <c r="CZ92" s="324"/>
      <c r="DA92" s="324"/>
      <c r="DB92" s="324"/>
      <c r="DC92" s="324"/>
      <c r="DD92" s="324"/>
      <c r="DE92" s="324"/>
      <c r="DF92" s="324"/>
      <c r="DG92" s="324"/>
      <c r="DH92" s="324"/>
      <c r="DI92" s="324"/>
    </row>
    <row r="93" spans="1:113" customFormat="1" ht="15.75" thickBot="1" x14ac:dyDescent="0.3"/>
    <row r="94" spans="1:113" ht="15.75" thickBot="1" x14ac:dyDescent="0.3">
      <c r="A94" s="407" t="s">
        <v>657</v>
      </c>
      <c r="B94" s="414" t="s">
        <v>0</v>
      </c>
      <c r="C94" s="414" t="s">
        <v>1</v>
      </c>
      <c r="D94" s="415" t="s">
        <v>649</v>
      </c>
      <c r="E94" s="416" t="s">
        <v>19</v>
      </c>
      <c r="F94" s="416"/>
      <c r="G94" s="416"/>
      <c r="H94" s="416"/>
      <c r="I94" s="416"/>
      <c r="J94" s="410" t="s">
        <v>21</v>
      </c>
      <c r="K94" s="417" t="s">
        <v>602</v>
      </c>
      <c r="L94"/>
      <c r="M94" s="403" t="s">
        <v>601</v>
      </c>
      <c r="N94" s="403" t="s">
        <v>924</v>
      </c>
      <c r="O94" s="403"/>
      <c r="P94" s="403"/>
      <c r="Q94" s="403"/>
      <c r="R94" s="403"/>
      <c r="S94" s="403"/>
      <c r="T94" s="403"/>
      <c r="U94" s="403"/>
      <c r="V94" s="403"/>
      <c r="W94" s="403"/>
      <c r="X94" s="403"/>
      <c r="Y94" s="403"/>
      <c r="Z94" s="403"/>
      <c r="AA94" s="403"/>
      <c r="AB94" s="403"/>
      <c r="AC94" s="403"/>
      <c r="AD94" s="403"/>
      <c r="AE94" s="403"/>
      <c r="AF94" s="403"/>
      <c r="AG94" s="403"/>
      <c r="AH94" s="403"/>
      <c r="AI94" s="403"/>
      <c r="AJ94" s="403"/>
      <c r="AK94" s="403"/>
      <c r="AL94" s="403"/>
      <c r="AM94" s="403"/>
      <c r="AN94" s="403"/>
      <c r="AO94" s="403"/>
      <c r="AP94" s="403"/>
      <c r="AQ94" s="403"/>
      <c r="AR94" s="403"/>
      <c r="AS94" s="403"/>
      <c r="AT94" s="403"/>
      <c r="AU94" s="403"/>
      <c r="AV94" s="403"/>
      <c r="AW94" s="403"/>
      <c r="AX94" s="403"/>
      <c r="AY94" s="403"/>
      <c r="AZ94" s="403"/>
      <c r="BA94" s="403"/>
      <c r="BB94" s="403"/>
      <c r="BC94" s="403"/>
      <c r="BD94" s="403"/>
      <c r="BE94" s="403"/>
      <c r="BF94" s="403"/>
      <c r="BG94" s="403"/>
      <c r="BH94" s="403"/>
      <c r="BI94" s="403"/>
      <c r="BJ94" s="403"/>
      <c r="BK94" s="403"/>
      <c r="BL94" s="403"/>
      <c r="BM94" s="403"/>
      <c r="BN94" s="403"/>
      <c r="BO94" s="403"/>
      <c r="BP94" s="403"/>
      <c r="BQ94" s="403"/>
      <c r="BR94" s="403"/>
      <c r="BS94" s="403"/>
      <c r="BT94" s="403"/>
      <c r="BU94" s="403"/>
      <c r="BV94" s="403"/>
      <c r="BW94" s="403"/>
      <c r="BX94" s="403"/>
      <c r="BY94" s="403"/>
      <c r="BZ94" s="403"/>
      <c r="CA94" s="403"/>
      <c r="CB94" s="403"/>
      <c r="CC94" s="403"/>
      <c r="CD94" s="403"/>
      <c r="CE94" s="403"/>
      <c r="CF94" s="403"/>
      <c r="CG94" s="403"/>
      <c r="CH94" s="403"/>
      <c r="CI94" s="403"/>
      <c r="CJ94" s="403"/>
      <c r="CK94" s="403"/>
      <c r="CL94" s="403"/>
      <c r="CM94" s="403"/>
      <c r="CN94" s="403"/>
      <c r="CO94" s="403"/>
      <c r="CP94" s="403"/>
      <c r="CQ94" s="403"/>
      <c r="CR94" s="403"/>
      <c r="CS94" s="403"/>
      <c r="CT94" s="403"/>
      <c r="CU94" s="403"/>
      <c r="CV94" s="403"/>
      <c r="CW94" s="403"/>
      <c r="CX94" s="403"/>
      <c r="CY94" s="403"/>
      <c r="CZ94" s="403"/>
      <c r="DA94" s="403"/>
      <c r="DB94" s="403"/>
      <c r="DC94" s="403"/>
      <c r="DD94" s="403"/>
      <c r="DE94" s="403"/>
      <c r="DF94" s="403"/>
      <c r="DG94" s="403"/>
      <c r="DH94" s="403"/>
      <c r="DI94" s="403"/>
    </row>
    <row r="95" spans="1:113" ht="15.75" thickBot="1" x14ac:dyDescent="0.3">
      <c r="A95" s="408"/>
      <c r="B95" s="414"/>
      <c r="C95" s="414"/>
      <c r="D95" s="415"/>
      <c r="E95" s="68" t="s">
        <v>22</v>
      </c>
      <c r="F95" s="68" t="s">
        <v>600</v>
      </c>
      <c r="G95" s="68" t="s">
        <v>601</v>
      </c>
      <c r="H95" s="68" t="s">
        <v>589</v>
      </c>
      <c r="I95" s="68" t="s">
        <v>601</v>
      </c>
      <c r="J95" s="411"/>
      <c r="K95" s="418"/>
      <c r="L95"/>
      <c r="M95" s="403"/>
      <c r="N95" s="400" t="s">
        <v>925</v>
      </c>
      <c r="O95" s="400" t="s">
        <v>926</v>
      </c>
      <c r="P95" s="400"/>
      <c r="Q95" s="400"/>
      <c r="R95" s="400"/>
      <c r="S95" s="398"/>
      <c r="T95" s="398"/>
      <c r="U95" s="398"/>
      <c r="V95" s="398"/>
      <c r="W95" s="398"/>
      <c r="X95" s="398"/>
      <c r="Y95" s="398"/>
      <c r="Z95" s="398"/>
      <c r="AA95" s="398"/>
      <c r="AB95" s="398"/>
      <c r="AC95" s="398"/>
      <c r="AD95" s="398"/>
      <c r="AE95" s="398"/>
      <c r="AF95" s="398"/>
      <c r="AG95" s="398"/>
      <c r="AH95" s="398"/>
      <c r="AI95" s="398"/>
      <c r="AJ95" s="398"/>
      <c r="AK95" s="398"/>
      <c r="AL95" s="398"/>
      <c r="AM95" s="398"/>
      <c r="AN95" s="398"/>
      <c r="AO95" s="398"/>
      <c r="AP95" s="398"/>
      <c r="AQ95" s="398"/>
      <c r="AR95" s="398"/>
      <c r="AS95" s="398"/>
      <c r="AT95" s="398"/>
      <c r="AU95" s="398"/>
      <c r="AV95" s="398"/>
      <c r="AW95" s="398"/>
      <c r="AX95" s="398"/>
      <c r="AY95" s="398"/>
      <c r="AZ95" s="398"/>
      <c r="BA95" s="398"/>
      <c r="BB95" s="398"/>
      <c r="BC95" s="398"/>
      <c r="BD95" s="398"/>
      <c r="BE95" s="398"/>
      <c r="BF95" s="398"/>
      <c r="BG95" s="398"/>
      <c r="BH95" s="398"/>
      <c r="BI95" s="398"/>
      <c r="BJ95" s="398"/>
      <c r="BK95" s="398"/>
      <c r="BL95" s="398"/>
      <c r="BM95" s="398"/>
      <c r="BN95" s="398"/>
      <c r="BO95" s="398"/>
      <c r="BP95" s="398"/>
      <c r="BQ95" s="398"/>
      <c r="BR95" s="398"/>
      <c r="BS95" s="398"/>
      <c r="BT95" s="398"/>
      <c r="BU95" s="398"/>
      <c r="BV95" s="398"/>
      <c r="BW95" s="398"/>
      <c r="BX95" s="398"/>
      <c r="BY95" s="398"/>
      <c r="BZ95" s="398"/>
      <c r="CA95" s="398"/>
      <c r="CB95" s="398"/>
      <c r="CC95" s="398"/>
      <c r="CD95" s="398"/>
      <c r="CE95" s="398"/>
      <c r="CF95" s="398"/>
      <c r="CG95" s="398"/>
      <c r="CH95" s="398"/>
      <c r="CI95" s="398"/>
      <c r="CJ95" s="398"/>
      <c r="CK95" s="398"/>
      <c r="CL95" s="398"/>
      <c r="CM95" s="398"/>
      <c r="CN95" s="398"/>
      <c r="CO95" s="398"/>
      <c r="CP95" s="398"/>
      <c r="CQ95" s="398"/>
      <c r="CR95" s="398"/>
      <c r="CS95" s="398"/>
      <c r="CT95" s="398"/>
      <c r="CU95" s="398"/>
      <c r="CV95" s="398"/>
      <c r="CW95" s="398"/>
      <c r="CX95" s="398"/>
      <c r="CY95" s="398"/>
      <c r="CZ95" s="398"/>
      <c r="DA95" s="398"/>
      <c r="DB95" s="398"/>
      <c r="DC95" s="398"/>
      <c r="DD95" s="398"/>
      <c r="DE95" s="398"/>
      <c r="DF95" s="398"/>
      <c r="DG95" s="398"/>
      <c r="DH95" s="398"/>
      <c r="DI95" s="398"/>
    </row>
    <row r="96" spans="1:113" ht="15.75" thickBot="1" x14ac:dyDescent="0.3">
      <c r="A96" s="409"/>
      <c r="B96" s="124">
        <v>1</v>
      </c>
      <c r="C96" s="124">
        <v>2</v>
      </c>
      <c r="D96" s="124">
        <v>3</v>
      </c>
      <c r="E96" s="70">
        <v>4</v>
      </c>
      <c r="F96" s="70">
        <f>+E96+1</f>
        <v>5</v>
      </c>
      <c r="G96" s="70" t="s">
        <v>652</v>
      </c>
      <c r="H96" s="70">
        <v>7</v>
      </c>
      <c r="I96" s="71" t="s">
        <v>651</v>
      </c>
      <c r="J96" s="42" t="s">
        <v>650</v>
      </c>
      <c r="K96" s="42" t="s">
        <v>653</v>
      </c>
      <c r="L96"/>
      <c r="M96" s="403"/>
      <c r="N96" s="402"/>
      <c r="O96" s="402"/>
      <c r="P96" s="402"/>
      <c r="Q96" s="402"/>
      <c r="R96" s="402"/>
      <c r="S96" s="399"/>
      <c r="T96" s="399"/>
      <c r="U96" s="399"/>
      <c r="V96" s="399"/>
      <c r="W96" s="399"/>
      <c r="X96" s="399"/>
      <c r="Y96" s="399"/>
      <c r="Z96" s="399"/>
      <c r="AA96" s="399"/>
      <c r="AB96" s="399"/>
      <c r="AC96" s="399"/>
      <c r="AD96" s="399"/>
      <c r="AE96" s="399"/>
      <c r="AF96" s="399"/>
      <c r="AG96" s="399"/>
      <c r="AH96" s="399"/>
      <c r="AI96" s="399"/>
      <c r="AJ96" s="399"/>
      <c r="AK96" s="399"/>
      <c r="AL96" s="399"/>
      <c r="AM96" s="399"/>
      <c r="AN96" s="399"/>
      <c r="AO96" s="399"/>
      <c r="AP96" s="399"/>
      <c r="AQ96" s="399"/>
      <c r="AR96" s="399"/>
      <c r="AS96" s="399"/>
      <c r="AT96" s="399"/>
      <c r="AU96" s="399"/>
      <c r="AV96" s="399"/>
      <c r="AW96" s="399"/>
      <c r="AX96" s="399"/>
      <c r="AY96" s="399"/>
      <c r="AZ96" s="399"/>
      <c r="BA96" s="399"/>
      <c r="BB96" s="399"/>
      <c r="BC96" s="399"/>
      <c r="BD96" s="399"/>
      <c r="BE96" s="399"/>
      <c r="BF96" s="399"/>
      <c r="BG96" s="399"/>
      <c r="BH96" s="399"/>
      <c r="BI96" s="399"/>
      <c r="BJ96" s="399"/>
      <c r="BK96" s="399"/>
      <c r="BL96" s="399"/>
      <c r="BM96" s="399"/>
      <c r="BN96" s="399"/>
      <c r="BO96" s="399"/>
      <c r="BP96" s="399"/>
      <c r="BQ96" s="399"/>
      <c r="BR96" s="399"/>
      <c r="BS96" s="399"/>
      <c r="BT96" s="399"/>
      <c r="BU96" s="399"/>
      <c r="BV96" s="399"/>
      <c r="BW96" s="399"/>
      <c r="BX96" s="399"/>
      <c r="BY96" s="399"/>
      <c r="BZ96" s="399"/>
      <c r="CA96" s="399"/>
      <c r="CB96" s="399"/>
      <c r="CC96" s="399"/>
      <c r="CD96" s="399"/>
      <c r="CE96" s="399"/>
      <c r="CF96" s="399"/>
      <c r="CG96" s="399"/>
      <c r="CH96" s="399"/>
      <c r="CI96" s="399"/>
      <c r="CJ96" s="399"/>
      <c r="CK96" s="399"/>
      <c r="CL96" s="399"/>
      <c r="CM96" s="399"/>
      <c r="CN96" s="399"/>
      <c r="CO96" s="399"/>
      <c r="CP96" s="399"/>
      <c r="CQ96" s="399"/>
      <c r="CR96" s="399"/>
      <c r="CS96" s="399"/>
      <c r="CT96" s="399"/>
      <c r="CU96" s="399"/>
      <c r="CV96" s="399"/>
      <c r="CW96" s="399"/>
      <c r="CX96" s="399"/>
      <c r="CY96" s="399"/>
      <c r="CZ96" s="399"/>
      <c r="DA96" s="399"/>
      <c r="DB96" s="399"/>
      <c r="DC96" s="399"/>
      <c r="DD96" s="399"/>
      <c r="DE96" s="399"/>
      <c r="DF96" s="399"/>
      <c r="DG96" s="399"/>
      <c r="DH96" s="399"/>
      <c r="DI96" s="399"/>
    </row>
    <row r="97" spans="1:113" x14ac:dyDescent="0.25">
      <c r="A97" s="160"/>
      <c r="B97" s="72" t="s">
        <v>706</v>
      </c>
      <c r="C97" s="54"/>
      <c r="D97" s="54"/>
      <c r="E97" s="54"/>
      <c r="F97" s="54"/>
      <c r="G97" s="54"/>
      <c r="H97" s="54"/>
      <c r="I97" s="54"/>
      <c r="J97" s="54"/>
      <c r="K97" s="54"/>
      <c r="L97"/>
      <c r="M97" s="314">
        <f t="shared" si="46"/>
        <v>0</v>
      </c>
      <c r="N97" s="310"/>
      <c r="O97" s="315"/>
      <c r="P97" s="315"/>
      <c r="Q97" s="315"/>
      <c r="R97" s="315"/>
      <c r="S97" s="5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c r="BP97" s="55"/>
      <c r="BQ97" s="55"/>
      <c r="BR97" s="55"/>
      <c r="BS97" s="55"/>
      <c r="BT97" s="55"/>
      <c r="BU97" s="55"/>
      <c r="BV97" s="55"/>
      <c r="BW97" s="55"/>
      <c r="BX97" s="55"/>
      <c r="BY97" s="55"/>
      <c r="BZ97" s="55"/>
      <c r="CA97" s="55"/>
      <c r="CB97" s="55"/>
      <c r="CC97" s="55"/>
      <c r="CD97" s="55"/>
      <c r="CE97" s="55"/>
      <c r="CF97" s="55"/>
      <c r="CG97" s="55"/>
      <c r="CH97" s="55"/>
      <c r="CI97" s="55"/>
      <c r="CJ97" s="55"/>
      <c r="CK97" s="55"/>
      <c r="CL97" s="55"/>
      <c r="CM97" s="55"/>
      <c r="CN97" s="55"/>
      <c r="CO97" s="55"/>
      <c r="CP97" s="55"/>
      <c r="CQ97" s="55"/>
      <c r="CR97" s="55"/>
      <c r="CS97" s="55"/>
      <c r="CT97" s="55"/>
      <c r="CU97" s="55"/>
      <c r="CV97" s="55"/>
      <c r="CW97" s="55"/>
      <c r="CX97" s="55"/>
      <c r="CY97" s="55"/>
      <c r="CZ97" s="55"/>
      <c r="DA97" s="55"/>
      <c r="DB97" s="55"/>
      <c r="DC97" s="55"/>
      <c r="DD97" s="55"/>
      <c r="DE97" s="55"/>
      <c r="DF97" s="55"/>
      <c r="DG97" s="55"/>
      <c r="DH97" s="55"/>
      <c r="DI97" s="55"/>
    </row>
    <row r="98" spans="1:113" x14ac:dyDescent="0.25">
      <c r="A98" s="152">
        <v>1</v>
      </c>
      <c r="B98" s="79" t="s">
        <v>852</v>
      </c>
      <c r="C98" s="80">
        <v>20000</v>
      </c>
      <c r="D98" s="142">
        <v>1728.55</v>
      </c>
      <c r="E98" s="43">
        <v>0</v>
      </c>
      <c r="F98" s="60"/>
      <c r="G98" s="139">
        <f t="shared" ref="G98:G104" si="48">+E98+F98</f>
        <v>0</v>
      </c>
      <c r="H98" s="55">
        <f>225-225</f>
        <v>0</v>
      </c>
      <c r="I98" s="56">
        <f t="shared" ref="I98:I104" si="49">+G98-H98</f>
        <v>0</v>
      </c>
      <c r="J98" s="56">
        <f t="shared" ref="J98:J104" si="50">I98*C98</f>
        <v>0</v>
      </c>
      <c r="K98" s="57">
        <f t="shared" ref="K98:K104" si="51">+D98*I98</f>
        <v>0</v>
      </c>
      <c r="L98"/>
      <c r="M98" s="314">
        <f t="shared" si="46"/>
        <v>0</v>
      </c>
      <c r="N98" s="310"/>
      <c r="O98" s="315"/>
      <c r="P98" s="315"/>
      <c r="Q98" s="315"/>
      <c r="R98" s="315"/>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c r="BP98" s="55"/>
      <c r="BQ98" s="55"/>
      <c r="BR98" s="55"/>
      <c r="BS98" s="55"/>
      <c r="BT98" s="55"/>
      <c r="BU98" s="55"/>
      <c r="BV98" s="55"/>
      <c r="BW98" s="55"/>
      <c r="BX98" s="55"/>
      <c r="BY98" s="55"/>
      <c r="BZ98" s="55"/>
      <c r="CA98" s="55"/>
      <c r="CB98" s="55"/>
      <c r="CC98" s="55"/>
      <c r="CD98" s="55"/>
      <c r="CE98" s="55"/>
      <c r="CF98" s="55"/>
      <c r="CG98" s="55"/>
      <c r="CH98" s="55"/>
      <c r="CI98" s="55"/>
      <c r="CJ98" s="55"/>
      <c r="CK98" s="55"/>
      <c r="CL98" s="55"/>
      <c r="CM98" s="55"/>
      <c r="CN98" s="55"/>
      <c r="CO98" s="55"/>
      <c r="CP98" s="55"/>
      <c r="CQ98" s="55"/>
      <c r="CR98" s="55"/>
      <c r="CS98" s="55"/>
      <c r="CT98" s="55"/>
      <c r="CU98" s="55"/>
      <c r="CV98" s="55"/>
      <c r="CW98" s="55"/>
      <c r="CX98" s="55"/>
      <c r="CY98" s="55"/>
      <c r="CZ98" s="55"/>
      <c r="DA98" s="55"/>
      <c r="DB98" s="55"/>
      <c r="DC98" s="55"/>
      <c r="DD98" s="55"/>
      <c r="DE98" s="55"/>
      <c r="DF98" s="55"/>
      <c r="DG98" s="55"/>
      <c r="DH98" s="55"/>
      <c r="DI98" s="55"/>
    </row>
    <row r="99" spans="1:113" x14ac:dyDescent="0.25">
      <c r="A99" s="152">
        <v>2</v>
      </c>
      <c r="B99" s="79" t="s">
        <v>176</v>
      </c>
      <c r="C99" s="80">
        <v>5000</v>
      </c>
      <c r="D99" s="142">
        <v>138.94999999999999</v>
      </c>
      <c r="E99" s="43">
        <v>0</v>
      </c>
      <c r="F99" s="60"/>
      <c r="G99" s="139">
        <f t="shared" si="48"/>
        <v>0</v>
      </c>
      <c r="H99" s="55">
        <f>200-200</f>
        <v>0</v>
      </c>
      <c r="I99" s="56">
        <f t="shared" si="49"/>
        <v>0</v>
      </c>
      <c r="J99" s="56">
        <f t="shared" si="50"/>
        <v>0</v>
      </c>
      <c r="K99" s="57">
        <f t="shared" si="51"/>
        <v>0</v>
      </c>
      <c r="L99"/>
      <c r="M99" s="314">
        <f t="shared" si="46"/>
        <v>0</v>
      </c>
      <c r="N99" s="310"/>
      <c r="O99" s="315"/>
      <c r="P99" s="315"/>
      <c r="Q99" s="315"/>
      <c r="R99" s="315"/>
      <c r="S99" s="55"/>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c r="BM99" s="55"/>
      <c r="BN99" s="55"/>
      <c r="BO99" s="55"/>
      <c r="BP99" s="55"/>
      <c r="BQ99" s="55"/>
      <c r="BR99" s="55"/>
      <c r="BS99" s="55"/>
      <c r="BT99" s="55"/>
      <c r="BU99" s="55"/>
      <c r="BV99" s="55"/>
      <c r="BW99" s="55"/>
      <c r="BX99" s="55"/>
      <c r="BY99" s="55"/>
      <c r="BZ99" s="55"/>
      <c r="CA99" s="55"/>
      <c r="CB99" s="55"/>
      <c r="CC99" s="55"/>
      <c r="CD99" s="55"/>
      <c r="CE99" s="55"/>
      <c r="CF99" s="55"/>
      <c r="CG99" s="55"/>
      <c r="CH99" s="55"/>
      <c r="CI99" s="55"/>
      <c r="CJ99" s="55"/>
      <c r="CK99" s="55"/>
      <c r="CL99" s="55"/>
      <c r="CM99" s="55"/>
      <c r="CN99" s="55"/>
      <c r="CO99" s="55"/>
      <c r="CP99" s="55"/>
      <c r="CQ99" s="55"/>
      <c r="CR99" s="55"/>
      <c r="CS99" s="55"/>
      <c r="CT99" s="55"/>
      <c r="CU99" s="55"/>
      <c r="CV99" s="55"/>
      <c r="CW99" s="55"/>
      <c r="CX99" s="55"/>
      <c r="CY99" s="55"/>
      <c r="CZ99" s="55"/>
      <c r="DA99" s="55"/>
      <c r="DB99" s="55"/>
      <c r="DC99" s="55"/>
      <c r="DD99" s="55"/>
      <c r="DE99" s="55"/>
      <c r="DF99" s="55"/>
      <c r="DG99" s="55"/>
      <c r="DH99" s="55"/>
      <c r="DI99" s="55"/>
    </row>
    <row r="100" spans="1:113" x14ac:dyDescent="0.25">
      <c r="A100" s="152">
        <v>3</v>
      </c>
      <c r="B100" s="79" t="s">
        <v>177</v>
      </c>
      <c r="C100" s="80">
        <v>10000</v>
      </c>
      <c r="D100" s="142">
        <v>933.37</v>
      </c>
      <c r="E100" s="43">
        <v>0</v>
      </c>
      <c r="F100" s="60"/>
      <c r="G100" s="139">
        <f t="shared" si="48"/>
        <v>0</v>
      </c>
      <c r="H100" s="55">
        <f>3500-3500</f>
        <v>0</v>
      </c>
      <c r="I100" s="56">
        <f t="shared" si="49"/>
        <v>0</v>
      </c>
      <c r="J100" s="56">
        <f t="shared" si="50"/>
        <v>0</v>
      </c>
      <c r="K100" s="57">
        <f t="shared" si="51"/>
        <v>0</v>
      </c>
      <c r="L100"/>
      <c r="M100" s="314">
        <f t="shared" si="46"/>
        <v>0</v>
      </c>
      <c r="N100" s="310"/>
      <c r="O100" s="315"/>
      <c r="P100" s="315"/>
      <c r="Q100" s="315"/>
      <c r="R100" s="315"/>
      <c r="S100" s="55"/>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c r="BM100" s="55"/>
      <c r="BN100" s="55"/>
      <c r="BO100" s="55"/>
      <c r="BP100" s="55"/>
      <c r="BQ100" s="55"/>
      <c r="BR100" s="55"/>
      <c r="BS100" s="55"/>
      <c r="BT100" s="55"/>
      <c r="BU100" s="55"/>
      <c r="BV100" s="55"/>
      <c r="BW100" s="55"/>
      <c r="BX100" s="55"/>
      <c r="BY100" s="55"/>
      <c r="BZ100" s="55"/>
      <c r="CA100" s="55"/>
      <c r="CB100" s="55"/>
      <c r="CC100" s="55"/>
      <c r="CD100" s="55"/>
      <c r="CE100" s="55"/>
      <c r="CF100" s="55"/>
      <c r="CG100" s="55"/>
      <c r="CH100" s="55"/>
      <c r="CI100" s="55"/>
      <c r="CJ100" s="55"/>
      <c r="CK100" s="55"/>
      <c r="CL100" s="55"/>
      <c r="CM100" s="55"/>
      <c r="CN100" s="55"/>
      <c r="CO100" s="55"/>
      <c r="CP100" s="55"/>
      <c r="CQ100" s="55"/>
      <c r="CR100" s="55"/>
      <c r="CS100" s="55"/>
      <c r="CT100" s="55"/>
      <c r="CU100" s="55"/>
      <c r="CV100" s="55"/>
      <c r="CW100" s="55"/>
      <c r="CX100" s="55"/>
      <c r="CY100" s="55"/>
      <c r="CZ100" s="55"/>
      <c r="DA100" s="55"/>
      <c r="DB100" s="55"/>
      <c r="DC100" s="55"/>
      <c r="DD100" s="55"/>
      <c r="DE100" s="55"/>
      <c r="DF100" s="55"/>
      <c r="DG100" s="55"/>
      <c r="DH100" s="55"/>
      <c r="DI100" s="55"/>
    </row>
    <row r="101" spans="1:113" x14ac:dyDescent="0.25">
      <c r="A101" s="152">
        <v>4</v>
      </c>
      <c r="B101" s="79" t="s">
        <v>178</v>
      </c>
      <c r="C101" s="80">
        <v>5000</v>
      </c>
      <c r="D101" s="142">
        <v>423.66</v>
      </c>
      <c r="E101" s="43">
        <v>0</v>
      </c>
      <c r="F101" s="60"/>
      <c r="G101" s="139">
        <f t="shared" si="48"/>
        <v>0</v>
      </c>
      <c r="H101" s="55">
        <f>475-475</f>
        <v>0</v>
      </c>
      <c r="I101" s="56">
        <f t="shared" si="49"/>
        <v>0</v>
      </c>
      <c r="J101" s="56">
        <f t="shared" si="50"/>
        <v>0</v>
      </c>
      <c r="K101" s="57">
        <f t="shared" si="51"/>
        <v>0</v>
      </c>
      <c r="L101"/>
      <c r="M101" s="320">
        <f>SUM(N101:DJ101)</f>
        <v>0</v>
      </c>
      <c r="N101" s="311"/>
      <c r="O101" s="319"/>
      <c r="P101" s="319"/>
      <c r="Q101" s="319"/>
      <c r="R101" s="319"/>
      <c r="S101" s="317"/>
      <c r="T101" s="317"/>
      <c r="U101" s="317"/>
      <c r="V101" s="317"/>
      <c r="W101" s="317"/>
      <c r="X101" s="317"/>
      <c r="Y101" s="317"/>
      <c r="Z101" s="317"/>
      <c r="AA101" s="317"/>
      <c r="AB101" s="317"/>
      <c r="AC101" s="317"/>
      <c r="AD101" s="317"/>
      <c r="AE101" s="317"/>
      <c r="AF101" s="317"/>
      <c r="AG101" s="317"/>
      <c r="AH101" s="317"/>
      <c r="AI101" s="317"/>
      <c r="AJ101" s="317"/>
      <c r="AK101" s="317"/>
      <c r="AL101" s="317"/>
      <c r="AM101" s="317"/>
      <c r="AN101" s="317"/>
      <c r="AO101" s="317"/>
      <c r="AP101" s="317"/>
      <c r="AQ101" s="317"/>
      <c r="AR101" s="317"/>
      <c r="AS101" s="317"/>
      <c r="AT101" s="317"/>
      <c r="AU101" s="317"/>
      <c r="AV101" s="317"/>
      <c r="AW101" s="317"/>
      <c r="AX101" s="317"/>
      <c r="AY101" s="317"/>
      <c r="AZ101" s="317"/>
      <c r="BA101" s="317"/>
      <c r="BB101" s="317"/>
      <c r="BC101" s="317"/>
      <c r="BD101" s="317"/>
      <c r="BE101" s="317"/>
      <c r="BF101" s="317"/>
      <c r="BG101" s="317"/>
      <c r="BH101" s="317"/>
      <c r="BI101" s="317"/>
      <c r="BJ101" s="317"/>
      <c r="BK101" s="317"/>
      <c r="BL101" s="317"/>
      <c r="BM101" s="317"/>
      <c r="BN101" s="317"/>
      <c r="BO101" s="317"/>
      <c r="BP101" s="317"/>
      <c r="BQ101" s="317"/>
      <c r="BR101" s="317"/>
      <c r="BS101" s="317"/>
      <c r="BT101" s="317"/>
      <c r="BU101" s="317"/>
      <c r="BV101" s="317"/>
      <c r="BW101" s="317"/>
      <c r="BX101" s="317"/>
      <c r="BY101" s="317"/>
      <c r="BZ101" s="317"/>
      <c r="CA101" s="317"/>
      <c r="CB101" s="317"/>
      <c r="CC101" s="317"/>
      <c r="CD101" s="317"/>
      <c r="CE101" s="317"/>
      <c r="CF101" s="317"/>
      <c r="CG101" s="317"/>
      <c r="CH101" s="317"/>
      <c r="CI101" s="317"/>
      <c r="CJ101" s="317"/>
      <c r="CK101" s="317"/>
      <c r="CL101" s="317"/>
      <c r="CM101" s="317"/>
      <c r="CN101" s="317"/>
      <c r="CO101" s="317"/>
      <c r="CP101" s="317"/>
      <c r="CQ101" s="317"/>
      <c r="CR101" s="317"/>
      <c r="CS101" s="317"/>
      <c r="CT101" s="317"/>
      <c r="CU101" s="317"/>
      <c r="CV101" s="317"/>
      <c r="CW101" s="317"/>
      <c r="CX101" s="317"/>
      <c r="CY101" s="317"/>
      <c r="CZ101" s="317"/>
      <c r="DA101" s="317"/>
      <c r="DB101" s="317"/>
      <c r="DC101" s="317"/>
      <c r="DD101" s="317"/>
      <c r="DE101" s="317"/>
      <c r="DF101" s="317"/>
      <c r="DG101" s="317"/>
      <c r="DH101" s="317"/>
      <c r="DI101" s="317"/>
    </row>
    <row r="102" spans="1:113" x14ac:dyDescent="0.25">
      <c r="A102" s="152">
        <v>5</v>
      </c>
      <c r="B102" s="79" t="s">
        <v>851</v>
      </c>
      <c r="C102" s="80">
        <v>5000</v>
      </c>
      <c r="D102" s="142">
        <v>1728.55</v>
      </c>
      <c r="E102" s="43">
        <v>0</v>
      </c>
      <c r="F102" s="60"/>
      <c r="G102" s="139">
        <f t="shared" si="48"/>
        <v>0</v>
      </c>
      <c r="H102" s="55">
        <f>800-800</f>
        <v>0</v>
      </c>
      <c r="I102" s="56">
        <f t="shared" si="49"/>
        <v>0</v>
      </c>
      <c r="J102" s="56">
        <f t="shared" si="50"/>
        <v>0</v>
      </c>
      <c r="K102" s="57">
        <f t="shared" si="51"/>
        <v>0</v>
      </c>
      <c r="L102"/>
      <c r="M102" s="314">
        <f t="shared" ref="M102" si="52">SUM(N102:DJ102)</f>
        <v>0</v>
      </c>
      <c r="N102" s="310"/>
      <c r="O102" s="315"/>
      <c r="P102" s="315"/>
      <c r="Q102" s="315"/>
      <c r="R102" s="315"/>
      <c r="S102" s="55"/>
      <c r="T102" s="55"/>
      <c r="U102" s="55"/>
      <c r="V102" s="55"/>
      <c r="W102" s="55"/>
      <c r="X102" s="55"/>
      <c r="Y102" s="55"/>
      <c r="Z102" s="55"/>
      <c r="AA102" s="55"/>
      <c r="AB102" s="55"/>
      <c r="AC102" s="55"/>
      <c r="AD102" s="55"/>
      <c r="AE102" s="55"/>
      <c r="AF102" s="55"/>
      <c r="AG102" s="55"/>
      <c r="AH102" s="55"/>
      <c r="AI102" s="55"/>
      <c r="AJ102" s="55"/>
      <c r="AK102" s="55"/>
      <c r="AL102" s="55"/>
      <c r="AM102" s="55"/>
      <c r="AN102" s="55"/>
      <c r="AO102" s="55"/>
      <c r="AP102" s="55"/>
      <c r="AQ102" s="55"/>
      <c r="AR102" s="55"/>
      <c r="AS102" s="55"/>
      <c r="AT102" s="55"/>
      <c r="AU102" s="55"/>
      <c r="AV102" s="55"/>
      <c r="AW102" s="55"/>
      <c r="AX102" s="55"/>
      <c r="AY102" s="55"/>
      <c r="AZ102" s="55"/>
      <c r="BA102" s="55"/>
      <c r="BB102" s="55"/>
      <c r="BC102" s="55"/>
      <c r="BD102" s="55"/>
      <c r="BE102" s="55"/>
      <c r="BF102" s="55"/>
      <c r="BG102" s="55"/>
      <c r="BH102" s="55"/>
      <c r="BI102" s="55"/>
      <c r="BJ102" s="55"/>
      <c r="BK102" s="55"/>
      <c r="BL102" s="55"/>
      <c r="BM102" s="55"/>
      <c r="BN102" s="55"/>
      <c r="BO102" s="55"/>
      <c r="BP102" s="55"/>
      <c r="BQ102" s="55"/>
      <c r="BR102" s="55"/>
      <c r="BS102" s="55"/>
      <c r="BT102" s="55"/>
      <c r="BU102" s="55"/>
      <c r="BV102" s="55"/>
      <c r="BW102" s="55"/>
      <c r="BX102" s="55"/>
      <c r="BY102" s="55"/>
      <c r="BZ102" s="55"/>
      <c r="CA102" s="55"/>
      <c r="CB102" s="55"/>
      <c r="CC102" s="55"/>
      <c r="CD102" s="55"/>
      <c r="CE102" s="55"/>
      <c r="CF102" s="55"/>
      <c r="CG102" s="55"/>
      <c r="CH102" s="55"/>
      <c r="CI102" s="55"/>
      <c r="CJ102" s="55"/>
      <c r="CK102" s="55"/>
      <c r="CL102" s="55"/>
      <c r="CM102" s="55"/>
      <c r="CN102" s="55"/>
      <c r="CO102" s="55"/>
      <c r="CP102" s="55"/>
      <c r="CQ102" s="55"/>
      <c r="CR102" s="55"/>
      <c r="CS102" s="55"/>
      <c r="CT102" s="55"/>
      <c r="CU102" s="55"/>
      <c r="CV102" s="55"/>
      <c r="CW102" s="55"/>
      <c r="CX102" s="55"/>
      <c r="CY102" s="55"/>
      <c r="CZ102" s="55"/>
      <c r="DA102" s="55"/>
      <c r="DB102" s="55"/>
      <c r="DC102" s="55"/>
      <c r="DD102" s="55"/>
      <c r="DE102" s="55"/>
      <c r="DF102" s="55"/>
      <c r="DG102" s="55"/>
      <c r="DH102" s="55"/>
      <c r="DI102" s="55"/>
    </row>
    <row r="103" spans="1:113" x14ac:dyDescent="0.25">
      <c r="A103" s="152">
        <v>6</v>
      </c>
      <c r="B103" s="79" t="s">
        <v>179</v>
      </c>
      <c r="C103" s="80">
        <v>10000</v>
      </c>
      <c r="D103" s="142">
        <v>1049.3699999999999</v>
      </c>
      <c r="E103" s="43">
        <v>0</v>
      </c>
      <c r="F103" s="60"/>
      <c r="G103" s="139">
        <f t="shared" si="48"/>
        <v>0</v>
      </c>
      <c r="H103" s="55">
        <f>2000-2000</f>
        <v>0</v>
      </c>
      <c r="I103" s="56">
        <f t="shared" si="49"/>
        <v>0</v>
      </c>
      <c r="J103" s="56">
        <f t="shared" si="50"/>
        <v>0</v>
      </c>
      <c r="K103" s="57">
        <f t="shared" si="51"/>
        <v>0</v>
      </c>
      <c r="L103"/>
      <c r="M103" s="320">
        <f>SUM(N103:DJ103)</f>
        <v>0</v>
      </c>
      <c r="N103" s="311"/>
      <c r="O103" s="319"/>
      <c r="P103" s="319"/>
      <c r="Q103" s="319"/>
      <c r="R103" s="319"/>
      <c r="S103" s="317"/>
      <c r="T103" s="317"/>
      <c r="U103" s="317"/>
      <c r="V103" s="317"/>
      <c r="W103" s="317"/>
      <c r="X103" s="317"/>
      <c r="Y103" s="317"/>
      <c r="Z103" s="317"/>
      <c r="AA103" s="317"/>
      <c r="AB103" s="317"/>
      <c r="AC103" s="317"/>
      <c r="AD103" s="317"/>
      <c r="AE103" s="317"/>
      <c r="AF103" s="317"/>
      <c r="AG103" s="317"/>
      <c r="AH103" s="317"/>
      <c r="AI103" s="317"/>
      <c r="AJ103" s="317"/>
      <c r="AK103" s="317"/>
      <c r="AL103" s="317"/>
      <c r="AM103" s="317"/>
      <c r="AN103" s="317"/>
      <c r="AO103" s="317"/>
      <c r="AP103" s="317"/>
      <c r="AQ103" s="317"/>
      <c r="AR103" s="317"/>
      <c r="AS103" s="317"/>
      <c r="AT103" s="317"/>
      <c r="AU103" s="317"/>
      <c r="AV103" s="317"/>
      <c r="AW103" s="317"/>
      <c r="AX103" s="317"/>
      <c r="AY103" s="317"/>
      <c r="AZ103" s="317"/>
      <c r="BA103" s="317"/>
      <c r="BB103" s="317"/>
      <c r="BC103" s="317"/>
      <c r="BD103" s="317"/>
      <c r="BE103" s="317"/>
      <c r="BF103" s="317"/>
      <c r="BG103" s="317"/>
      <c r="BH103" s="317"/>
      <c r="BI103" s="317"/>
      <c r="BJ103" s="317"/>
      <c r="BK103" s="317"/>
      <c r="BL103" s="317"/>
      <c r="BM103" s="317"/>
      <c r="BN103" s="317"/>
      <c r="BO103" s="317"/>
      <c r="BP103" s="317"/>
      <c r="BQ103" s="317"/>
      <c r="BR103" s="317"/>
      <c r="BS103" s="317"/>
      <c r="BT103" s="317"/>
      <c r="BU103" s="317"/>
      <c r="BV103" s="317"/>
      <c r="BW103" s="317"/>
      <c r="BX103" s="317"/>
      <c r="BY103" s="317"/>
      <c r="BZ103" s="317"/>
      <c r="CA103" s="317"/>
      <c r="CB103" s="317"/>
      <c r="CC103" s="317"/>
      <c r="CD103" s="317"/>
      <c r="CE103" s="317"/>
      <c r="CF103" s="317"/>
      <c r="CG103" s="317"/>
      <c r="CH103" s="317"/>
      <c r="CI103" s="317"/>
      <c r="CJ103" s="317"/>
      <c r="CK103" s="317"/>
      <c r="CL103" s="317"/>
      <c r="CM103" s="317"/>
      <c r="CN103" s="317"/>
      <c r="CO103" s="317"/>
      <c r="CP103" s="317"/>
      <c r="CQ103" s="317"/>
      <c r="CR103" s="317"/>
      <c r="CS103" s="317"/>
      <c r="CT103" s="317"/>
      <c r="CU103" s="317"/>
      <c r="CV103" s="317"/>
      <c r="CW103" s="317"/>
      <c r="CX103" s="317"/>
      <c r="CY103" s="317"/>
      <c r="CZ103" s="317"/>
      <c r="DA103" s="317"/>
      <c r="DB103" s="317"/>
      <c r="DC103" s="317"/>
      <c r="DD103" s="317"/>
      <c r="DE103" s="317"/>
      <c r="DF103" s="317"/>
      <c r="DG103" s="317"/>
      <c r="DH103" s="317"/>
      <c r="DI103" s="317"/>
    </row>
    <row r="104" spans="1:113" ht="15.75" thickBot="1" x14ac:dyDescent="0.3">
      <c r="A104" s="153">
        <v>7</v>
      </c>
      <c r="B104" s="144" t="s">
        <v>180</v>
      </c>
      <c r="C104" s="82">
        <v>10000</v>
      </c>
      <c r="D104" s="145">
        <v>1001.07</v>
      </c>
      <c r="E104" s="154">
        <v>0</v>
      </c>
      <c r="F104" s="156"/>
      <c r="G104" s="147">
        <f t="shared" si="48"/>
        <v>0</v>
      </c>
      <c r="H104" s="55">
        <f>7975-7975</f>
        <v>0</v>
      </c>
      <c r="I104" s="64">
        <f t="shared" si="49"/>
        <v>0</v>
      </c>
      <c r="J104" s="64">
        <f t="shared" si="50"/>
        <v>0</v>
      </c>
      <c r="K104" s="65">
        <f t="shared" si="51"/>
        <v>0</v>
      </c>
      <c r="L104"/>
      <c r="M104" s="314">
        <f t="shared" ref="M104:M105" si="53">SUM(N104:DJ104)</f>
        <v>0</v>
      </c>
      <c r="N104" s="310"/>
      <c r="O104" s="315"/>
      <c r="P104" s="315"/>
      <c r="Q104" s="315"/>
      <c r="R104" s="315"/>
      <c r="S104" s="55"/>
      <c r="T104" s="55"/>
      <c r="U104" s="55"/>
      <c r="V104" s="55"/>
      <c r="W104" s="55"/>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c r="BM104" s="55"/>
      <c r="BN104" s="55"/>
      <c r="BO104" s="55"/>
      <c r="BP104" s="55"/>
      <c r="BQ104" s="55"/>
      <c r="BR104" s="55"/>
      <c r="BS104" s="55"/>
      <c r="BT104" s="55"/>
      <c r="BU104" s="55"/>
      <c r="BV104" s="55"/>
      <c r="BW104" s="55"/>
      <c r="BX104" s="55"/>
      <c r="BY104" s="55"/>
      <c r="BZ104" s="55"/>
      <c r="CA104" s="55"/>
      <c r="CB104" s="55"/>
      <c r="CC104" s="55"/>
      <c r="CD104" s="55"/>
      <c r="CE104" s="55"/>
      <c r="CF104" s="55"/>
      <c r="CG104" s="55"/>
      <c r="CH104" s="55"/>
      <c r="CI104" s="55"/>
      <c r="CJ104" s="55"/>
      <c r="CK104" s="55"/>
      <c r="CL104" s="55"/>
      <c r="CM104" s="55"/>
      <c r="CN104" s="55"/>
      <c r="CO104" s="55"/>
      <c r="CP104" s="55"/>
      <c r="CQ104" s="55"/>
      <c r="CR104" s="55"/>
      <c r="CS104" s="55"/>
      <c r="CT104" s="55"/>
      <c r="CU104" s="55"/>
      <c r="CV104" s="55"/>
      <c r="CW104" s="55"/>
      <c r="CX104" s="55"/>
      <c r="CY104" s="55"/>
      <c r="CZ104" s="55"/>
      <c r="DA104" s="55"/>
      <c r="DB104" s="55"/>
      <c r="DC104" s="55"/>
      <c r="DD104" s="55"/>
      <c r="DE104" s="55"/>
      <c r="DF104" s="55"/>
      <c r="DG104" s="55"/>
      <c r="DH104" s="55"/>
      <c r="DI104" s="55"/>
    </row>
    <row r="105" spans="1:113" ht="15.75" thickBot="1" x14ac:dyDescent="0.3">
      <c r="A105" s="128"/>
      <c r="B105" s="119" t="s">
        <v>707</v>
      </c>
      <c r="C105" s="36"/>
      <c r="D105" s="36"/>
      <c r="E105" s="29">
        <f>SUM(E98:E104)</f>
        <v>0</v>
      </c>
      <c r="F105" s="29">
        <f t="shared" ref="F105:H105" si="54">SUM(F98:F104)</f>
        <v>0</v>
      </c>
      <c r="G105" s="29">
        <f t="shared" si="54"/>
        <v>0</v>
      </c>
      <c r="H105" s="29">
        <f t="shared" si="54"/>
        <v>0</v>
      </c>
      <c r="I105" s="29">
        <f>SUM(I98:I104)</f>
        <v>0</v>
      </c>
      <c r="J105" s="29">
        <f t="shared" ref="J105:K105" si="55">SUM(J98:J104)</f>
        <v>0</v>
      </c>
      <c r="K105" s="47">
        <f t="shared" si="55"/>
        <v>0</v>
      </c>
      <c r="L105"/>
      <c r="M105" s="322">
        <f t="shared" si="53"/>
        <v>0</v>
      </c>
      <c r="N105" s="325"/>
      <c r="O105" s="325"/>
      <c r="P105" s="325"/>
      <c r="Q105" s="325"/>
      <c r="R105" s="325"/>
      <c r="S105" s="324"/>
      <c r="T105" s="324"/>
      <c r="U105" s="324"/>
      <c r="V105" s="324"/>
      <c r="W105" s="324"/>
      <c r="X105" s="324"/>
      <c r="Y105" s="324"/>
      <c r="Z105" s="324"/>
      <c r="AA105" s="324"/>
      <c r="AB105" s="324"/>
      <c r="AC105" s="324"/>
      <c r="AD105" s="324"/>
      <c r="AE105" s="324"/>
      <c r="AF105" s="324"/>
      <c r="AG105" s="324"/>
      <c r="AH105" s="324"/>
      <c r="AI105" s="324"/>
      <c r="AJ105" s="324"/>
      <c r="AK105" s="324"/>
      <c r="AL105" s="324"/>
      <c r="AM105" s="324"/>
      <c r="AN105" s="324"/>
      <c r="AO105" s="324"/>
      <c r="AP105" s="324"/>
      <c r="AQ105" s="324"/>
      <c r="AR105" s="324"/>
      <c r="AS105" s="324"/>
      <c r="AT105" s="324"/>
      <c r="AU105" s="324"/>
      <c r="AV105" s="324"/>
      <c r="AW105" s="324"/>
      <c r="AX105" s="324"/>
      <c r="AY105" s="324"/>
      <c r="AZ105" s="324"/>
      <c r="BA105" s="324"/>
      <c r="BB105" s="324"/>
      <c r="BC105" s="324"/>
      <c r="BD105" s="324"/>
      <c r="BE105" s="324"/>
      <c r="BF105" s="324"/>
      <c r="BG105" s="324"/>
      <c r="BH105" s="324"/>
      <c r="BI105" s="324"/>
      <c r="BJ105" s="324"/>
      <c r="BK105" s="324"/>
      <c r="BL105" s="324"/>
      <c r="BM105" s="324"/>
      <c r="BN105" s="324"/>
      <c r="BO105" s="324"/>
      <c r="BP105" s="324"/>
      <c r="BQ105" s="324"/>
      <c r="BR105" s="324"/>
      <c r="BS105" s="324"/>
      <c r="BT105" s="324"/>
      <c r="BU105" s="324"/>
      <c r="BV105" s="324"/>
      <c r="BW105" s="324"/>
      <c r="BX105" s="324"/>
      <c r="BY105" s="324"/>
      <c r="BZ105" s="324"/>
      <c r="CA105" s="324"/>
      <c r="CB105" s="324"/>
      <c r="CC105" s="324"/>
      <c r="CD105" s="324"/>
      <c r="CE105" s="324"/>
      <c r="CF105" s="324"/>
      <c r="CG105" s="324"/>
      <c r="CH105" s="324"/>
      <c r="CI105" s="324"/>
      <c r="CJ105" s="324"/>
      <c r="CK105" s="324"/>
      <c r="CL105" s="324"/>
      <c r="CM105" s="324"/>
      <c r="CN105" s="324"/>
      <c r="CO105" s="324"/>
      <c r="CP105" s="324"/>
      <c r="CQ105" s="324"/>
      <c r="CR105" s="324"/>
      <c r="CS105" s="324"/>
      <c r="CT105" s="324"/>
      <c r="CU105" s="324"/>
      <c r="CV105" s="324"/>
      <c r="CW105" s="324"/>
      <c r="CX105" s="324"/>
      <c r="CY105" s="324"/>
      <c r="CZ105" s="324"/>
      <c r="DA105" s="324"/>
      <c r="DB105" s="324"/>
      <c r="DC105" s="324"/>
      <c r="DD105" s="324"/>
      <c r="DE105" s="324"/>
      <c r="DF105" s="324"/>
      <c r="DG105" s="324"/>
      <c r="DH105" s="324"/>
      <c r="DI105" s="324"/>
    </row>
    <row r="106" spans="1:113" customFormat="1" x14ac:dyDescent="0.25"/>
    <row r="107" spans="1:113" ht="15.75" thickBot="1" x14ac:dyDescent="0.3">
      <c r="B107" s="138" t="s">
        <v>648</v>
      </c>
      <c r="C107" s="132"/>
      <c r="D107" s="132"/>
      <c r="E107" s="132"/>
      <c r="F107" s="132"/>
      <c r="G107" s="132"/>
      <c r="H107" s="132"/>
      <c r="I107" s="132"/>
      <c r="J107" s="132"/>
      <c r="K107" s="132"/>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row>
    <row r="108" spans="1:113" ht="15.75" thickBot="1" x14ac:dyDescent="0.3">
      <c r="A108" s="407" t="s">
        <v>657</v>
      </c>
      <c r="B108" s="414" t="s">
        <v>0</v>
      </c>
      <c r="C108" s="414" t="s">
        <v>1</v>
      </c>
      <c r="D108" s="415" t="s">
        <v>649</v>
      </c>
      <c r="E108" s="416" t="s">
        <v>19</v>
      </c>
      <c r="F108" s="416"/>
      <c r="G108" s="416"/>
      <c r="H108" s="416"/>
      <c r="I108" s="416"/>
      <c r="J108" s="410" t="s">
        <v>21</v>
      </c>
      <c r="K108" s="417" t="s">
        <v>602</v>
      </c>
      <c r="L108"/>
      <c r="M108" s="403" t="s">
        <v>601</v>
      </c>
      <c r="N108" s="403" t="s">
        <v>924</v>
      </c>
      <c r="O108" s="403"/>
      <c r="P108" s="403"/>
      <c r="Q108" s="403"/>
      <c r="R108" s="403"/>
      <c r="S108" s="403"/>
      <c r="T108" s="403"/>
      <c r="U108" s="403"/>
      <c r="V108" s="403"/>
      <c r="W108" s="403"/>
      <c r="X108" s="403"/>
      <c r="Y108" s="403"/>
      <c r="Z108" s="403"/>
      <c r="AA108" s="403"/>
      <c r="AB108" s="403"/>
      <c r="AC108" s="403"/>
      <c r="AD108" s="403"/>
      <c r="AE108" s="403"/>
      <c r="AF108" s="403"/>
      <c r="AG108" s="403"/>
      <c r="AH108" s="403"/>
      <c r="AI108" s="403"/>
      <c r="AJ108" s="403"/>
      <c r="AK108" s="403"/>
      <c r="AL108" s="403"/>
      <c r="AM108" s="403"/>
      <c r="AN108" s="403"/>
      <c r="AO108" s="403"/>
      <c r="AP108" s="403"/>
      <c r="AQ108" s="403"/>
      <c r="AR108" s="403"/>
      <c r="AS108" s="403"/>
      <c r="AT108" s="403"/>
      <c r="AU108" s="403"/>
      <c r="AV108" s="403"/>
      <c r="AW108" s="403"/>
      <c r="AX108" s="403"/>
      <c r="AY108" s="403"/>
      <c r="AZ108" s="403"/>
      <c r="BA108" s="403"/>
      <c r="BB108" s="403"/>
      <c r="BC108" s="403"/>
      <c r="BD108" s="403"/>
      <c r="BE108" s="403"/>
      <c r="BF108" s="403"/>
      <c r="BG108" s="403"/>
      <c r="BH108" s="403"/>
      <c r="BI108" s="403"/>
      <c r="BJ108" s="403"/>
      <c r="BK108" s="403"/>
      <c r="BL108" s="403"/>
      <c r="BM108" s="403"/>
      <c r="BN108" s="403"/>
      <c r="BO108" s="403"/>
      <c r="BP108" s="403"/>
      <c r="BQ108" s="403"/>
      <c r="BR108" s="403"/>
      <c r="BS108" s="403"/>
      <c r="BT108" s="403"/>
      <c r="BU108" s="403"/>
      <c r="BV108" s="403"/>
      <c r="BW108" s="403"/>
      <c r="BX108" s="403"/>
      <c r="BY108" s="403"/>
      <c r="BZ108" s="403"/>
      <c r="CA108" s="403"/>
      <c r="CB108" s="403"/>
      <c r="CC108" s="403"/>
      <c r="CD108" s="403"/>
      <c r="CE108" s="403"/>
      <c r="CF108" s="403"/>
      <c r="CG108" s="403"/>
      <c r="CH108" s="403"/>
      <c r="CI108" s="403"/>
      <c r="CJ108" s="403"/>
      <c r="CK108" s="403"/>
      <c r="CL108" s="403"/>
      <c r="CM108" s="403"/>
      <c r="CN108" s="403"/>
      <c r="CO108" s="403"/>
      <c r="CP108" s="403"/>
      <c r="CQ108" s="403"/>
      <c r="CR108" s="403"/>
      <c r="CS108" s="403"/>
      <c r="CT108" s="403"/>
      <c r="CU108" s="403"/>
      <c r="CV108" s="403"/>
      <c r="CW108" s="403"/>
      <c r="CX108" s="403"/>
      <c r="CY108" s="403"/>
      <c r="CZ108" s="403"/>
      <c r="DA108" s="403"/>
      <c r="DB108" s="403"/>
      <c r="DC108" s="403"/>
      <c r="DD108" s="403"/>
      <c r="DE108" s="403"/>
      <c r="DF108" s="403"/>
      <c r="DG108" s="403"/>
      <c r="DH108" s="403"/>
      <c r="DI108" s="403"/>
    </row>
    <row r="109" spans="1:113" ht="15.75" thickBot="1" x14ac:dyDescent="0.3">
      <c r="A109" s="408"/>
      <c r="B109" s="414"/>
      <c r="C109" s="414"/>
      <c r="D109" s="415"/>
      <c r="E109" s="68" t="s">
        <v>22</v>
      </c>
      <c r="F109" s="68" t="s">
        <v>600</v>
      </c>
      <c r="G109" s="68" t="s">
        <v>601</v>
      </c>
      <c r="H109" s="68" t="s">
        <v>589</v>
      </c>
      <c r="I109" s="68" t="s">
        <v>601</v>
      </c>
      <c r="J109" s="411"/>
      <c r="K109" s="418"/>
      <c r="L109"/>
      <c r="M109" s="403"/>
      <c r="N109" s="400" t="s">
        <v>925</v>
      </c>
      <c r="O109" s="400" t="s">
        <v>926</v>
      </c>
      <c r="P109" s="400"/>
      <c r="Q109" s="400"/>
      <c r="R109" s="400"/>
      <c r="S109" s="398"/>
      <c r="T109" s="398"/>
      <c r="U109" s="398"/>
      <c r="V109" s="398"/>
      <c r="W109" s="398"/>
      <c r="X109" s="398"/>
      <c r="Y109" s="398"/>
      <c r="Z109" s="398"/>
      <c r="AA109" s="398"/>
      <c r="AB109" s="398"/>
      <c r="AC109" s="398"/>
      <c r="AD109" s="398"/>
      <c r="AE109" s="398"/>
      <c r="AF109" s="398"/>
      <c r="AG109" s="398"/>
      <c r="AH109" s="398"/>
      <c r="AI109" s="398"/>
      <c r="AJ109" s="398"/>
      <c r="AK109" s="398"/>
      <c r="AL109" s="398"/>
      <c r="AM109" s="398"/>
      <c r="AN109" s="398"/>
      <c r="AO109" s="398"/>
      <c r="AP109" s="398"/>
      <c r="AQ109" s="398"/>
      <c r="AR109" s="398"/>
      <c r="AS109" s="398"/>
      <c r="AT109" s="398"/>
      <c r="AU109" s="398"/>
      <c r="AV109" s="398"/>
      <c r="AW109" s="398"/>
      <c r="AX109" s="398"/>
      <c r="AY109" s="398"/>
      <c r="AZ109" s="398"/>
      <c r="BA109" s="398"/>
      <c r="BB109" s="398"/>
      <c r="BC109" s="398"/>
      <c r="BD109" s="398"/>
      <c r="BE109" s="398"/>
      <c r="BF109" s="398"/>
      <c r="BG109" s="398"/>
      <c r="BH109" s="398"/>
      <c r="BI109" s="398"/>
      <c r="BJ109" s="398"/>
      <c r="BK109" s="398"/>
      <c r="BL109" s="398"/>
      <c r="BM109" s="398"/>
      <c r="BN109" s="398"/>
      <c r="BO109" s="398"/>
      <c r="BP109" s="398"/>
      <c r="BQ109" s="398"/>
      <c r="BR109" s="398"/>
      <c r="BS109" s="398"/>
      <c r="BT109" s="398"/>
      <c r="BU109" s="398"/>
      <c r="BV109" s="398"/>
      <c r="BW109" s="398"/>
      <c r="BX109" s="398"/>
      <c r="BY109" s="398"/>
      <c r="BZ109" s="398"/>
      <c r="CA109" s="398"/>
      <c r="CB109" s="398"/>
      <c r="CC109" s="398"/>
      <c r="CD109" s="398"/>
      <c r="CE109" s="398"/>
      <c r="CF109" s="398"/>
      <c r="CG109" s="398"/>
      <c r="CH109" s="398"/>
      <c r="CI109" s="398"/>
      <c r="CJ109" s="398"/>
      <c r="CK109" s="398"/>
      <c r="CL109" s="398"/>
      <c r="CM109" s="398"/>
      <c r="CN109" s="398"/>
      <c r="CO109" s="398"/>
      <c r="CP109" s="398"/>
      <c r="CQ109" s="398"/>
      <c r="CR109" s="398"/>
      <c r="CS109" s="398"/>
      <c r="CT109" s="398"/>
      <c r="CU109" s="398"/>
      <c r="CV109" s="398"/>
      <c r="CW109" s="398"/>
      <c r="CX109" s="398"/>
      <c r="CY109" s="398"/>
      <c r="CZ109" s="398"/>
      <c r="DA109" s="398"/>
      <c r="DB109" s="398"/>
      <c r="DC109" s="398"/>
      <c r="DD109" s="398"/>
      <c r="DE109" s="398"/>
      <c r="DF109" s="398"/>
      <c r="DG109" s="398"/>
      <c r="DH109" s="398"/>
      <c r="DI109" s="398"/>
    </row>
    <row r="110" spans="1:113" ht="15.75" thickBot="1" x14ac:dyDescent="0.3">
      <c r="A110" s="409"/>
      <c r="B110" s="124">
        <v>1</v>
      </c>
      <c r="C110" s="124">
        <v>2</v>
      </c>
      <c r="D110" s="124">
        <v>3</v>
      </c>
      <c r="E110" s="70">
        <v>4</v>
      </c>
      <c r="F110" s="70">
        <f>+E110+1</f>
        <v>5</v>
      </c>
      <c r="G110" s="70" t="s">
        <v>652</v>
      </c>
      <c r="H110" s="70">
        <v>7</v>
      </c>
      <c r="I110" s="71" t="s">
        <v>651</v>
      </c>
      <c r="J110" s="42" t="s">
        <v>650</v>
      </c>
      <c r="K110" s="42" t="s">
        <v>653</v>
      </c>
      <c r="L110"/>
      <c r="M110" s="403"/>
      <c r="N110" s="402"/>
      <c r="O110" s="402"/>
      <c r="P110" s="402"/>
      <c r="Q110" s="402"/>
      <c r="R110" s="402"/>
      <c r="S110" s="399"/>
      <c r="T110" s="399"/>
      <c r="U110" s="399"/>
      <c r="V110" s="399"/>
      <c r="W110" s="399"/>
      <c r="X110" s="399"/>
      <c r="Y110" s="399"/>
      <c r="Z110" s="399"/>
      <c r="AA110" s="399"/>
      <c r="AB110" s="399"/>
      <c r="AC110" s="399"/>
      <c r="AD110" s="399"/>
      <c r="AE110" s="399"/>
      <c r="AF110" s="399"/>
      <c r="AG110" s="399"/>
      <c r="AH110" s="399"/>
      <c r="AI110" s="399"/>
      <c r="AJ110" s="399"/>
      <c r="AK110" s="399"/>
      <c r="AL110" s="399"/>
      <c r="AM110" s="399"/>
      <c r="AN110" s="399"/>
      <c r="AO110" s="399"/>
      <c r="AP110" s="399"/>
      <c r="AQ110" s="399"/>
      <c r="AR110" s="399"/>
      <c r="AS110" s="399"/>
      <c r="AT110" s="399"/>
      <c r="AU110" s="399"/>
      <c r="AV110" s="399"/>
      <c r="AW110" s="399"/>
      <c r="AX110" s="399"/>
      <c r="AY110" s="399"/>
      <c r="AZ110" s="399"/>
      <c r="BA110" s="399"/>
      <c r="BB110" s="399"/>
      <c r="BC110" s="399"/>
      <c r="BD110" s="399"/>
      <c r="BE110" s="399"/>
      <c r="BF110" s="399"/>
      <c r="BG110" s="399"/>
      <c r="BH110" s="399"/>
      <c r="BI110" s="399"/>
      <c r="BJ110" s="399"/>
      <c r="BK110" s="399"/>
      <c r="BL110" s="399"/>
      <c r="BM110" s="399"/>
      <c r="BN110" s="399"/>
      <c r="BO110" s="399"/>
      <c r="BP110" s="399"/>
      <c r="BQ110" s="399"/>
      <c r="BR110" s="399"/>
      <c r="BS110" s="399"/>
      <c r="BT110" s="399"/>
      <c r="BU110" s="399"/>
      <c r="BV110" s="399"/>
      <c r="BW110" s="399"/>
      <c r="BX110" s="399"/>
      <c r="BY110" s="399"/>
      <c r="BZ110" s="399"/>
      <c r="CA110" s="399"/>
      <c r="CB110" s="399"/>
      <c r="CC110" s="399"/>
      <c r="CD110" s="399"/>
      <c r="CE110" s="399"/>
      <c r="CF110" s="399"/>
      <c r="CG110" s="399"/>
      <c r="CH110" s="399"/>
      <c r="CI110" s="399"/>
      <c r="CJ110" s="399"/>
      <c r="CK110" s="399"/>
      <c r="CL110" s="399"/>
      <c r="CM110" s="399"/>
      <c r="CN110" s="399"/>
      <c r="CO110" s="399"/>
      <c r="CP110" s="399"/>
      <c r="CQ110" s="399"/>
      <c r="CR110" s="399"/>
      <c r="CS110" s="399"/>
      <c r="CT110" s="399"/>
      <c r="CU110" s="399"/>
      <c r="CV110" s="399"/>
      <c r="CW110" s="399"/>
      <c r="CX110" s="399"/>
      <c r="CY110" s="399"/>
      <c r="CZ110" s="399"/>
      <c r="DA110" s="399"/>
      <c r="DB110" s="399"/>
      <c r="DC110" s="399"/>
      <c r="DD110" s="399"/>
      <c r="DE110" s="399"/>
      <c r="DF110" s="399"/>
      <c r="DG110" s="399"/>
      <c r="DH110" s="399"/>
      <c r="DI110" s="399"/>
    </row>
    <row r="111" spans="1:113" x14ac:dyDescent="0.25">
      <c r="A111" s="160"/>
      <c r="B111" s="72" t="s">
        <v>698</v>
      </c>
      <c r="C111" s="54"/>
      <c r="D111" s="54"/>
      <c r="E111" s="54"/>
      <c r="F111" s="54"/>
      <c r="G111" s="54"/>
      <c r="H111" s="54"/>
      <c r="I111" s="54"/>
      <c r="J111" s="54"/>
      <c r="K111" s="54"/>
      <c r="L111"/>
      <c r="M111" s="314">
        <f t="shared" ref="M111:M123" si="56">SUM(N111:DJ111)</f>
        <v>0</v>
      </c>
      <c r="N111" s="310"/>
      <c r="O111" s="315"/>
      <c r="P111" s="315"/>
      <c r="Q111" s="315"/>
      <c r="R111" s="315"/>
      <c r="S111" s="55"/>
      <c r="T111" s="55"/>
      <c r="U111" s="55"/>
      <c r="V111" s="55"/>
      <c r="W111" s="55"/>
      <c r="X111" s="55"/>
      <c r="Y111" s="55"/>
      <c r="Z111" s="55"/>
      <c r="AA111" s="55"/>
      <c r="AB111" s="55"/>
      <c r="AC111" s="55"/>
      <c r="AD111" s="55"/>
      <c r="AE111" s="55"/>
      <c r="AF111" s="55"/>
      <c r="AG111" s="55"/>
      <c r="AH111" s="55"/>
      <c r="AI111" s="55"/>
      <c r="AJ111" s="55"/>
      <c r="AK111" s="55"/>
      <c r="AL111" s="55"/>
      <c r="AM111" s="55"/>
      <c r="AN111" s="55"/>
      <c r="AO111" s="55"/>
      <c r="AP111" s="55"/>
      <c r="AQ111" s="55"/>
      <c r="AR111" s="55"/>
      <c r="AS111" s="55"/>
      <c r="AT111" s="55"/>
      <c r="AU111" s="55"/>
      <c r="AV111" s="55"/>
      <c r="AW111" s="55"/>
      <c r="AX111" s="55"/>
      <c r="AY111" s="55"/>
      <c r="AZ111" s="55"/>
      <c r="BA111" s="55"/>
      <c r="BB111" s="55"/>
      <c r="BC111" s="55"/>
      <c r="BD111" s="55"/>
      <c r="BE111" s="55"/>
      <c r="BF111" s="55"/>
      <c r="BG111" s="55"/>
      <c r="BH111" s="55"/>
      <c r="BI111" s="55"/>
      <c r="BJ111" s="55"/>
      <c r="BK111" s="55"/>
      <c r="BL111" s="55"/>
      <c r="BM111" s="55"/>
      <c r="BN111" s="55"/>
      <c r="BO111" s="55"/>
      <c r="BP111" s="55"/>
      <c r="BQ111" s="55"/>
      <c r="BR111" s="55"/>
      <c r="BS111" s="55"/>
      <c r="BT111" s="55"/>
      <c r="BU111" s="55"/>
      <c r="BV111" s="55"/>
      <c r="BW111" s="55"/>
      <c r="BX111" s="55"/>
      <c r="BY111" s="55"/>
      <c r="BZ111" s="55"/>
      <c r="CA111" s="55"/>
      <c r="CB111" s="55"/>
      <c r="CC111" s="55"/>
      <c r="CD111" s="55"/>
      <c r="CE111" s="55"/>
      <c r="CF111" s="55"/>
      <c r="CG111" s="55"/>
      <c r="CH111" s="55"/>
      <c r="CI111" s="55"/>
      <c r="CJ111" s="55"/>
      <c r="CK111" s="55"/>
      <c r="CL111" s="55"/>
      <c r="CM111" s="55"/>
      <c r="CN111" s="55"/>
      <c r="CO111" s="55"/>
      <c r="CP111" s="55"/>
      <c r="CQ111" s="55"/>
      <c r="CR111" s="55"/>
      <c r="CS111" s="55"/>
      <c r="CT111" s="55"/>
      <c r="CU111" s="55"/>
      <c r="CV111" s="55"/>
      <c r="CW111" s="55"/>
      <c r="CX111" s="55"/>
      <c r="CY111" s="55"/>
      <c r="CZ111" s="55"/>
      <c r="DA111" s="55"/>
      <c r="DB111" s="55"/>
      <c r="DC111" s="55"/>
      <c r="DD111" s="55"/>
      <c r="DE111" s="55"/>
      <c r="DF111" s="55"/>
      <c r="DG111" s="55"/>
      <c r="DH111" s="55"/>
      <c r="DI111" s="55"/>
    </row>
    <row r="112" spans="1:113" x14ac:dyDescent="0.25">
      <c r="A112" s="152">
        <v>1</v>
      </c>
      <c r="B112" s="79" t="s">
        <v>160</v>
      </c>
      <c r="C112" s="80">
        <v>6000</v>
      </c>
      <c r="D112" s="142">
        <v>654.19000000000005</v>
      </c>
      <c r="E112" s="60">
        <v>0</v>
      </c>
      <c r="F112" s="60"/>
      <c r="G112" s="139">
        <f t="shared" ref="G112:G114" si="57">+E112+F112</f>
        <v>0</v>
      </c>
      <c r="H112" s="55">
        <f>145-145</f>
        <v>0</v>
      </c>
      <c r="I112" s="56">
        <f t="shared" ref="I112:I114" si="58">+G112-H112</f>
        <v>0</v>
      </c>
      <c r="J112" s="56">
        <f t="shared" ref="J112:J114" si="59">I112*C112</f>
        <v>0</v>
      </c>
      <c r="K112" s="57">
        <f t="shared" ref="K112:K114" si="60">+D112*I112</f>
        <v>0</v>
      </c>
      <c r="L112"/>
      <c r="M112" s="314">
        <f t="shared" si="56"/>
        <v>0</v>
      </c>
      <c r="N112" s="310"/>
      <c r="O112" s="315"/>
      <c r="P112" s="315"/>
      <c r="Q112" s="315"/>
      <c r="R112" s="315"/>
      <c r="S112" s="55"/>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c r="BM112" s="55"/>
      <c r="BN112" s="55"/>
      <c r="BO112" s="55"/>
      <c r="BP112" s="55"/>
      <c r="BQ112" s="55"/>
      <c r="BR112" s="55"/>
      <c r="BS112" s="55"/>
      <c r="BT112" s="55"/>
      <c r="BU112" s="55"/>
      <c r="BV112" s="55"/>
      <c r="BW112" s="55"/>
      <c r="BX112" s="55"/>
      <c r="BY112" s="55"/>
      <c r="BZ112" s="55"/>
      <c r="CA112" s="55"/>
      <c r="CB112" s="55"/>
      <c r="CC112" s="55"/>
      <c r="CD112" s="55"/>
      <c r="CE112" s="55"/>
      <c r="CF112" s="55"/>
      <c r="CG112" s="55"/>
      <c r="CH112" s="55"/>
      <c r="CI112" s="55"/>
      <c r="CJ112" s="55"/>
      <c r="CK112" s="55"/>
      <c r="CL112" s="55"/>
      <c r="CM112" s="55"/>
      <c r="CN112" s="55"/>
      <c r="CO112" s="55"/>
      <c r="CP112" s="55"/>
      <c r="CQ112" s="55"/>
      <c r="CR112" s="55"/>
      <c r="CS112" s="55"/>
      <c r="CT112" s="55"/>
      <c r="CU112" s="55"/>
      <c r="CV112" s="55"/>
      <c r="CW112" s="55"/>
      <c r="CX112" s="55"/>
      <c r="CY112" s="55"/>
      <c r="CZ112" s="55"/>
      <c r="DA112" s="55"/>
      <c r="DB112" s="55"/>
      <c r="DC112" s="55"/>
      <c r="DD112" s="55"/>
      <c r="DE112" s="55"/>
      <c r="DF112" s="55"/>
      <c r="DG112" s="55"/>
      <c r="DH112" s="55"/>
      <c r="DI112" s="55"/>
    </row>
    <row r="113" spans="1:113" x14ac:dyDescent="0.25">
      <c r="A113" s="152">
        <v>2</v>
      </c>
      <c r="B113" s="79" t="s">
        <v>181</v>
      </c>
      <c r="C113" s="80">
        <v>100000</v>
      </c>
      <c r="D113" s="142">
        <v>25052.04</v>
      </c>
      <c r="E113" s="60">
        <v>0</v>
      </c>
      <c r="F113" s="60"/>
      <c r="G113" s="139">
        <f t="shared" si="57"/>
        <v>0</v>
      </c>
      <c r="H113" s="55">
        <f>222-222</f>
        <v>0</v>
      </c>
      <c r="I113" s="56">
        <f t="shared" si="58"/>
        <v>0</v>
      </c>
      <c r="J113" s="56">
        <f t="shared" si="59"/>
        <v>0</v>
      </c>
      <c r="K113" s="57">
        <f t="shared" si="60"/>
        <v>0</v>
      </c>
      <c r="L113"/>
      <c r="M113" s="314">
        <f t="shared" si="56"/>
        <v>0</v>
      </c>
      <c r="N113" s="310"/>
      <c r="O113" s="315"/>
      <c r="P113" s="315"/>
      <c r="Q113" s="315"/>
      <c r="R113" s="315"/>
      <c r="S113" s="55"/>
      <c r="T113" s="55"/>
      <c r="U113" s="55"/>
      <c r="V113" s="55"/>
      <c r="W113" s="55"/>
      <c r="X113" s="55"/>
      <c r="Y113" s="55"/>
      <c r="Z113" s="55"/>
      <c r="AA113" s="55"/>
      <c r="AB113" s="55"/>
      <c r="AC113" s="55"/>
      <c r="AD113" s="55"/>
      <c r="AE113" s="55"/>
      <c r="AF113" s="55"/>
      <c r="AG113" s="55"/>
      <c r="AH113" s="55"/>
      <c r="AI113" s="55"/>
      <c r="AJ113" s="55"/>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55"/>
      <c r="BH113" s="55"/>
      <c r="BI113" s="55"/>
      <c r="BJ113" s="55"/>
      <c r="BK113" s="55"/>
      <c r="BL113" s="55"/>
      <c r="BM113" s="55"/>
      <c r="BN113" s="55"/>
      <c r="BO113" s="55"/>
      <c r="BP113" s="55"/>
      <c r="BQ113" s="55"/>
      <c r="BR113" s="55"/>
      <c r="BS113" s="55"/>
      <c r="BT113" s="55"/>
      <c r="BU113" s="55"/>
      <c r="BV113" s="55"/>
      <c r="BW113" s="55"/>
      <c r="BX113" s="55"/>
      <c r="BY113" s="55"/>
      <c r="BZ113" s="55"/>
      <c r="CA113" s="55"/>
      <c r="CB113" s="55"/>
      <c r="CC113" s="55"/>
      <c r="CD113" s="55"/>
      <c r="CE113" s="55"/>
      <c r="CF113" s="55"/>
      <c r="CG113" s="55"/>
      <c r="CH113" s="55"/>
      <c r="CI113" s="55"/>
      <c r="CJ113" s="55"/>
      <c r="CK113" s="55"/>
      <c r="CL113" s="55"/>
      <c r="CM113" s="55"/>
      <c r="CN113" s="55"/>
      <c r="CO113" s="55"/>
      <c r="CP113" s="55"/>
      <c r="CQ113" s="55"/>
      <c r="CR113" s="55"/>
      <c r="CS113" s="55"/>
      <c r="CT113" s="55"/>
      <c r="CU113" s="55"/>
      <c r="CV113" s="55"/>
      <c r="CW113" s="55"/>
      <c r="CX113" s="55"/>
      <c r="CY113" s="55"/>
      <c r="CZ113" s="55"/>
      <c r="DA113" s="55"/>
      <c r="DB113" s="55"/>
      <c r="DC113" s="55"/>
      <c r="DD113" s="55"/>
      <c r="DE113" s="55"/>
      <c r="DF113" s="55"/>
      <c r="DG113" s="55"/>
      <c r="DH113" s="55"/>
      <c r="DI113" s="55"/>
    </row>
    <row r="114" spans="1:113" ht="15.75" thickBot="1" x14ac:dyDescent="0.3">
      <c r="A114" s="153">
        <v>3</v>
      </c>
      <c r="B114" s="144" t="s">
        <v>182</v>
      </c>
      <c r="C114" s="82">
        <v>44000</v>
      </c>
      <c r="D114" s="145">
        <v>4175.34</v>
      </c>
      <c r="E114" s="156">
        <v>0</v>
      </c>
      <c r="F114" s="156"/>
      <c r="G114" s="139">
        <f t="shared" si="57"/>
        <v>0</v>
      </c>
      <c r="H114" s="55">
        <f>112-112</f>
        <v>0</v>
      </c>
      <c r="I114" s="56">
        <f t="shared" si="58"/>
        <v>0</v>
      </c>
      <c r="J114" s="56">
        <f t="shared" si="59"/>
        <v>0</v>
      </c>
      <c r="K114" s="57">
        <f t="shared" si="60"/>
        <v>0</v>
      </c>
      <c r="L114"/>
      <c r="M114" s="314">
        <f t="shared" si="56"/>
        <v>0</v>
      </c>
      <c r="N114" s="310"/>
      <c r="O114" s="315"/>
      <c r="P114" s="315"/>
      <c r="Q114" s="315"/>
      <c r="R114" s="315"/>
      <c r="S114" s="55"/>
      <c r="T114" s="55"/>
      <c r="U114" s="55"/>
      <c r="V114" s="55"/>
      <c r="W114" s="55"/>
      <c r="X114" s="55"/>
      <c r="Y114" s="55"/>
      <c r="Z114" s="55"/>
      <c r="AA114" s="55"/>
      <c r="AB114" s="55"/>
      <c r="AC114" s="55"/>
      <c r="AD114" s="55"/>
      <c r="AE114" s="55"/>
      <c r="AF114" s="55"/>
      <c r="AG114" s="55"/>
      <c r="AH114" s="55"/>
      <c r="AI114" s="55"/>
      <c r="AJ114" s="55"/>
      <c r="AK114" s="55"/>
      <c r="AL114" s="55"/>
      <c r="AM114" s="55"/>
      <c r="AN114" s="55"/>
      <c r="AO114" s="55"/>
      <c r="AP114" s="55"/>
      <c r="AQ114" s="55"/>
      <c r="AR114" s="55"/>
      <c r="AS114" s="55"/>
      <c r="AT114" s="55"/>
      <c r="AU114" s="55"/>
      <c r="AV114" s="55"/>
      <c r="AW114" s="55"/>
      <c r="AX114" s="55"/>
      <c r="AY114" s="55"/>
      <c r="AZ114" s="55"/>
      <c r="BA114" s="55"/>
      <c r="BB114" s="55"/>
      <c r="BC114" s="55"/>
      <c r="BD114" s="55"/>
      <c r="BE114" s="55"/>
      <c r="BF114" s="55"/>
      <c r="BG114" s="55"/>
      <c r="BH114" s="55"/>
      <c r="BI114" s="55"/>
      <c r="BJ114" s="55"/>
      <c r="BK114" s="55"/>
      <c r="BL114" s="55"/>
      <c r="BM114" s="55"/>
      <c r="BN114" s="55"/>
      <c r="BO114" s="55"/>
      <c r="BP114" s="55"/>
      <c r="BQ114" s="55"/>
      <c r="BR114" s="55"/>
      <c r="BS114" s="55"/>
      <c r="BT114" s="55"/>
      <c r="BU114" s="55"/>
      <c r="BV114" s="55"/>
      <c r="BW114" s="55"/>
      <c r="BX114" s="55"/>
      <c r="BY114" s="55"/>
      <c r="BZ114" s="55"/>
      <c r="CA114" s="55"/>
      <c r="CB114" s="55"/>
      <c r="CC114" s="55"/>
      <c r="CD114" s="55"/>
      <c r="CE114" s="55"/>
      <c r="CF114" s="55"/>
      <c r="CG114" s="55"/>
      <c r="CH114" s="55"/>
      <c r="CI114" s="55"/>
      <c r="CJ114" s="55"/>
      <c r="CK114" s="55"/>
      <c r="CL114" s="55"/>
      <c r="CM114" s="55"/>
      <c r="CN114" s="55"/>
      <c r="CO114" s="55"/>
      <c r="CP114" s="55"/>
      <c r="CQ114" s="55"/>
      <c r="CR114" s="55"/>
      <c r="CS114" s="55"/>
      <c r="CT114" s="55"/>
      <c r="CU114" s="55"/>
      <c r="CV114" s="55"/>
      <c r="CW114" s="55"/>
      <c r="CX114" s="55"/>
      <c r="CY114" s="55"/>
      <c r="CZ114" s="55"/>
      <c r="DA114" s="55"/>
      <c r="DB114" s="55"/>
      <c r="DC114" s="55"/>
      <c r="DD114" s="55"/>
      <c r="DE114" s="55"/>
      <c r="DF114" s="55"/>
      <c r="DG114" s="55"/>
      <c r="DH114" s="55"/>
      <c r="DI114" s="55"/>
    </row>
    <row r="115" spans="1:113" ht="15.75" thickBot="1" x14ac:dyDescent="0.3">
      <c r="A115" s="128"/>
      <c r="B115" s="119" t="s">
        <v>664</v>
      </c>
      <c r="C115" s="36"/>
      <c r="D115" s="36"/>
      <c r="E115" s="36">
        <f>SUM(E112:E114)</f>
        <v>0</v>
      </c>
      <c r="F115" s="36">
        <f>SUM(F112:F114)</f>
        <v>0</v>
      </c>
      <c r="G115" s="29">
        <f>SUM(G112:G114)</f>
        <v>0</v>
      </c>
      <c r="H115" s="29">
        <f>SUM(H112:H114)</f>
        <v>0</v>
      </c>
      <c r="I115" s="29">
        <f>SUM(I112:I114)</f>
        <v>0</v>
      </c>
      <c r="J115" s="29">
        <f t="shared" ref="J115:K115" si="61">SUM(J112:J114)</f>
        <v>0</v>
      </c>
      <c r="K115" s="47">
        <f t="shared" si="61"/>
        <v>0</v>
      </c>
      <c r="L115"/>
      <c r="M115" s="322">
        <f t="shared" si="56"/>
        <v>0</v>
      </c>
      <c r="N115" s="325"/>
      <c r="O115" s="325"/>
      <c r="P115" s="325"/>
      <c r="Q115" s="325"/>
      <c r="R115" s="325"/>
      <c r="S115" s="324"/>
      <c r="T115" s="324"/>
      <c r="U115" s="324"/>
      <c r="V115" s="324"/>
      <c r="W115" s="324"/>
      <c r="X115" s="324"/>
      <c r="Y115" s="324"/>
      <c r="Z115" s="324"/>
      <c r="AA115" s="324"/>
      <c r="AB115" s="324"/>
      <c r="AC115" s="324"/>
      <c r="AD115" s="324"/>
      <c r="AE115" s="324"/>
      <c r="AF115" s="324"/>
      <c r="AG115" s="324"/>
      <c r="AH115" s="324"/>
      <c r="AI115" s="324"/>
      <c r="AJ115" s="324"/>
      <c r="AK115" s="324"/>
      <c r="AL115" s="324"/>
      <c r="AM115" s="324"/>
      <c r="AN115" s="324"/>
      <c r="AO115" s="324"/>
      <c r="AP115" s="324"/>
      <c r="AQ115" s="324"/>
      <c r="AR115" s="324"/>
      <c r="AS115" s="324"/>
      <c r="AT115" s="324"/>
      <c r="AU115" s="324"/>
      <c r="AV115" s="324"/>
      <c r="AW115" s="324"/>
      <c r="AX115" s="324"/>
      <c r="AY115" s="324"/>
      <c r="AZ115" s="324"/>
      <c r="BA115" s="324"/>
      <c r="BB115" s="324"/>
      <c r="BC115" s="324"/>
      <c r="BD115" s="324"/>
      <c r="BE115" s="324"/>
      <c r="BF115" s="324"/>
      <c r="BG115" s="324"/>
      <c r="BH115" s="324"/>
      <c r="BI115" s="324"/>
      <c r="BJ115" s="324"/>
      <c r="BK115" s="324"/>
      <c r="BL115" s="324"/>
      <c r="BM115" s="324"/>
      <c r="BN115" s="324"/>
      <c r="BO115" s="324"/>
      <c r="BP115" s="324"/>
      <c r="BQ115" s="324"/>
      <c r="BR115" s="324"/>
      <c r="BS115" s="324"/>
      <c r="BT115" s="324"/>
      <c r="BU115" s="324"/>
      <c r="BV115" s="324"/>
      <c r="BW115" s="324"/>
      <c r="BX115" s="324"/>
      <c r="BY115" s="324"/>
      <c r="BZ115" s="324"/>
      <c r="CA115" s="324"/>
      <c r="CB115" s="324"/>
      <c r="CC115" s="324"/>
      <c r="CD115" s="324"/>
      <c r="CE115" s="324"/>
      <c r="CF115" s="324"/>
      <c r="CG115" s="324"/>
      <c r="CH115" s="324"/>
      <c r="CI115" s="324"/>
      <c r="CJ115" s="324"/>
      <c r="CK115" s="324"/>
      <c r="CL115" s="324"/>
      <c r="CM115" s="324"/>
      <c r="CN115" s="324"/>
      <c r="CO115" s="324"/>
      <c r="CP115" s="324"/>
      <c r="CQ115" s="324"/>
      <c r="CR115" s="324"/>
      <c r="CS115" s="324"/>
      <c r="CT115" s="324"/>
      <c r="CU115" s="324"/>
      <c r="CV115" s="324"/>
      <c r="CW115" s="324"/>
      <c r="CX115" s="324"/>
      <c r="CY115" s="324"/>
      <c r="CZ115" s="324"/>
      <c r="DA115" s="324"/>
      <c r="DB115" s="324"/>
      <c r="DC115" s="324"/>
      <c r="DD115" s="324"/>
      <c r="DE115" s="324"/>
      <c r="DF115" s="324"/>
      <c r="DG115" s="324"/>
      <c r="DH115" s="324"/>
      <c r="DI115" s="324"/>
    </row>
    <row r="116" spans="1:113" customFormat="1" ht="15.75" thickBot="1" x14ac:dyDescent="0.3"/>
    <row r="117" spans="1:113" ht="15.75" thickBot="1" x14ac:dyDescent="0.3">
      <c r="A117" s="407" t="s">
        <v>657</v>
      </c>
      <c r="B117" s="414" t="s">
        <v>708</v>
      </c>
      <c r="C117" s="414" t="s">
        <v>1</v>
      </c>
      <c r="D117" s="415" t="s">
        <v>649</v>
      </c>
      <c r="E117" s="416" t="s">
        <v>19</v>
      </c>
      <c r="F117" s="416"/>
      <c r="G117" s="416"/>
      <c r="H117" s="416"/>
      <c r="I117" s="416"/>
      <c r="J117" s="410" t="s">
        <v>21</v>
      </c>
      <c r="K117" s="417" t="s">
        <v>602</v>
      </c>
      <c r="L117"/>
      <c r="M117" s="403" t="s">
        <v>601</v>
      </c>
      <c r="N117" s="403" t="s">
        <v>924</v>
      </c>
      <c r="O117" s="403"/>
      <c r="P117" s="403"/>
      <c r="Q117" s="403"/>
      <c r="R117" s="403"/>
      <c r="S117" s="403"/>
      <c r="T117" s="403"/>
      <c r="U117" s="403"/>
      <c r="V117" s="403"/>
      <c r="W117" s="403"/>
      <c r="X117" s="403"/>
      <c r="Y117" s="403"/>
      <c r="Z117" s="403"/>
      <c r="AA117" s="403"/>
      <c r="AB117" s="403"/>
      <c r="AC117" s="403"/>
      <c r="AD117" s="403"/>
      <c r="AE117" s="403"/>
      <c r="AF117" s="403"/>
      <c r="AG117" s="403"/>
      <c r="AH117" s="403"/>
      <c r="AI117" s="403"/>
      <c r="AJ117" s="403"/>
      <c r="AK117" s="403"/>
      <c r="AL117" s="403"/>
      <c r="AM117" s="403"/>
      <c r="AN117" s="403"/>
      <c r="AO117" s="403"/>
      <c r="AP117" s="403"/>
      <c r="AQ117" s="403"/>
      <c r="AR117" s="403"/>
      <c r="AS117" s="403"/>
      <c r="AT117" s="403"/>
      <c r="AU117" s="403"/>
      <c r="AV117" s="403"/>
      <c r="AW117" s="403"/>
      <c r="AX117" s="403"/>
      <c r="AY117" s="403"/>
      <c r="AZ117" s="403"/>
      <c r="BA117" s="403"/>
      <c r="BB117" s="403"/>
      <c r="BC117" s="403"/>
      <c r="BD117" s="403"/>
      <c r="BE117" s="403"/>
      <c r="BF117" s="403"/>
      <c r="BG117" s="403"/>
      <c r="BH117" s="403"/>
      <c r="BI117" s="403"/>
      <c r="BJ117" s="403"/>
      <c r="BK117" s="403"/>
      <c r="BL117" s="403"/>
      <c r="BM117" s="403"/>
      <c r="BN117" s="403"/>
      <c r="BO117" s="403"/>
      <c r="BP117" s="403"/>
      <c r="BQ117" s="403"/>
      <c r="BR117" s="403"/>
      <c r="BS117" s="403"/>
      <c r="BT117" s="403"/>
      <c r="BU117" s="403"/>
      <c r="BV117" s="403"/>
      <c r="BW117" s="403"/>
      <c r="BX117" s="403"/>
      <c r="BY117" s="403"/>
      <c r="BZ117" s="403"/>
      <c r="CA117" s="403"/>
      <c r="CB117" s="403"/>
      <c r="CC117" s="403"/>
      <c r="CD117" s="403"/>
      <c r="CE117" s="403"/>
      <c r="CF117" s="403"/>
      <c r="CG117" s="403"/>
      <c r="CH117" s="403"/>
      <c r="CI117" s="403"/>
      <c r="CJ117" s="403"/>
      <c r="CK117" s="403"/>
      <c r="CL117" s="403"/>
      <c r="CM117" s="403"/>
      <c r="CN117" s="403"/>
      <c r="CO117" s="403"/>
      <c r="CP117" s="403"/>
      <c r="CQ117" s="403"/>
      <c r="CR117" s="403"/>
      <c r="CS117" s="403"/>
      <c r="CT117" s="403"/>
      <c r="CU117" s="403"/>
      <c r="CV117" s="403"/>
      <c r="CW117" s="403"/>
      <c r="CX117" s="403"/>
      <c r="CY117" s="403"/>
      <c r="CZ117" s="403"/>
      <c r="DA117" s="403"/>
      <c r="DB117" s="403"/>
      <c r="DC117" s="403"/>
      <c r="DD117" s="403"/>
      <c r="DE117" s="403"/>
      <c r="DF117" s="403"/>
      <c r="DG117" s="403"/>
      <c r="DH117" s="403"/>
      <c r="DI117" s="403"/>
    </row>
    <row r="118" spans="1:113" ht="15.75" thickBot="1" x14ac:dyDescent="0.3">
      <c r="A118" s="408"/>
      <c r="B118" s="414"/>
      <c r="C118" s="414"/>
      <c r="D118" s="415"/>
      <c r="E118" s="68" t="s">
        <v>22</v>
      </c>
      <c r="F118" s="68" t="s">
        <v>600</v>
      </c>
      <c r="G118" s="68" t="s">
        <v>601</v>
      </c>
      <c r="H118" s="68" t="s">
        <v>589</v>
      </c>
      <c r="I118" s="68" t="s">
        <v>601</v>
      </c>
      <c r="J118" s="411"/>
      <c r="K118" s="418"/>
      <c r="L118"/>
      <c r="M118" s="403"/>
      <c r="N118" s="400" t="s">
        <v>925</v>
      </c>
      <c r="O118" s="400" t="s">
        <v>926</v>
      </c>
      <c r="P118" s="400"/>
      <c r="Q118" s="400"/>
      <c r="R118" s="400"/>
      <c r="S118" s="398"/>
      <c r="T118" s="398"/>
      <c r="U118" s="398"/>
      <c r="V118" s="398"/>
      <c r="W118" s="398"/>
      <c r="X118" s="398"/>
      <c r="Y118" s="398"/>
      <c r="Z118" s="398"/>
      <c r="AA118" s="398"/>
      <c r="AB118" s="398"/>
      <c r="AC118" s="398"/>
      <c r="AD118" s="398"/>
      <c r="AE118" s="398"/>
      <c r="AF118" s="398"/>
      <c r="AG118" s="398"/>
      <c r="AH118" s="398"/>
      <c r="AI118" s="398"/>
      <c r="AJ118" s="398"/>
      <c r="AK118" s="398"/>
      <c r="AL118" s="398"/>
      <c r="AM118" s="398"/>
      <c r="AN118" s="398"/>
      <c r="AO118" s="398"/>
      <c r="AP118" s="398"/>
      <c r="AQ118" s="398"/>
      <c r="AR118" s="398"/>
      <c r="AS118" s="398"/>
      <c r="AT118" s="398"/>
      <c r="AU118" s="398"/>
      <c r="AV118" s="398"/>
      <c r="AW118" s="398"/>
      <c r="AX118" s="398"/>
      <c r="AY118" s="398"/>
      <c r="AZ118" s="398"/>
      <c r="BA118" s="398"/>
      <c r="BB118" s="398"/>
      <c r="BC118" s="398"/>
      <c r="BD118" s="398"/>
      <c r="BE118" s="398"/>
      <c r="BF118" s="398"/>
      <c r="BG118" s="398"/>
      <c r="BH118" s="398"/>
      <c r="BI118" s="398"/>
      <c r="BJ118" s="398"/>
      <c r="BK118" s="398"/>
      <c r="BL118" s="398"/>
      <c r="BM118" s="398"/>
      <c r="BN118" s="398"/>
      <c r="BO118" s="398"/>
      <c r="BP118" s="398"/>
      <c r="BQ118" s="398"/>
      <c r="BR118" s="398"/>
      <c r="BS118" s="398"/>
      <c r="BT118" s="398"/>
      <c r="BU118" s="398"/>
      <c r="BV118" s="398"/>
      <c r="BW118" s="398"/>
      <c r="BX118" s="398"/>
      <c r="BY118" s="398"/>
      <c r="BZ118" s="398"/>
      <c r="CA118" s="398"/>
      <c r="CB118" s="398"/>
      <c r="CC118" s="398"/>
      <c r="CD118" s="398"/>
      <c r="CE118" s="398"/>
      <c r="CF118" s="398"/>
      <c r="CG118" s="398"/>
      <c r="CH118" s="398"/>
      <c r="CI118" s="398"/>
      <c r="CJ118" s="398"/>
      <c r="CK118" s="398"/>
      <c r="CL118" s="398"/>
      <c r="CM118" s="398"/>
      <c r="CN118" s="398"/>
      <c r="CO118" s="398"/>
      <c r="CP118" s="398"/>
      <c r="CQ118" s="398"/>
      <c r="CR118" s="398"/>
      <c r="CS118" s="398"/>
      <c r="CT118" s="398"/>
      <c r="CU118" s="398"/>
      <c r="CV118" s="398"/>
      <c r="CW118" s="398"/>
      <c r="CX118" s="398"/>
      <c r="CY118" s="398"/>
      <c r="CZ118" s="398"/>
      <c r="DA118" s="398"/>
      <c r="DB118" s="398"/>
      <c r="DC118" s="398"/>
      <c r="DD118" s="398"/>
      <c r="DE118" s="398"/>
      <c r="DF118" s="398"/>
      <c r="DG118" s="398"/>
      <c r="DH118" s="398"/>
      <c r="DI118" s="398"/>
    </row>
    <row r="119" spans="1:113" ht="15.75" thickBot="1" x14ac:dyDescent="0.3">
      <c r="A119" s="409"/>
      <c r="B119" s="148">
        <v>1</v>
      </c>
      <c r="C119" s="148">
        <v>2</v>
      </c>
      <c r="D119" s="148">
        <v>3</v>
      </c>
      <c r="E119" s="70">
        <v>4</v>
      </c>
      <c r="F119" s="70">
        <f>+E119+1</f>
        <v>5</v>
      </c>
      <c r="G119" s="70" t="s">
        <v>652</v>
      </c>
      <c r="H119" s="70">
        <v>7</v>
      </c>
      <c r="I119" s="71" t="s">
        <v>651</v>
      </c>
      <c r="J119" s="42" t="s">
        <v>650</v>
      </c>
      <c r="K119" s="42" t="s">
        <v>653</v>
      </c>
      <c r="L119"/>
      <c r="M119" s="403"/>
      <c r="N119" s="402"/>
      <c r="O119" s="402"/>
      <c r="P119" s="402"/>
      <c r="Q119" s="402"/>
      <c r="R119" s="402"/>
      <c r="S119" s="399"/>
      <c r="T119" s="399"/>
      <c r="U119" s="399"/>
      <c r="V119" s="399"/>
      <c r="W119" s="399"/>
      <c r="X119" s="399"/>
      <c r="Y119" s="399"/>
      <c r="Z119" s="399"/>
      <c r="AA119" s="399"/>
      <c r="AB119" s="399"/>
      <c r="AC119" s="399"/>
      <c r="AD119" s="399"/>
      <c r="AE119" s="399"/>
      <c r="AF119" s="399"/>
      <c r="AG119" s="399"/>
      <c r="AH119" s="399"/>
      <c r="AI119" s="399"/>
      <c r="AJ119" s="399"/>
      <c r="AK119" s="399"/>
      <c r="AL119" s="399"/>
      <c r="AM119" s="399"/>
      <c r="AN119" s="399"/>
      <c r="AO119" s="399"/>
      <c r="AP119" s="399"/>
      <c r="AQ119" s="399"/>
      <c r="AR119" s="399"/>
      <c r="AS119" s="399"/>
      <c r="AT119" s="399"/>
      <c r="AU119" s="399"/>
      <c r="AV119" s="399"/>
      <c r="AW119" s="399"/>
      <c r="AX119" s="399"/>
      <c r="AY119" s="399"/>
      <c r="AZ119" s="399"/>
      <c r="BA119" s="399"/>
      <c r="BB119" s="399"/>
      <c r="BC119" s="399"/>
      <c r="BD119" s="399"/>
      <c r="BE119" s="399"/>
      <c r="BF119" s="399"/>
      <c r="BG119" s="399"/>
      <c r="BH119" s="399"/>
      <c r="BI119" s="399"/>
      <c r="BJ119" s="399"/>
      <c r="BK119" s="399"/>
      <c r="BL119" s="399"/>
      <c r="BM119" s="399"/>
      <c r="BN119" s="399"/>
      <c r="BO119" s="399"/>
      <c r="BP119" s="399"/>
      <c r="BQ119" s="399"/>
      <c r="BR119" s="399"/>
      <c r="BS119" s="399"/>
      <c r="BT119" s="399"/>
      <c r="BU119" s="399"/>
      <c r="BV119" s="399"/>
      <c r="BW119" s="399"/>
      <c r="BX119" s="399"/>
      <c r="BY119" s="399"/>
      <c r="BZ119" s="399"/>
      <c r="CA119" s="399"/>
      <c r="CB119" s="399"/>
      <c r="CC119" s="399"/>
      <c r="CD119" s="399"/>
      <c r="CE119" s="399"/>
      <c r="CF119" s="399"/>
      <c r="CG119" s="399"/>
      <c r="CH119" s="399"/>
      <c r="CI119" s="399"/>
      <c r="CJ119" s="399"/>
      <c r="CK119" s="399"/>
      <c r="CL119" s="399"/>
      <c r="CM119" s="399"/>
      <c r="CN119" s="399"/>
      <c r="CO119" s="399"/>
      <c r="CP119" s="399"/>
      <c r="CQ119" s="399"/>
      <c r="CR119" s="399"/>
      <c r="CS119" s="399"/>
      <c r="CT119" s="399"/>
      <c r="CU119" s="399"/>
      <c r="CV119" s="399"/>
      <c r="CW119" s="399"/>
      <c r="CX119" s="399"/>
      <c r="CY119" s="399"/>
      <c r="CZ119" s="399"/>
      <c r="DA119" s="399"/>
      <c r="DB119" s="399"/>
      <c r="DC119" s="399"/>
      <c r="DD119" s="399"/>
      <c r="DE119" s="399"/>
      <c r="DF119" s="399"/>
      <c r="DG119" s="399"/>
      <c r="DH119" s="399"/>
      <c r="DI119" s="399"/>
    </row>
    <row r="120" spans="1:113" x14ac:dyDescent="0.25">
      <c r="A120" s="150"/>
      <c r="B120" s="72" t="s">
        <v>700</v>
      </c>
      <c r="C120" s="54"/>
      <c r="D120" s="54"/>
      <c r="E120" s="54"/>
      <c r="F120" s="54"/>
      <c r="G120" s="54"/>
      <c r="H120" s="54"/>
      <c r="I120" s="54"/>
      <c r="J120" s="54"/>
      <c r="K120" s="54"/>
      <c r="L120"/>
      <c r="M120" s="314">
        <f t="shared" si="56"/>
        <v>0</v>
      </c>
      <c r="N120" s="310"/>
      <c r="O120" s="315"/>
      <c r="P120" s="315"/>
      <c r="Q120" s="315"/>
      <c r="R120" s="315"/>
      <c r="S120" s="55"/>
      <c r="T120" s="55"/>
      <c r="U120" s="55"/>
      <c r="V120" s="55"/>
      <c r="W120" s="55"/>
      <c r="X120" s="55"/>
      <c r="Y120" s="55"/>
      <c r="Z120" s="55"/>
      <c r="AA120" s="55"/>
      <c r="AB120" s="55"/>
      <c r="AC120" s="55"/>
      <c r="AD120" s="55"/>
      <c r="AE120" s="55"/>
      <c r="AF120" s="55"/>
      <c r="AG120" s="55"/>
      <c r="AH120" s="55"/>
      <c r="AI120" s="55"/>
      <c r="AJ120" s="55"/>
      <c r="AK120" s="55"/>
      <c r="AL120" s="55"/>
      <c r="AM120" s="55"/>
      <c r="AN120" s="55"/>
      <c r="AO120" s="55"/>
      <c r="AP120" s="55"/>
      <c r="AQ120" s="55"/>
      <c r="AR120" s="55"/>
      <c r="AS120" s="55"/>
      <c r="AT120" s="55"/>
      <c r="AU120" s="55"/>
      <c r="AV120" s="55"/>
      <c r="AW120" s="55"/>
      <c r="AX120" s="55"/>
      <c r="AY120" s="55"/>
      <c r="AZ120" s="55"/>
      <c r="BA120" s="55"/>
      <c r="BB120" s="55"/>
      <c r="BC120" s="55"/>
      <c r="BD120" s="55"/>
      <c r="BE120" s="55"/>
      <c r="BF120" s="55"/>
      <c r="BG120" s="55"/>
      <c r="BH120" s="55"/>
      <c r="BI120" s="55"/>
      <c r="BJ120" s="55"/>
      <c r="BK120" s="55"/>
      <c r="BL120" s="55"/>
      <c r="BM120" s="55"/>
      <c r="BN120" s="55"/>
      <c r="BO120" s="55"/>
      <c r="BP120" s="55"/>
      <c r="BQ120" s="55"/>
      <c r="BR120" s="55"/>
      <c r="BS120" s="55"/>
      <c r="BT120" s="55"/>
      <c r="BU120" s="55"/>
      <c r="BV120" s="55"/>
      <c r="BW120" s="55"/>
      <c r="BX120" s="55"/>
      <c r="BY120" s="55"/>
      <c r="BZ120" s="55"/>
      <c r="CA120" s="55"/>
      <c r="CB120" s="55"/>
      <c r="CC120" s="55"/>
      <c r="CD120" s="55"/>
      <c r="CE120" s="55"/>
      <c r="CF120" s="55"/>
      <c r="CG120" s="55"/>
      <c r="CH120" s="55"/>
      <c r="CI120" s="55"/>
      <c r="CJ120" s="55"/>
      <c r="CK120" s="55"/>
      <c r="CL120" s="55"/>
      <c r="CM120" s="55"/>
      <c r="CN120" s="55"/>
      <c r="CO120" s="55"/>
      <c r="CP120" s="55"/>
      <c r="CQ120" s="55"/>
      <c r="CR120" s="55"/>
      <c r="CS120" s="55"/>
      <c r="CT120" s="55"/>
      <c r="CU120" s="55"/>
      <c r="CV120" s="55"/>
      <c r="CW120" s="55"/>
      <c r="CX120" s="55"/>
      <c r="CY120" s="55"/>
      <c r="CZ120" s="55"/>
      <c r="DA120" s="55"/>
      <c r="DB120" s="55"/>
      <c r="DC120" s="55"/>
      <c r="DD120" s="55"/>
      <c r="DE120" s="55"/>
      <c r="DF120" s="55"/>
      <c r="DG120" s="55"/>
      <c r="DH120" s="55"/>
      <c r="DI120" s="55"/>
    </row>
    <row r="121" spans="1:113" x14ac:dyDescent="0.25">
      <c r="A121" s="152">
        <v>1</v>
      </c>
      <c r="B121" s="79" t="s">
        <v>183</v>
      </c>
      <c r="C121" s="80">
        <v>30000</v>
      </c>
      <c r="D121" s="142">
        <v>4175.34</v>
      </c>
      <c r="E121" s="43">
        <v>0</v>
      </c>
      <c r="F121" s="43"/>
      <c r="G121" s="139">
        <f t="shared" ref="G121:G122" si="62">+E121+F121</f>
        <v>0</v>
      </c>
      <c r="H121" s="55">
        <f>21499-21499</f>
        <v>0</v>
      </c>
      <c r="I121" s="56">
        <f t="shared" ref="I121:I122" si="63">+G121-H121</f>
        <v>0</v>
      </c>
      <c r="J121" s="56">
        <f t="shared" ref="J121:J122" si="64">I121*C121</f>
        <v>0</v>
      </c>
      <c r="K121" s="57">
        <f t="shared" ref="K121:K122" si="65">+D121*I121</f>
        <v>0</v>
      </c>
      <c r="L121"/>
      <c r="M121" s="314">
        <f t="shared" si="56"/>
        <v>0</v>
      </c>
      <c r="N121" s="310"/>
      <c r="O121" s="315"/>
      <c r="P121" s="315"/>
      <c r="Q121" s="315"/>
      <c r="R121" s="315"/>
      <c r="S121" s="55"/>
      <c r="T121" s="55"/>
      <c r="U121" s="55"/>
      <c r="V121" s="55"/>
      <c r="W121" s="55"/>
      <c r="X121" s="55"/>
      <c r="Y121" s="55"/>
      <c r="Z121" s="55"/>
      <c r="AA121" s="55"/>
      <c r="AB121" s="55"/>
      <c r="AC121" s="55"/>
      <c r="AD121" s="55"/>
      <c r="AE121" s="55"/>
      <c r="AF121" s="55"/>
      <c r="AG121" s="55"/>
      <c r="AH121" s="55"/>
      <c r="AI121" s="55"/>
      <c r="AJ121" s="55"/>
      <c r="AK121" s="55"/>
      <c r="AL121" s="55"/>
      <c r="AM121" s="55"/>
      <c r="AN121" s="55"/>
      <c r="AO121" s="55"/>
      <c r="AP121" s="55"/>
      <c r="AQ121" s="55"/>
      <c r="AR121" s="55"/>
      <c r="AS121" s="55"/>
      <c r="AT121" s="55"/>
      <c r="AU121" s="55"/>
      <c r="AV121" s="55"/>
      <c r="AW121" s="55"/>
      <c r="AX121" s="55"/>
      <c r="AY121" s="55"/>
      <c r="AZ121" s="55"/>
      <c r="BA121" s="55"/>
      <c r="BB121" s="55"/>
      <c r="BC121" s="55"/>
      <c r="BD121" s="55"/>
      <c r="BE121" s="55"/>
      <c r="BF121" s="55"/>
      <c r="BG121" s="55"/>
      <c r="BH121" s="55"/>
      <c r="BI121" s="55"/>
      <c r="BJ121" s="55"/>
      <c r="BK121" s="55"/>
      <c r="BL121" s="55"/>
      <c r="BM121" s="55"/>
      <c r="BN121" s="55"/>
      <c r="BO121" s="55"/>
      <c r="BP121" s="55"/>
      <c r="BQ121" s="55"/>
      <c r="BR121" s="55"/>
      <c r="BS121" s="55"/>
      <c r="BT121" s="55"/>
      <c r="BU121" s="55"/>
      <c r="BV121" s="55"/>
      <c r="BW121" s="55"/>
      <c r="BX121" s="55"/>
      <c r="BY121" s="55"/>
      <c r="BZ121" s="55"/>
      <c r="CA121" s="55"/>
      <c r="CB121" s="55"/>
      <c r="CC121" s="55"/>
      <c r="CD121" s="55"/>
      <c r="CE121" s="55"/>
      <c r="CF121" s="55"/>
      <c r="CG121" s="55"/>
      <c r="CH121" s="55"/>
      <c r="CI121" s="55"/>
      <c r="CJ121" s="55"/>
      <c r="CK121" s="55"/>
      <c r="CL121" s="55"/>
      <c r="CM121" s="55"/>
      <c r="CN121" s="55"/>
      <c r="CO121" s="55"/>
      <c r="CP121" s="55"/>
      <c r="CQ121" s="55"/>
      <c r="CR121" s="55"/>
      <c r="CS121" s="55"/>
      <c r="CT121" s="55"/>
      <c r="CU121" s="55"/>
      <c r="CV121" s="55"/>
      <c r="CW121" s="55"/>
      <c r="CX121" s="55"/>
      <c r="CY121" s="55"/>
      <c r="CZ121" s="55"/>
      <c r="DA121" s="55"/>
      <c r="DB121" s="55"/>
      <c r="DC121" s="55"/>
      <c r="DD121" s="55"/>
      <c r="DE121" s="55"/>
      <c r="DF121" s="55"/>
      <c r="DG121" s="55"/>
      <c r="DH121" s="55"/>
      <c r="DI121" s="55"/>
    </row>
    <row r="122" spans="1:113" ht="15.75" thickBot="1" x14ac:dyDescent="0.3">
      <c r="A122" s="153">
        <v>2</v>
      </c>
      <c r="B122" s="144" t="s">
        <v>184</v>
      </c>
      <c r="C122" s="82">
        <v>12000</v>
      </c>
      <c r="D122" s="145">
        <v>976.95</v>
      </c>
      <c r="E122" s="154">
        <v>0</v>
      </c>
      <c r="F122" s="154"/>
      <c r="G122" s="147">
        <f t="shared" si="62"/>
        <v>0</v>
      </c>
      <c r="H122" s="55">
        <f>2000-2000</f>
        <v>0</v>
      </c>
      <c r="I122" s="64">
        <f t="shared" si="63"/>
        <v>0</v>
      </c>
      <c r="J122" s="64">
        <f t="shared" si="64"/>
        <v>0</v>
      </c>
      <c r="K122" s="65">
        <f t="shared" si="65"/>
        <v>0</v>
      </c>
      <c r="L122"/>
      <c r="M122" s="314">
        <f t="shared" si="56"/>
        <v>0</v>
      </c>
      <c r="N122" s="310"/>
      <c r="O122" s="315"/>
      <c r="P122" s="315"/>
      <c r="Q122" s="315"/>
      <c r="R122" s="315"/>
      <c r="S122" s="55"/>
      <c r="T122" s="55"/>
      <c r="U122" s="55"/>
      <c r="V122" s="55"/>
      <c r="W122" s="55"/>
      <c r="X122" s="55"/>
      <c r="Y122" s="55"/>
      <c r="Z122" s="55"/>
      <c r="AA122" s="55"/>
      <c r="AB122" s="55"/>
      <c r="AC122" s="55"/>
      <c r="AD122" s="55"/>
      <c r="AE122" s="55"/>
      <c r="AF122" s="55"/>
      <c r="AG122" s="55"/>
      <c r="AH122" s="55"/>
      <c r="AI122" s="55"/>
      <c r="AJ122" s="55"/>
      <c r="AK122" s="55"/>
      <c r="AL122" s="55"/>
      <c r="AM122" s="55"/>
      <c r="AN122" s="55"/>
      <c r="AO122" s="55"/>
      <c r="AP122" s="55"/>
      <c r="AQ122" s="55"/>
      <c r="AR122" s="55"/>
      <c r="AS122" s="55"/>
      <c r="AT122" s="55"/>
      <c r="AU122" s="55"/>
      <c r="AV122" s="55"/>
      <c r="AW122" s="55"/>
      <c r="AX122" s="55"/>
      <c r="AY122" s="55"/>
      <c r="AZ122" s="55"/>
      <c r="BA122" s="55"/>
      <c r="BB122" s="55"/>
      <c r="BC122" s="55"/>
      <c r="BD122" s="55"/>
      <c r="BE122" s="55"/>
      <c r="BF122" s="55"/>
      <c r="BG122" s="55"/>
      <c r="BH122" s="55"/>
      <c r="BI122" s="55"/>
      <c r="BJ122" s="55"/>
      <c r="BK122" s="55"/>
      <c r="BL122" s="55"/>
      <c r="BM122" s="55"/>
      <c r="BN122" s="55"/>
      <c r="BO122" s="55"/>
      <c r="BP122" s="55"/>
      <c r="BQ122" s="55"/>
      <c r="BR122" s="55"/>
      <c r="BS122" s="55"/>
      <c r="BT122" s="55"/>
      <c r="BU122" s="55"/>
      <c r="BV122" s="55"/>
      <c r="BW122" s="55"/>
      <c r="BX122" s="55"/>
      <c r="BY122" s="55"/>
      <c r="BZ122" s="55"/>
      <c r="CA122" s="55"/>
      <c r="CB122" s="55"/>
      <c r="CC122" s="55"/>
      <c r="CD122" s="55"/>
      <c r="CE122" s="55"/>
      <c r="CF122" s="55"/>
      <c r="CG122" s="55"/>
      <c r="CH122" s="55"/>
      <c r="CI122" s="55"/>
      <c r="CJ122" s="55"/>
      <c r="CK122" s="55"/>
      <c r="CL122" s="55"/>
      <c r="CM122" s="55"/>
      <c r="CN122" s="55"/>
      <c r="CO122" s="55"/>
      <c r="CP122" s="55"/>
      <c r="CQ122" s="55"/>
      <c r="CR122" s="55"/>
      <c r="CS122" s="55"/>
      <c r="CT122" s="55"/>
      <c r="CU122" s="55"/>
      <c r="CV122" s="55"/>
      <c r="CW122" s="55"/>
      <c r="CX122" s="55"/>
      <c r="CY122" s="55"/>
      <c r="CZ122" s="55"/>
      <c r="DA122" s="55"/>
      <c r="DB122" s="55"/>
      <c r="DC122" s="55"/>
      <c r="DD122" s="55"/>
      <c r="DE122" s="55"/>
      <c r="DF122" s="55"/>
      <c r="DG122" s="55"/>
      <c r="DH122" s="55"/>
      <c r="DI122" s="55"/>
    </row>
    <row r="123" spans="1:113" ht="15.75" thickBot="1" x14ac:dyDescent="0.3">
      <c r="A123" s="128"/>
      <c r="B123" s="119" t="s">
        <v>666</v>
      </c>
      <c r="C123" s="36"/>
      <c r="D123" s="36"/>
      <c r="E123" s="29">
        <f>SUM(E121:E122)</f>
        <v>0</v>
      </c>
      <c r="F123" s="36"/>
      <c r="G123" s="29">
        <f>SUM(G121:G122)</f>
        <v>0</v>
      </c>
      <c r="H123" s="29">
        <f>SUM(H121:H122)</f>
        <v>0</v>
      </c>
      <c r="I123" s="29">
        <f>SUM(I121:I122)</f>
        <v>0</v>
      </c>
      <c r="J123" s="29">
        <f t="shared" ref="J123:K123" si="66">SUM(J121:J122)</f>
        <v>0</v>
      </c>
      <c r="K123" s="31">
        <f t="shared" si="66"/>
        <v>0</v>
      </c>
      <c r="L123"/>
      <c r="M123" s="322">
        <f t="shared" si="56"/>
        <v>0</v>
      </c>
      <c r="N123" s="325"/>
      <c r="O123" s="325"/>
      <c r="P123" s="325"/>
      <c r="Q123" s="325"/>
      <c r="R123" s="325"/>
      <c r="S123" s="324"/>
      <c r="T123" s="324"/>
      <c r="U123" s="324"/>
      <c r="V123" s="324"/>
      <c r="W123" s="324"/>
      <c r="X123" s="324"/>
      <c r="Y123" s="324"/>
      <c r="Z123" s="324"/>
      <c r="AA123" s="324"/>
      <c r="AB123" s="324"/>
      <c r="AC123" s="324"/>
      <c r="AD123" s="324"/>
      <c r="AE123" s="324"/>
      <c r="AF123" s="324"/>
      <c r="AG123" s="324"/>
      <c r="AH123" s="324"/>
      <c r="AI123" s="324"/>
      <c r="AJ123" s="324"/>
      <c r="AK123" s="324"/>
      <c r="AL123" s="324"/>
      <c r="AM123" s="324"/>
      <c r="AN123" s="324"/>
      <c r="AO123" s="324"/>
      <c r="AP123" s="324"/>
      <c r="AQ123" s="324"/>
      <c r="AR123" s="324"/>
      <c r="AS123" s="324"/>
      <c r="AT123" s="324"/>
      <c r="AU123" s="324"/>
      <c r="AV123" s="324"/>
      <c r="AW123" s="324"/>
      <c r="AX123" s="324"/>
      <c r="AY123" s="324"/>
      <c r="AZ123" s="324"/>
      <c r="BA123" s="324"/>
      <c r="BB123" s="324"/>
      <c r="BC123" s="324"/>
      <c r="BD123" s="324"/>
      <c r="BE123" s="324"/>
      <c r="BF123" s="324"/>
      <c r="BG123" s="324"/>
      <c r="BH123" s="324"/>
      <c r="BI123" s="324"/>
      <c r="BJ123" s="324"/>
      <c r="BK123" s="324"/>
      <c r="BL123" s="324"/>
      <c r="BM123" s="324"/>
      <c r="BN123" s="324"/>
      <c r="BO123" s="324"/>
      <c r="BP123" s="324"/>
      <c r="BQ123" s="324"/>
      <c r="BR123" s="324"/>
      <c r="BS123" s="324"/>
      <c r="BT123" s="324"/>
      <c r="BU123" s="324"/>
      <c r="BV123" s="324"/>
      <c r="BW123" s="324"/>
      <c r="BX123" s="324"/>
      <c r="BY123" s="324"/>
      <c r="BZ123" s="324"/>
      <c r="CA123" s="324"/>
      <c r="CB123" s="324"/>
      <c r="CC123" s="324"/>
      <c r="CD123" s="324"/>
      <c r="CE123" s="324"/>
      <c r="CF123" s="324"/>
      <c r="CG123" s="324"/>
      <c r="CH123" s="324"/>
      <c r="CI123" s="324"/>
      <c r="CJ123" s="324"/>
      <c r="CK123" s="324"/>
      <c r="CL123" s="324"/>
      <c r="CM123" s="324"/>
      <c r="CN123" s="324"/>
      <c r="CO123" s="324"/>
      <c r="CP123" s="324"/>
      <c r="CQ123" s="324"/>
      <c r="CR123" s="324"/>
      <c r="CS123" s="324"/>
      <c r="CT123" s="324"/>
      <c r="CU123" s="324"/>
      <c r="CV123" s="324"/>
      <c r="CW123" s="324"/>
      <c r="CX123" s="324"/>
      <c r="CY123" s="324"/>
      <c r="CZ123" s="324"/>
      <c r="DA123" s="324"/>
      <c r="DB123" s="324"/>
      <c r="DC123" s="324"/>
      <c r="DD123" s="324"/>
      <c r="DE123" s="324"/>
      <c r="DF123" s="324"/>
      <c r="DG123" s="324"/>
      <c r="DH123" s="324"/>
      <c r="DI123" s="324"/>
    </row>
    <row r="124" spans="1:113" customFormat="1" ht="15.75" thickBot="1" x14ac:dyDescent="0.3"/>
    <row r="125" spans="1:113" ht="15.75" thickBot="1" x14ac:dyDescent="0.3">
      <c r="A125" s="407" t="s">
        <v>657</v>
      </c>
      <c r="B125" s="414" t="s">
        <v>708</v>
      </c>
      <c r="C125" s="414" t="s">
        <v>1</v>
      </c>
      <c r="D125" s="415" t="s">
        <v>649</v>
      </c>
      <c r="E125" s="416" t="s">
        <v>19</v>
      </c>
      <c r="F125" s="416"/>
      <c r="G125" s="416"/>
      <c r="H125" s="416"/>
      <c r="I125" s="416"/>
      <c r="J125" s="410" t="s">
        <v>21</v>
      </c>
      <c r="K125" s="417" t="s">
        <v>602</v>
      </c>
      <c r="L125"/>
      <c r="M125" s="400" t="s">
        <v>601</v>
      </c>
      <c r="N125" s="404" t="s">
        <v>924</v>
      </c>
      <c r="O125" s="405"/>
      <c r="P125" s="405"/>
      <c r="Q125" s="405"/>
      <c r="R125" s="405"/>
      <c r="S125" s="405"/>
      <c r="T125" s="405"/>
      <c r="U125" s="405"/>
      <c r="V125" s="405"/>
      <c r="W125" s="405"/>
      <c r="X125" s="405"/>
      <c r="Y125" s="405"/>
      <c r="Z125" s="405"/>
      <c r="AA125" s="405"/>
      <c r="AB125" s="405"/>
      <c r="AC125" s="405"/>
      <c r="AD125" s="405"/>
      <c r="AE125" s="405"/>
      <c r="AF125" s="405"/>
      <c r="AG125" s="405"/>
      <c r="AH125" s="405"/>
      <c r="AI125" s="405"/>
      <c r="AJ125" s="405"/>
      <c r="AK125" s="405"/>
      <c r="AL125" s="405"/>
      <c r="AM125" s="405"/>
      <c r="AN125" s="405"/>
      <c r="AO125" s="405"/>
      <c r="AP125" s="405"/>
      <c r="AQ125" s="405"/>
      <c r="AR125" s="405"/>
      <c r="AS125" s="405"/>
      <c r="AT125" s="405"/>
      <c r="AU125" s="405"/>
      <c r="AV125" s="405"/>
      <c r="AW125" s="405"/>
      <c r="AX125" s="405"/>
      <c r="AY125" s="405"/>
      <c r="AZ125" s="405"/>
      <c r="BA125" s="405"/>
      <c r="BB125" s="405"/>
      <c r="BC125" s="405"/>
      <c r="BD125" s="405"/>
      <c r="BE125" s="405"/>
      <c r="BF125" s="405"/>
      <c r="BG125" s="405"/>
      <c r="BH125" s="405"/>
      <c r="BI125" s="405"/>
      <c r="BJ125" s="405"/>
      <c r="BK125" s="405"/>
      <c r="BL125" s="405"/>
      <c r="BM125" s="405"/>
      <c r="BN125" s="405"/>
      <c r="BO125" s="405"/>
      <c r="BP125" s="405"/>
      <c r="BQ125" s="405"/>
      <c r="BR125" s="405"/>
      <c r="BS125" s="405"/>
      <c r="BT125" s="405"/>
      <c r="BU125" s="405"/>
      <c r="BV125" s="405"/>
      <c r="BW125" s="405"/>
      <c r="BX125" s="405"/>
      <c r="BY125" s="405"/>
      <c r="BZ125" s="405"/>
      <c r="CA125" s="405"/>
      <c r="CB125" s="405"/>
      <c r="CC125" s="405"/>
      <c r="CD125" s="405"/>
      <c r="CE125" s="405"/>
      <c r="CF125" s="405"/>
      <c r="CG125" s="405"/>
      <c r="CH125" s="405"/>
      <c r="CI125" s="405"/>
      <c r="CJ125" s="405"/>
      <c r="CK125" s="405"/>
      <c r="CL125" s="405"/>
      <c r="CM125" s="405"/>
      <c r="CN125" s="405"/>
      <c r="CO125" s="405"/>
      <c r="CP125" s="405"/>
      <c r="CQ125" s="405"/>
      <c r="CR125" s="405"/>
      <c r="CS125" s="405"/>
      <c r="CT125" s="405"/>
      <c r="CU125" s="405"/>
      <c r="CV125" s="405"/>
      <c r="CW125" s="405"/>
      <c r="CX125" s="405"/>
      <c r="CY125" s="405"/>
      <c r="CZ125" s="405"/>
      <c r="DA125" s="405"/>
      <c r="DB125" s="405"/>
      <c r="DC125" s="405"/>
      <c r="DD125" s="405"/>
      <c r="DE125" s="405"/>
      <c r="DF125" s="405"/>
      <c r="DG125" s="405"/>
      <c r="DH125" s="405"/>
      <c r="DI125" s="406"/>
    </row>
    <row r="126" spans="1:113" ht="15.75" thickBot="1" x14ac:dyDescent="0.3">
      <c r="A126" s="408"/>
      <c r="B126" s="414"/>
      <c r="C126" s="414"/>
      <c r="D126" s="415"/>
      <c r="E126" s="68" t="s">
        <v>22</v>
      </c>
      <c r="F126" s="68" t="s">
        <v>600</v>
      </c>
      <c r="G126" s="68" t="s">
        <v>601</v>
      </c>
      <c r="H126" s="68" t="s">
        <v>589</v>
      </c>
      <c r="I126" s="68" t="s">
        <v>601</v>
      </c>
      <c r="J126" s="411"/>
      <c r="K126" s="418"/>
      <c r="L126"/>
      <c r="M126" s="401"/>
      <c r="N126" s="400" t="s">
        <v>925</v>
      </c>
      <c r="O126" s="400" t="s">
        <v>926</v>
      </c>
      <c r="P126" s="400"/>
      <c r="Q126" s="400"/>
      <c r="R126" s="400"/>
      <c r="S126" s="398"/>
      <c r="T126" s="398"/>
      <c r="U126" s="398"/>
      <c r="V126" s="398"/>
      <c r="W126" s="398"/>
      <c r="X126" s="398"/>
      <c r="Y126" s="398"/>
      <c r="Z126" s="398"/>
      <c r="AA126" s="398"/>
      <c r="AB126" s="398"/>
      <c r="AC126" s="398"/>
      <c r="AD126" s="398"/>
      <c r="AE126" s="398"/>
      <c r="AF126" s="398"/>
      <c r="AG126" s="398"/>
      <c r="AH126" s="398"/>
      <c r="AI126" s="398"/>
      <c r="AJ126" s="398"/>
      <c r="AK126" s="398"/>
      <c r="AL126" s="398"/>
      <c r="AM126" s="398"/>
      <c r="AN126" s="398"/>
      <c r="AO126" s="398"/>
      <c r="AP126" s="398"/>
      <c r="AQ126" s="398"/>
      <c r="AR126" s="398"/>
      <c r="AS126" s="398"/>
      <c r="AT126" s="398"/>
      <c r="AU126" s="398"/>
      <c r="AV126" s="398"/>
      <c r="AW126" s="398"/>
      <c r="AX126" s="398"/>
      <c r="AY126" s="398"/>
      <c r="AZ126" s="398"/>
      <c r="BA126" s="398"/>
      <c r="BB126" s="398"/>
      <c r="BC126" s="398"/>
      <c r="BD126" s="398"/>
      <c r="BE126" s="398"/>
      <c r="BF126" s="398"/>
      <c r="BG126" s="398"/>
      <c r="BH126" s="398"/>
      <c r="BI126" s="398"/>
      <c r="BJ126" s="398"/>
      <c r="BK126" s="398"/>
      <c r="BL126" s="398"/>
      <c r="BM126" s="398"/>
      <c r="BN126" s="398"/>
      <c r="BO126" s="398"/>
      <c r="BP126" s="398"/>
      <c r="BQ126" s="398"/>
      <c r="BR126" s="398"/>
      <c r="BS126" s="398"/>
      <c r="BT126" s="398"/>
      <c r="BU126" s="398"/>
      <c r="BV126" s="398"/>
      <c r="BW126" s="398"/>
      <c r="BX126" s="398"/>
      <c r="BY126" s="398"/>
      <c r="BZ126" s="398"/>
      <c r="CA126" s="398"/>
      <c r="CB126" s="398"/>
      <c r="CC126" s="398"/>
      <c r="CD126" s="398"/>
      <c r="CE126" s="398"/>
      <c r="CF126" s="398"/>
      <c r="CG126" s="398"/>
      <c r="CH126" s="398"/>
      <c r="CI126" s="398"/>
      <c r="CJ126" s="398"/>
      <c r="CK126" s="398"/>
      <c r="CL126" s="398"/>
      <c r="CM126" s="398"/>
      <c r="CN126" s="398"/>
      <c r="CO126" s="398"/>
      <c r="CP126" s="398"/>
      <c r="CQ126" s="398"/>
      <c r="CR126" s="398"/>
      <c r="CS126" s="398"/>
      <c r="CT126" s="398"/>
      <c r="CU126" s="398"/>
      <c r="CV126" s="398"/>
      <c r="CW126" s="398"/>
      <c r="CX126" s="398"/>
      <c r="CY126" s="398"/>
      <c r="CZ126" s="398"/>
      <c r="DA126" s="398"/>
      <c r="DB126" s="398"/>
      <c r="DC126" s="398"/>
      <c r="DD126" s="398"/>
      <c r="DE126" s="398"/>
      <c r="DF126" s="398"/>
      <c r="DG126" s="398"/>
      <c r="DH126" s="398"/>
      <c r="DI126" s="398"/>
    </row>
    <row r="127" spans="1:113" ht="15.75" thickBot="1" x14ac:dyDescent="0.3">
      <c r="A127" s="409"/>
      <c r="B127" s="168">
        <v>1</v>
      </c>
      <c r="C127" s="168">
        <v>2</v>
      </c>
      <c r="D127" s="168">
        <v>3</v>
      </c>
      <c r="E127" s="70">
        <v>4</v>
      </c>
      <c r="F127" s="70">
        <f>+E127+1</f>
        <v>5</v>
      </c>
      <c r="G127" s="70" t="s">
        <v>652</v>
      </c>
      <c r="H127" s="70">
        <v>7</v>
      </c>
      <c r="I127" s="71" t="s">
        <v>651</v>
      </c>
      <c r="J127" s="42" t="s">
        <v>650</v>
      </c>
      <c r="K127" s="42" t="s">
        <v>653</v>
      </c>
      <c r="L127"/>
      <c r="M127" s="402"/>
      <c r="N127" s="402"/>
      <c r="O127" s="402"/>
      <c r="P127" s="402"/>
      <c r="Q127" s="402"/>
      <c r="R127" s="402"/>
      <c r="S127" s="399"/>
      <c r="T127" s="399"/>
      <c r="U127" s="399"/>
      <c r="V127" s="399"/>
      <c r="W127" s="399"/>
      <c r="X127" s="399"/>
      <c r="Y127" s="399"/>
      <c r="Z127" s="399"/>
      <c r="AA127" s="399"/>
      <c r="AB127" s="399"/>
      <c r="AC127" s="399"/>
      <c r="AD127" s="399"/>
      <c r="AE127" s="399"/>
      <c r="AF127" s="399"/>
      <c r="AG127" s="399"/>
      <c r="AH127" s="399"/>
      <c r="AI127" s="399"/>
      <c r="AJ127" s="399"/>
      <c r="AK127" s="399"/>
      <c r="AL127" s="399"/>
      <c r="AM127" s="399"/>
      <c r="AN127" s="399"/>
      <c r="AO127" s="399"/>
      <c r="AP127" s="399"/>
      <c r="AQ127" s="399"/>
      <c r="AR127" s="399"/>
      <c r="AS127" s="399"/>
      <c r="AT127" s="399"/>
      <c r="AU127" s="399"/>
      <c r="AV127" s="399"/>
      <c r="AW127" s="399"/>
      <c r="AX127" s="399"/>
      <c r="AY127" s="399"/>
      <c r="AZ127" s="399"/>
      <c r="BA127" s="399"/>
      <c r="BB127" s="399"/>
      <c r="BC127" s="399"/>
      <c r="BD127" s="399"/>
      <c r="BE127" s="399"/>
      <c r="BF127" s="399"/>
      <c r="BG127" s="399"/>
      <c r="BH127" s="399"/>
      <c r="BI127" s="399"/>
      <c r="BJ127" s="399"/>
      <c r="BK127" s="399"/>
      <c r="BL127" s="399"/>
      <c r="BM127" s="399"/>
      <c r="BN127" s="399"/>
      <c r="BO127" s="399"/>
      <c r="BP127" s="399"/>
      <c r="BQ127" s="399"/>
      <c r="BR127" s="399"/>
      <c r="BS127" s="399"/>
      <c r="BT127" s="399"/>
      <c r="BU127" s="399"/>
      <c r="BV127" s="399"/>
      <c r="BW127" s="399"/>
      <c r="BX127" s="399"/>
      <c r="BY127" s="399"/>
      <c r="BZ127" s="399"/>
      <c r="CA127" s="399"/>
      <c r="CB127" s="399"/>
      <c r="CC127" s="399"/>
      <c r="CD127" s="399"/>
      <c r="CE127" s="399"/>
      <c r="CF127" s="399"/>
      <c r="CG127" s="399"/>
      <c r="CH127" s="399"/>
      <c r="CI127" s="399"/>
      <c r="CJ127" s="399"/>
      <c r="CK127" s="399"/>
      <c r="CL127" s="399"/>
      <c r="CM127" s="399"/>
      <c r="CN127" s="399"/>
      <c r="CO127" s="399"/>
      <c r="CP127" s="399"/>
      <c r="CQ127" s="399"/>
      <c r="CR127" s="399"/>
      <c r="CS127" s="399"/>
      <c r="CT127" s="399"/>
      <c r="CU127" s="399"/>
      <c r="CV127" s="399"/>
      <c r="CW127" s="399"/>
      <c r="CX127" s="399"/>
      <c r="CY127" s="399"/>
      <c r="CZ127" s="399"/>
      <c r="DA127" s="399"/>
      <c r="DB127" s="399"/>
      <c r="DC127" s="399"/>
      <c r="DD127" s="399"/>
      <c r="DE127" s="399"/>
      <c r="DF127" s="399"/>
      <c r="DG127" s="399"/>
      <c r="DH127" s="399"/>
      <c r="DI127" s="399"/>
    </row>
    <row r="128" spans="1:113" x14ac:dyDescent="0.25">
      <c r="A128" s="160"/>
      <c r="B128" s="72" t="s">
        <v>703</v>
      </c>
      <c r="C128" s="54"/>
      <c r="D128" s="54"/>
      <c r="E128" s="54"/>
      <c r="F128" s="54"/>
      <c r="G128" s="54"/>
      <c r="H128" s="54"/>
      <c r="I128" s="54"/>
      <c r="J128" s="54"/>
      <c r="K128" s="54"/>
      <c r="L128"/>
      <c r="M128" s="320">
        <f>SUM(N128:DJ128)</f>
        <v>0</v>
      </c>
      <c r="N128" s="311"/>
      <c r="O128" s="319"/>
      <c r="P128" s="319"/>
      <c r="Q128" s="319"/>
      <c r="R128" s="319"/>
      <c r="S128" s="317"/>
      <c r="T128" s="317"/>
      <c r="U128" s="317"/>
      <c r="V128" s="317"/>
      <c r="W128" s="317"/>
      <c r="X128" s="317"/>
      <c r="Y128" s="317"/>
      <c r="Z128" s="317"/>
      <c r="AA128" s="317"/>
      <c r="AB128" s="317"/>
      <c r="AC128" s="317"/>
      <c r="AD128" s="317"/>
      <c r="AE128" s="317"/>
      <c r="AF128" s="317"/>
      <c r="AG128" s="317"/>
      <c r="AH128" s="317"/>
      <c r="AI128" s="317"/>
      <c r="AJ128" s="317"/>
      <c r="AK128" s="317"/>
      <c r="AL128" s="317"/>
      <c r="AM128" s="317"/>
      <c r="AN128" s="317"/>
      <c r="AO128" s="317"/>
      <c r="AP128" s="317"/>
      <c r="AQ128" s="317"/>
      <c r="AR128" s="317"/>
      <c r="AS128" s="317"/>
      <c r="AT128" s="317"/>
      <c r="AU128" s="317"/>
      <c r="AV128" s="317"/>
      <c r="AW128" s="317"/>
      <c r="AX128" s="317"/>
      <c r="AY128" s="317"/>
      <c r="AZ128" s="317"/>
      <c r="BA128" s="317"/>
      <c r="BB128" s="317"/>
      <c r="BC128" s="317"/>
      <c r="BD128" s="317"/>
      <c r="BE128" s="317"/>
      <c r="BF128" s="317"/>
      <c r="BG128" s="317"/>
      <c r="BH128" s="317"/>
      <c r="BI128" s="317"/>
      <c r="BJ128" s="317"/>
      <c r="BK128" s="317"/>
      <c r="BL128" s="317"/>
      <c r="BM128" s="317"/>
      <c r="BN128" s="317"/>
      <c r="BO128" s="317"/>
      <c r="BP128" s="317"/>
      <c r="BQ128" s="317"/>
      <c r="BR128" s="317"/>
      <c r="BS128" s="317"/>
      <c r="BT128" s="317"/>
      <c r="BU128" s="317"/>
      <c r="BV128" s="317"/>
      <c r="BW128" s="317"/>
      <c r="BX128" s="317"/>
      <c r="BY128" s="317"/>
      <c r="BZ128" s="317"/>
      <c r="CA128" s="317"/>
      <c r="CB128" s="317"/>
      <c r="CC128" s="317"/>
      <c r="CD128" s="317"/>
      <c r="CE128" s="317"/>
      <c r="CF128" s="317"/>
      <c r="CG128" s="317"/>
      <c r="CH128" s="317"/>
      <c r="CI128" s="317"/>
      <c r="CJ128" s="317"/>
      <c r="CK128" s="317"/>
      <c r="CL128" s="317"/>
      <c r="CM128" s="317"/>
      <c r="CN128" s="317"/>
      <c r="CO128" s="317"/>
      <c r="CP128" s="317"/>
      <c r="CQ128" s="317"/>
      <c r="CR128" s="317"/>
      <c r="CS128" s="317"/>
      <c r="CT128" s="317"/>
      <c r="CU128" s="317"/>
      <c r="CV128" s="317"/>
      <c r="CW128" s="317"/>
      <c r="CX128" s="317"/>
      <c r="CY128" s="317"/>
      <c r="CZ128" s="317"/>
      <c r="DA128" s="317"/>
      <c r="DB128" s="317"/>
      <c r="DC128" s="317"/>
      <c r="DD128" s="317"/>
      <c r="DE128" s="317"/>
      <c r="DF128" s="317"/>
      <c r="DG128" s="317"/>
      <c r="DH128" s="317"/>
      <c r="DI128" s="317"/>
    </row>
    <row r="129" spans="1:113" x14ac:dyDescent="0.25">
      <c r="A129" s="152">
        <v>1</v>
      </c>
      <c r="B129" s="79" t="s">
        <v>185</v>
      </c>
      <c r="C129" s="80">
        <v>60000</v>
      </c>
      <c r="D129" s="142">
        <v>60000</v>
      </c>
      <c r="E129" s="43">
        <v>0</v>
      </c>
      <c r="F129" s="60"/>
      <c r="G129" s="139">
        <f t="shared" ref="G129:G130" si="67">+E129+F129</f>
        <v>0</v>
      </c>
      <c r="H129" s="55">
        <f>1004-1004</f>
        <v>0</v>
      </c>
      <c r="I129" s="56">
        <f t="shared" ref="I129:I130" si="68">+G129-H129</f>
        <v>0</v>
      </c>
      <c r="J129" s="56">
        <f t="shared" ref="J129:J130" si="69">I129*C129</f>
        <v>0</v>
      </c>
      <c r="K129" s="57">
        <f t="shared" ref="K129:K130" si="70">+D129*I129</f>
        <v>0</v>
      </c>
      <c r="L129"/>
      <c r="M129" s="314">
        <f t="shared" ref="M129:M158" si="71">SUM(N129:DJ129)</f>
        <v>0</v>
      </c>
      <c r="N129" s="310"/>
      <c r="O129" s="315"/>
      <c r="P129" s="315"/>
      <c r="Q129" s="315"/>
      <c r="R129" s="315"/>
      <c r="S129" s="55"/>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c r="AT129" s="55"/>
      <c r="AU129" s="55"/>
      <c r="AV129" s="55"/>
      <c r="AW129" s="55"/>
      <c r="AX129" s="55"/>
      <c r="AY129" s="55"/>
      <c r="AZ129" s="55"/>
      <c r="BA129" s="55"/>
      <c r="BB129" s="55"/>
      <c r="BC129" s="55"/>
      <c r="BD129" s="55"/>
      <c r="BE129" s="55"/>
      <c r="BF129" s="55"/>
      <c r="BG129" s="55"/>
      <c r="BH129" s="55"/>
      <c r="BI129" s="55"/>
      <c r="BJ129" s="55"/>
      <c r="BK129" s="55"/>
      <c r="BL129" s="55"/>
      <c r="BM129" s="55"/>
      <c r="BN129" s="55"/>
      <c r="BO129" s="55"/>
      <c r="BP129" s="55"/>
      <c r="BQ129" s="55"/>
      <c r="BR129" s="55"/>
      <c r="BS129" s="55"/>
      <c r="BT129" s="55"/>
      <c r="BU129" s="55"/>
      <c r="BV129" s="55"/>
      <c r="BW129" s="55"/>
      <c r="BX129" s="55"/>
      <c r="BY129" s="55"/>
      <c r="BZ129" s="55"/>
      <c r="CA129" s="55"/>
      <c r="CB129" s="55"/>
      <c r="CC129" s="55"/>
      <c r="CD129" s="55"/>
      <c r="CE129" s="55"/>
      <c r="CF129" s="55"/>
      <c r="CG129" s="55"/>
      <c r="CH129" s="55"/>
      <c r="CI129" s="55"/>
      <c r="CJ129" s="55"/>
      <c r="CK129" s="55"/>
      <c r="CL129" s="55"/>
      <c r="CM129" s="55"/>
      <c r="CN129" s="55"/>
      <c r="CO129" s="55"/>
      <c r="CP129" s="55"/>
      <c r="CQ129" s="55"/>
      <c r="CR129" s="55"/>
      <c r="CS129" s="55"/>
      <c r="CT129" s="55"/>
      <c r="CU129" s="55"/>
      <c r="CV129" s="55"/>
      <c r="CW129" s="55"/>
      <c r="CX129" s="55"/>
      <c r="CY129" s="55"/>
      <c r="CZ129" s="55"/>
      <c r="DA129" s="55"/>
      <c r="DB129" s="55"/>
      <c r="DC129" s="55"/>
      <c r="DD129" s="55"/>
      <c r="DE129" s="55"/>
      <c r="DF129" s="55"/>
      <c r="DG129" s="55"/>
      <c r="DH129" s="55"/>
      <c r="DI129" s="55"/>
    </row>
    <row r="130" spans="1:113" ht="15.75" thickBot="1" x14ac:dyDescent="0.3">
      <c r="A130" s="153">
        <v>2</v>
      </c>
      <c r="B130" s="144" t="s">
        <v>186</v>
      </c>
      <c r="C130" s="82">
        <v>50000</v>
      </c>
      <c r="D130" s="145">
        <v>50000</v>
      </c>
      <c r="E130" s="154">
        <v>0</v>
      </c>
      <c r="F130" s="156"/>
      <c r="G130" s="147">
        <f t="shared" si="67"/>
        <v>0</v>
      </c>
      <c r="H130" s="55">
        <f>1040-1040</f>
        <v>0</v>
      </c>
      <c r="I130" s="64">
        <f t="shared" si="68"/>
        <v>0</v>
      </c>
      <c r="J130" s="64">
        <f t="shared" si="69"/>
        <v>0</v>
      </c>
      <c r="K130" s="65">
        <f t="shared" si="70"/>
        <v>0</v>
      </c>
      <c r="L130"/>
      <c r="M130" s="314">
        <f t="shared" si="71"/>
        <v>0</v>
      </c>
      <c r="N130" s="310"/>
      <c r="O130" s="315"/>
      <c r="P130" s="315"/>
      <c r="Q130" s="315"/>
      <c r="R130" s="315"/>
      <c r="S130" s="55"/>
      <c r="T130" s="55"/>
      <c r="U130" s="55"/>
      <c r="V130" s="55"/>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c r="BM130" s="55"/>
      <c r="BN130" s="55"/>
      <c r="BO130" s="55"/>
      <c r="BP130" s="55"/>
      <c r="BQ130" s="55"/>
      <c r="BR130" s="55"/>
      <c r="BS130" s="55"/>
      <c r="BT130" s="55"/>
      <c r="BU130" s="55"/>
      <c r="BV130" s="55"/>
      <c r="BW130" s="55"/>
      <c r="BX130" s="55"/>
      <c r="BY130" s="55"/>
      <c r="BZ130" s="55"/>
      <c r="CA130" s="55"/>
      <c r="CB130" s="55"/>
      <c r="CC130" s="55"/>
      <c r="CD130" s="55"/>
      <c r="CE130" s="55"/>
      <c r="CF130" s="55"/>
      <c r="CG130" s="55"/>
      <c r="CH130" s="55"/>
      <c r="CI130" s="55"/>
      <c r="CJ130" s="55"/>
      <c r="CK130" s="55"/>
      <c r="CL130" s="55"/>
      <c r="CM130" s="55"/>
      <c r="CN130" s="55"/>
      <c r="CO130" s="55"/>
      <c r="CP130" s="55"/>
      <c r="CQ130" s="55"/>
      <c r="CR130" s="55"/>
      <c r="CS130" s="55"/>
      <c r="CT130" s="55"/>
      <c r="CU130" s="55"/>
      <c r="CV130" s="55"/>
      <c r="CW130" s="55"/>
      <c r="CX130" s="55"/>
      <c r="CY130" s="55"/>
      <c r="CZ130" s="55"/>
      <c r="DA130" s="55"/>
      <c r="DB130" s="55"/>
      <c r="DC130" s="55"/>
      <c r="DD130" s="55"/>
      <c r="DE130" s="55"/>
      <c r="DF130" s="55"/>
      <c r="DG130" s="55"/>
      <c r="DH130" s="55"/>
      <c r="DI130" s="55"/>
    </row>
    <row r="131" spans="1:113" ht="15.75" thickBot="1" x14ac:dyDescent="0.3">
      <c r="A131" s="128"/>
      <c r="B131" s="119" t="s">
        <v>669</v>
      </c>
      <c r="C131" s="36"/>
      <c r="D131" s="36"/>
      <c r="E131" s="29">
        <f>SUM(E129:E130)</f>
        <v>0</v>
      </c>
      <c r="F131" s="36"/>
      <c r="G131" s="29">
        <f>SUM(G129:G130)</f>
        <v>0</v>
      </c>
      <c r="H131" s="29">
        <f>SUM(H129:H130)</f>
        <v>0</v>
      </c>
      <c r="I131" s="29">
        <f>SUM(I129:I130)</f>
        <v>0</v>
      </c>
      <c r="J131" s="29">
        <f t="shared" ref="J131:K131" si="72">SUM(J129:J130)</f>
        <v>0</v>
      </c>
      <c r="K131" s="47">
        <f t="shared" si="72"/>
        <v>0</v>
      </c>
      <c r="L131"/>
      <c r="M131" s="322">
        <f t="shared" si="71"/>
        <v>0</v>
      </c>
      <c r="N131" s="325"/>
      <c r="O131" s="325"/>
      <c r="P131" s="325"/>
      <c r="Q131" s="325"/>
      <c r="R131" s="325"/>
      <c r="S131" s="324"/>
      <c r="T131" s="324"/>
      <c r="U131" s="324"/>
      <c r="V131" s="324"/>
      <c r="W131" s="324"/>
      <c r="X131" s="324"/>
      <c r="Y131" s="324"/>
      <c r="Z131" s="324"/>
      <c r="AA131" s="324"/>
      <c r="AB131" s="324"/>
      <c r="AC131" s="324"/>
      <c r="AD131" s="324"/>
      <c r="AE131" s="324"/>
      <c r="AF131" s="324"/>
      <c r="AG131" s="324"/>
      <c r="AH131" s="324"/>
      <c r="AI131" s="324"/>
      <c r="AJ131" s="324"/>
      <c r="AK131" s="324"/>
      <c r="AL131" s="324"/>
      <c r="AM131" s="324"/>
      <c r="AN131" s="324"/>
      <c r="AO131" s="324"/>
      <c r="AP131" s="324"/>
      <c r="AQ131" s="324"/>
      <c r="AR131" s="324"/>
      <c r="AS131" s="324"/>
      <c r="AT131" s="324"/>
      <c r="AU131" s="324"/>
      <c r="AV131" s="324"/>
      <c r="AW131" s="324"/>
      <c r="AX131" s="324"/>
      <c r="AY131" s="324"/>
      <c r="AZ131" s="324"/>
      <c r="BA131" s="324"/>
      <c r="BB131" s="324"/>
      <c r="BC131" s="324"/>
      <c r="BD131" s="324"/>
      <c r="BE131" s="324"/>
      <c r="BF131" s="324"/>
      <c r="BG131" s="324"/>
      <c r="BH131" s="324"/>
      <c r="BI131" s="324"/>
      <c r="BJ131" s="324"/>
      <c r="BK131" s="324"/>
      <c r="BL131" s="324"/>
      <c r="BM131" s="324"/>
      <c r="BN131" s="324"/>
      <c r="BO131" s="324"/>
      <c r="BP131" s="324"/>
      <c r="BQ131" s="324"/>
      <c r="BR131" s="324"/>
      <c r="BS131" s="324"/>
      <c r="BT131" s="324"/>
      <c r="BU131" s="324"/>
      <c r="BV131" s="324"/>
      <c r="BW131" s="324"/>
      <c r="BX131" s="324"/>
      <c r="BY131" s="324"/>
      <c r="BZ131" s="324"/>
      <c r="CA131" s="324"/>
      <c r="CB131" s="324"/>
      <c r="CC131" s="324"/>
      <c r="CD131" s="324"/>
      <c r="CE131" s="324"/>
      <c r="CF131" s="324"/>
      <c r="CG131" s="324"/>
      <c r="CH131" s="324"/>
      <c r="CI131" s="324"/>
      <c r="CJ131" s="324"/>
      <c r="CK131" s="324"/>
      <c r="CL131" s="324"/>
      <c r="CM131" s="324"/>
      <c r="CN131" s="324"/>
      <c r="CO131" s="324"/>
      <c r="CP131" s="324"/>
      <c r="CQ131" s="324"/>
      <c r="CR131" s="324"/>
      <c r="CS131" s="324"/>
      <c r="CT131" s="324"/>
      <c r="CU131" s="324"/>
      <c r="CV131" s="324"/>
      <c r="CW131" s="324"/>
      <c r="CX131" s="324"/>
      <c r="CY131" s="324"/>
      <c r="CZ131" s="324"/>
      <c r="DA131" s="324"/>
      <c r="DB131" s="324"/>
      <c r="DC131" s="324"/>
      <c r="DD131" s="324"/>
      <c r="DE131" s="324"/>
      <c r="DF131" s="324"/>
      <c r="DG131" s="324"/>
      <c r="DH131" s="324"/>
      <c r="DI131" s="324"/>
    </row>
    <row r="132" spans="1:113" customFormat="1" ht="15.75" thickBot="1" x14ac:dyDescent="0.3"/>
    <row r="133" spans="1:113" ht="15.75" thickBot="1" x14ac:dyDescent="0.3">
      <c r="A133" s="407" t="s">
        <v>657</v>
      </c>
      <c r="B133" s="414" t="s">
        <v>708</v>
      </c>
      <c r="C133" s="414" t="s">
        <v>1</v>
      </c>
      <c r="D133" s="415" t="s">
        <v>649</v>
      </c>
      <c r="E133" s="416" t="s">
        <v>19</v>
      </c>
      <c r="F133" s="416"/>
      <c r="G133" s="416"/>
      <c r="H133" s="416"/>
      <c r="I133" s="416"/>
      <c r="J133" s="410" t="s">
        <v>21</v>
      </c>
      <c r="K133" s="417" t="s">
        <v>602</v>
      </c>
      <c r="L133"/>
      <c r="M133" s="400" t="s">
        <v>601</v>
      </c>
      <c r="N133" s="404" t="s">
        <v>924</v>
      </c>
      <c r="O133" s="405"/>
      <c r="P133" s="405"/>
      <c r="Q133" s="405"/>
      <c r="R133" s="405"/>
      <c r="S133" s="405"/>
      <c r="T133" s="405"/>
      <c r="U133" s="405"/>
      <c r="V133" s="405"/>
      <c r="W133" s="405"/>
      <c r="X133" s="405"/>
      <c r="Y133" s="405"/>
      <c r="Z133" s="405"/>
      <c r="AA133" s="405"/>
      <c r="AB133" s="405"/>
      <c r="AC133" s="405"/>
      <c r="AD133" s="405"/>
      <c r="AE133" s="405"/>
      <c r="AF133" s="405"/>
      <c r="AG133" s="405"/>
      <c r="AH133" s="405"/>
      <c r="AI133" s="405"/>
      <c r="AJ133" s="405"/>
      <c r="AK133" s="405"/>
      <c r="AL133" s="405"/>
      <c r="AM133" s="405"/>
      <c r="AN133" s="405"/>
      <c r="AO133" s="405"/>
      <c r="AP133" s="405"/>
      <c r="AQ133" s="405"/>
      <c r="AR133" s="405"/>
      <c r="AS133" s="405"/>
      <c r="AT133" s="405"/>
      <c r="AU133" s="405"/>
      <c r="AV133" s="405"/>
      <c r="AW133" s="405"/>
      <c r="AX133" s="405"/>
      <c r="AY133" s="405"/>
      <c r="AZ133" s="405"/>
      <c r="BA133" s="405"/>
      <c r="BB133" s="405"/>
      <c r="BC133" s="405"/>
      <c r="BD133" s="405"/>
      <c r="BE133" s="405"/>
      <c r="BF133" s="405"/>
      <c r="BG133" s="405"/>
      <c r="BH133" s="405"/>
      <c r="BI133" s="405"/>
      <c r="BJ133" s="405"/>
      <c r="BK133" s="405"/>
      <c r="BL133" s="405"/>
      <c r="BM133" s="405"/>
      <c r="BN133" s="405"/>
      <c r="BO133" s="405"/>
      <c r="BP133" s="405"/>
      <c r="BQ133" s="405"/>
      <c r="BR133" s="405"/>
      <c r="BS133" s="405"/>
      <c r="BT133" s="405"/>
      <c r="BU133" s="405"/>
      <c r="BV133" s="405"/>
      <c r="BW133" s="405"/>
      <c r="BX133" s="405"/>
      <c r="BY133" s="405"/>
      <c r="BZ133" s="405"/>
      <c r="CA133" s="405"/>
      <c r="CB133" s="405"/>
      <c r="CC133" s="405"/>
      <c r="CD133" s="405"/>
      <c r="CE133" s="405"/>
      <c r="CF133" s="405"/>
      <c r="CG133" s="405"/>
      <c r="CH133" s="405"/>
      <c r="CI133" s="405"/>
      <c r="CJ133" s="405"/>
      <c r="CK133" s="405"/>
      <c r="CL133" s="405"/>
      <c r="CM133" s="405"/>
      <c r="CN133" s="405"/>
      <c r="CO133" s="405"/>
      <c r="CP133" s="405"/>
      <c r="CQ133" s="405"/>
      <c r="CR133" s="405"/>
      <c r="CS133" s="405"/>
      <c r="CT133" s="405"/>
      <c r="CU133" s="405"/>
      <c r="CV133" s="405"/>
      <c r="CW133" s="405"/>
      <c r="CX133" s="405"/>
      <c r="CY133" s="405"/>
      <c r="CZ133" s="405"/>
      <c r="DA133" s="405"/>
      <c r="DB133" s="405"/>
      <c r="DC133" s="405"/>
      <c r="DD133" s="405"/>
      <c r="DE133" s="405"/>
      <c r="DF133" s="405"/>
      <c r="DG133" s="405"/>
      <c r="DH133" s="405"/>
      <c r="DI133" s="406"/>
    </row>
    <row r="134" spans="1:113" ht="15.75" thickBot="1" x14ac:dyDescent="0.3">
      <c r="A134" s="408"/>
      <c r="B134" s="414"/>
      <c r="C134" s="414"/>
      <c r="D134" s="415"/>
      <c r="E134" s="68" t="s">
        <v>22</v>
      </c>
      <c r="F134" s="68" t="s">
        <v>600</v>
      </c>
      <c r="G134" s="68" t="s">
        <v>601</v>
      </c>
      <c r="H134" s="68" t="s">
        <v>589</v>
      </c>
      <c r="I134" s="68" t="s">
        <v>601</v>
      </c>
      <c r="J134" s="411"/>
      <c r="K134" s="418"/>
      <c r="L134"/>
      <c r="M134" s="401"/>
      <c r="N134" s="400" t="s">
        <v>925</v>
      </c>
      <c r="O134" s="400" t="s">
        <v>926</v>
      </c>
      <c r="P134" s="400"/>
      <c r="Q134" s="400"/>
      <c r="R134" s="400"/>
      <c r="S134" s="398"/>
      <c r="T134" s="398"/>
      <c r="U134" s="398"/>
      <c r="V134" s="398"/>
      <c r="W134" s="398"/>
      <c r="X134" s="398"/>
      <c r="Y134" s="398"/>
      <c r="Z134" s="398"/>
      <c r="AA134" s="398"/>
      <c r="AB134" s="398"/>
      <c r="AC134" s="398"/>
      <c r="AD134" s="398"/>
      <c r="AE134" s="398"/>
      <c r="AF134" s="398"/>
      <c r="AG134" s="398"/>
      <c r="AH134" s="398"/>
      <c r="AI134" s="398"/>
      <c r="AJ134" s="398"/>
      <c r="AK134" s="398"/>
      <c r="AL134" s="398"/>
      <c r="AM134" s="398"/>
      <c r="AN134" s="398"/>
      <c r="AO134" s="398"/>
      <c r="AP134" s="398"/>
      <c r="AQ134" s="398"/>
      <c r="AR134" s="398"/>
      <c r="AS134" s="398"/>
      <c r="AT134" s="398"/>
      <c r="AU134" s="398"/>
      <c r="AV134" s="398"/>
      <c r="AW134" s="398"/>
      <c r="AX134" s="398"/>
      <c r="AY134" s="398"/>
      <c r="AZ134" s="398"/>
      <c r="BA134" s="398"/>
      <c r="BB134" s="398"/>
      <c r="BC134" s="398"/>
      <c r="BD134" s="398"/>
      <c r="BE134" s="398"/>
      <c r="BF134" s="398"/>
      <c r="BG134" s="398"/>
      <c r="BH134" s="398"/>
      <c r="BI134" s="398"/>
      <c r="BJ134" s="398"/>
      <c r="BK134" s="398"/>
      <c r="BL134" s="398"/>
      <c r="BM134" s="398"/>
      <c r="BN134" s="398"/>
      <c r="BO134" s="398"/>
      <c r="BP134" s="398"/>
      <c r="BQ134" s="398"/>
      <c r="BR134" s="398"/>
      <c r="BS134" s="398"/>
      <c r="BT134" s="398"/>
      <c r="BU134" s="398"/>
      <c r="BV134" s="398"/>
      <c r="BW134" s="398"/>
      <c r="BX134" s="398"/>
      <c r="BY134" s="398"/>
      <c r="BZ134" s="398"/>
      <c r="CA134" s="398"/>
      <c r="CB134" s="398"/>
      <c r="CC134" s="398"/>
      <c r="CD134" s="398"/>
      <c r="CE134" s="398"/>
      <c r="CF134" s="398"/>
      <c r="CG134" s="398"/>
      <c r="CH134" s="398"/>
      <c r="CI134" s="398"/>
      <c r="CJ134" s="398"/>
      <c r="CK134" s="398"/>
      <c r="CL134" s="398"/>
      <c r="CM134" s="398"/>
      <c r="CN134" s="398"/>
      <c r="CO134" s="398"/>
      <c r="CP134" s="398"/>
      <c r="CQ134" s="398"/>
      <c r="CR134" s="398"/>
      <c r="CS134" s="398"/>
      <c r="CT134" s="398"/>
      <c r="CU134" s="398"/>
      <c r="CV134" s="398"/>
      <c r="CW134" s="398"/>
      <c r="CX134" s="398"/>
      <c r="CY134" s="398"/>
      <c r="CZ134" s="398"/>
      <c r="DA134" s="398"/>
      <c r="DB134" s="398"/>
      <c r="DC134" s="398"/>
      <c r="DD134" s="398"/>
      <c r="DE134" s="398"/>
      <c r="DF134" s="398"/>
      <c r="DG134" s="398"/>
      <c r="DH134" s="398"/>
      <c r="DI134" s="398"/>
    </row>
    <row r="135" spans="1:113" ht="15.75" thickBot="1" x14ac:dyDescent="0.3">
      <c r="A135" s="409"/>
      <c r="B135" s="168">
        <v>1</v>
      </c>
      <c r="C135" s="168">
        <v>2</v>
      </c>
      <c r="D135" s="168">
        <v>3</v>
      </c>
      <c r="E135" s="70">
        <v>4</v>
      </c>
      <c r="F135" s="70">
        <f>+E135+1</f>
        <v>5</v>
      </c>
      <c r="G135" s="70" t="s">
        <v>652</v>
      </c>
      <c r="H135" s="70">
        <v>7</v>
      </c>
      <c r="I135" s="71" t="s">
        <v>651</v>
      </c>
      <c r="J135" s="42" t="s">
        <v>650</v>
      </c>
      <c r="K135" s="42" t="s">
        <v>653</v>
      </c>
      <c r="L135"/>
      <c r="M135" s="402"/>
      <c r="N135" s="402"/>
      <c r="O135" s="402"/>
      <c r="P135" s="402"/>
      <c r="Q135" s="402"/>
      <c r="R135" s="402"/>
      <c r="S135" s="399"/>
      <c r="T135" s="399"/>
      <c r="U135" s="399"/>
      <c r="V135" s="399"/>
      <c r="W135" s="399"/>
      <c r="X135" s="399"/>
      <c r="Y135" s="399"/>
      <c r="Z135" s="399"/>
      <c r="AA135" s="399"/>
      <c r="AB135" s="399"/>
      <c r="AC135" s="399"/>
      <c r="AD135" s="399"/>
      <c r="AE135" s="399"/>
      <c r="AF135" s="399"/>
      <c r="AG135" s="399"/>
      <c r="AH135" s="399"/>
      <c r="AI135" s="399"/>
      <c r="AJ135" s="399"/>
      <c r="AK135" s="399"/>
      <c r="AL135" s="399"/>
      <c r="AM135" s="399"/>
      <c r="AN135" s="399"/>
      <c r="AO135" s="399"/>
      <c r="AP135" s="399"/>
      <c r="AQ135" s="399"/>
      <c r="AR135" s="399"/>
      <c r="AS135" s="399"/>
      <c r="AT135" s="399"/>
      <c r="AU135" s="399"/>
      <c r="AV135" s="399"/>
      <c r="AW135" s="399"/>
      <c r="AX135" s="399"/>
      <c r="AY135" s="399"/>
      <c r="AZ135" s="399"/>
      <c r="BA135" s="399"/>
      <c r="BB135" s="399"/>
      <c r="BC135" s="399"/>
      <c r="BD135" s="399"/>
      <c r="BE135" s="399"/>
      <c r="BF135" s="399"/>
      <c r="BG135" s="399"/>
      <c r="BH135" s="399"/>
      <c r="BI135" s="399"/>
      <c r="BJ135" s="399"/>
      <c r="BK135" s="399"/>
      <c r="BL135" s="399"/>
      <c r="BM135" s="399"/>
      <c r="BN135" s="399"/>
      <c r="BO135" s="399"/>
      <c r="BP135" s="399"/>
      <c r="BQ135" s="399"/>
      <c r="BR135" s="399"/>
      <c r="BS135" s="399"/>
      <c r="BT135" s="399"/>
      <c r="BU135" s="399"/>
      <c r="BV135" s="399"/>
      <c r="BW135" s="399"/>
      <c r="BX135" s="399"/>
      <c r="BY135" s="399"/>
      <c r="BZ135" s="399"/>
      <c r="CA135" s="399"/>
      <c r="CB135" s="399"/>
      <c r="CC135" s="399"/>
      <c r="CD135" s="399"/>
      <c r="CE135" s="399"/>
      <c r="CF135" s="399"/>
      <c r="CG135" s="399"/>
      <c r="CH135" s="399"/>
      <c r="CI135" s="399"/>
      <c r="CJ135" s="399"/>
      <c r="CK135" s="399"/>
      <c r="CL135" s="399"/>
      <c r="CM135" s="399"/>
      <c r="CN135" s="399"/>
      <c r="CO135" s="399"/>
      <c r="CP135" s="399"/>
      <c r="CQ135" s="399"/>
      <c r="CR135" s="399"/>
      <c r="CS135" s="399"/>
      <c r="CT135" s="399"/>
      <c r="CU135" s="399"/>
      <c r="CV135" s="399"/>
      <c r="CW135" s="399"/>
      <c r="CX135" s="399"/>
      <c r="CY135" s="399"/>
      <c r="CZ135" s="399"/>
      <c r="DA135" s="399"/>
      <c r="DB135" s="399"/>
      <c r="DC135" s="399"/>
      <c r="DD135" s="399"/>
      <c r="DE135" s="399"/>
      <c r="DF135" s="399"/>
      <c r="DG135" s="399"/>
      <c r="DH135" s="399"/>
      <c r="DI135" s="399"/>
    </row>
    <row r="136" spans="1:113" x14ac:dyDescent="0.25">
      <c r="A136" s="160"/>
      <c r="B136" s="72" t="s">
        <v>709</v>
      </c>
      <c r="C136" s="54"/>
      <c r="D136" s="54"/>
      <c r="E136" s="54"/>
      <c r="F136" s="54"/>
      <c r="G136" s="54"/>
      <c r="H136" s="54"/>
      <c r="I136" s="54"/>
      <c r="J136" s="54"/>
      <c r="K136" s="54"/>
      <c r="L136"/>
      <c r="M136" s="314">
        <f t="shared" si="71"/>
        <v>0</v>
      </c>
      <c r="N136" s="310"/>
      <c r="O136" s="315"/>
      <c r="P136" s="315"/>
      <c r="Q136" s="315"/>
      <c r="R136" s="315"/>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c r="BM136" s="55"/>
      <c r="BN136" s="55"/>
      <c r="BO136" s="55"/>
      <c r="BP136" s="55"/>
      <c r="BQ136" s="55"/>
      <c r="BR136" s="55"/>
      <c r="BS136" s="55"/>
      <c r="BT136" s="55"/>
      <c r="BU136" s="55"/>
      <c r="BV136" s="55"/>
      <c r="BW136" s="55"/>
      <c r="BX136" s="55"/>
      <c r="BY136" s="55"/>
      <c r="BZ136" s="55"/>
      <c r="CA136" s="55"/>
      <c r="CB136" s="55"/>
      <c r="CC136" s="55"/>
      <c r="CD136" s="55"/>
      <c r="CE136" s="55"/>
      <c r="CF136" s="55"/>
      <c r="CG136" s="55"/>
      <c r="CH136" s="55"/>
      <c r="CI136" s="55"/>
      <c r="CJ136" s="55"/>
      <c r="CK136" s="55"/>
      <c r="CL136" s="55"/>
      <c r="CM136" s="55"/>
      <c r="CN136" s="55"/>
      <c r="CO136" s="55"/>
      <c r="CP136" s="55"/>
      <c r="CQ136" s="55"/>
      <c r="CR136" s="55"/>
      <c r="CS136" s="55"/>
      <c r="CT136" s="55"/>
      <c r="CU136" s="55"/>
      <c r="CV136" s="55"/>
      <c r="CW136" s="55"/>
      <c r="CX136" s="55"/>
      <c r="CY136" s="55"/>
      <c r="CZ136" s="55"/>
      <c r="DA136" s="55"/>
      <c r="DB136" s="55"/>
      <c r="DC136" s="55"/>
      <c r="DD136" s="55"/>
      <c r="DE136" s="55"/>
      <c r="DF136" s="55"/>
      <c r="DG136" s="55"/>
      <c r="DH136" s="55"/>
      <c r="DI136" s="55"/>
    </row>
    <row r="137" spans="1:113" x14ac:dyDescent="0.25">
      <c r="A137" s="152">
        <v>1</v>
      </c>
      <c r="B137" s="79" t="s">
        <v>187</v>
      </c>
      <c r="C137" s="80">
        <v>12000</v>
      </c>
      <c r="D137" s="142">
        <v>1732.5</v>
      </c>
      <c r="E137" s="43">
        <v>0</v>
      </c>
      <c r="F137" s="60"/>
      <c r="G137" s="139">
        <f t="shared" ref="G137:G140" si="73">+E137+F137</f>
        <v>0</v>
      </c>
      <c r="H137" s="55">
        <f>1154-1154</f>
        <v>0</v>
      </c>
      <c r="I137" s="56">
        <f t="shared" ref="I137:I140" si="74">+G137-H137</f>
        <v>0</v>
      </c>
      <c r="J137" s="56">
        <f t="shared" ref="J137:J140" si="75">I137*C137</f>
        <v>0</v>
      </c>
      <c r="K137" s="57">
        <f t="shared" ref="K137:K140" si="76">+D137*I137</f>
        <v>0</v>
      </c>
      <c r="L137"/>
      <c r="M137" s="314">
        <f t="shared" si="71"/>
        <v>0</v>
      </c>
      <c r="N137" s="310"/>
      <c r="O137" s="315"/>
      <c r="P137" s="315"/>
      <c r="Q137" s="315"/>
      <c r="R137" s="315"/>
      <c r="S137" s="55"/>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c r="AT137" s="55"/>
      <c r="AU137" s="55"/>
      <c r="AV137" s="55"/>
      <c r="AW137" s="55"/>
      <c r="AX137" s="55"/>
      <c r="AY137" s="55"/>
      <c r="AZ137" s="55"/>
      <c r="BA137" s="55"/>
      <c r="BB137" s="55"/>
      <c r="BC137" s="55"/>
      <c r="BD137" s="55"/>
      <c r="BE137" s="55"/>
      <c r="BF137" s="55"/>
      <c r="BG137" s="55"/>
      <c r="BH137" s="55"/>
      <c r="BI137" s="55"/>
      <c r="BJ137" s="55"/>
      <c r="BK137" s="55"/>
      <c r="BL137" s="55"/>
      <c r="BM137" s="55"/>
      <c r="BN137" s="55"/>
      <c r="BO137" s="55"/>
      <c r="BP137" s="55"/>
      <c r="BQ137" s="55"/>
      <c r="BR137" s="55"/>
      <c r="BS137" s="55"/>
      <c r="BT137" s="55"/>
      <c r="BU137" s="55"/>
      <c r="BV137" s="55"/>
      <c r="BW137" s="55"/>
      <c r="BX137" s="55"/>
      <c r="BY137" s="55"/>
      <c r="BZ137" s="55"/>
      <c r="CA137" s="55"/>
      <c r="CB137" s="55"/>
      <c r="CC137" s="55"/>
      <c r="CD137" s="55"/>
      <c r="CE137" s="55"/>
      <c r="CF137" s="55"/>
      <c r="CG137" s="55"/>
      <c r="CH137" s="55"/>
      <c r="CI137" s="55"/>
      <c r="CJ137" s="55"/>
      <c r="CK137" s="55"/>
      <c r="CL137" s="55"/>
      <c r="CM137" s="55"/>
      <c r="CN137" s="55"/>
      <c r="CO137" s="55"/>
      <c r="CP137" s="55"/>
      <c r="CQ137" s="55"/>
      <c r="CR137" s="55"/>
      <c r="CS137" s="55"/>
      <c r="CT137" s="55"/>
      <c r="CU137" s="55"/>
      <c r="CV137" s="55"/>
      <c r="CW137" s="55"/>
      <c r="CX137" s="55"/>
      <c r="CY137" s="55"/>
      <c r="CZ137" s="55"/>
      <c r="DA137" s="55"/>
      <c r="DB137" s="55"/>
      <c r="DC137" s="55"/>
      <c r="DD137" s="55"/>
      <c r="DE137" s="55"/>
      <c r="DF137" s="55"/>
      <c r="DG137" s="55"/>
      <c r="DH137" s="55"/>
      <c r="DI137" s="55"/>
    </row>
    <row r="138" spans="1:113" x14ac:dyDescent="0.25">
      <c r="A138" s="152">
        <v>2</v>
      </c>
      <c r="B138" s="79" t="s">
        <v>188</v>
      </c>
      <c r="C138" s="80">
        <v>31000</v>
      </c>
      <c r="D138" s="142">
        <v>1784.75</v>
      </c>
      <c r="E138" s="43">
        <v>0</v>
      </c>
      <c r="F138" s="60"/>
      <c r="G138" s="139">
        <f t="shared" si="73"/>
        <v>0</v>
      </c>
      <c r="H138" s="55">
        <f>5775-5775</f>
        <v>0</v>
      </c>
      <c r="I138" s="56">
        <f t="shared" si="74"/>
        <v>0</v>
      </c>
      <c r="J138" s="56">
        <f t="shared" si="75"/>
        <v>0</v>
      </c>
      <c r="K138" s="57">
        <f t="shared" si="76"/>
        <v>0</v>
      </c>
      <c r="L138"/>
      <c r="M138" s="314">
        <f t="shared" si="71"/>
        <v>0</v>
      </c>
      <c r="N138" s="310"/>
      <c r="O138" s="315"/>
      <c r="P138" s="315"/>
      <c r="Q138" s="315"/>
      <c r="R138" s="315"/>
      <c r="S138" s="55"/>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c r="AW138" s="55"/>
      <c r="AX138" s="55"/>
      <c r="AY138" s="55"/>
      <c r="AZ138" s="55"/>
      <c r="BA138" s="55"/>
      <c r="BB138" s="55"/>
      <c r="BC138" s="55"/>
      <c r="BD138" s="55"/>
      <c r="BE138" s="55"/>
      <c r="BF138" s="55"/>
      <c r="BG138" s="55"/>
      <c r="BH138" s="55"/>
      <c r="BI138" s="55"/>
      <c r="BJ138" s="55"/>
      <c r="BK138" s="55"/>
      <c r="BL138" s="55"/>
      <c r="BM138" s="55"/>
      <c r="BN138" s="55"/>
      <c r="BO138" s="55"/>
      <c r="BP138" s="55"/>
      <c r="BQ138" s="55"/>
      <c r="BR138" s="55"/>
      <c r="BS138" s="55"/>
      <c r="BT138" s="55"/>
      <c r="BU138" s="55"/>
      <c r="BV138" s="55"/>
      <c r="BW138" s="55"/>
      <c r="BX138" s="55"/>
      <c r="BY138" s="55"/>
      <c r="BZ138" s="55"/>
      <c r="CA138" s="55"/>
      <c r="CB138" s="55"/>
      <c r="CC138" s="55"/>
      <c r="CD138" s="55"/>
      <c r="CE138" s="55"/>
      <c r="CF138" s="55"/>
      <c r="CG138" s="55"/>
      <c r="CH138" s="55"/>
      <c r="CI138" s="55"/>
      <c r="CJ138" s="55"/>
      <c r="CK138" s="55"/>
      <c r="CL138" s="55"/>
      <c r="CM138" s="55"/>
      <c r="CN138" s="55"/>
      <c r="CO138" s="55"/>
      <c r="CP138" s="55"/>
      <c r="CQ138" s="55"/>
      <c r="CR138" s="55"/>
      <c r="CS138" s="55"/>
      <c r="CT138" s="55"/>
      <c r="CU138" s="55"/>
      <c r="CV138" s="55"/>
      <c r="CW138" s="55"/>
      <c r="CX138" s="55"/>
      <c r="CY138" s="55"/>
      <c r="CZ138" s="55"/>
      <c r="DA138" s="55"/>
      <c r="DB138" s="55"/>
      <c r="DC138" s="55"/>
      <c r="DD138" s="55"/>
      <c r="DE138" s="55"/>
      <c r="DF138" s="55"/>
      <c r="DG138" s="55"/>
      <c r="DH138" s="55"/>
      <c r="DI138" s="55"/>
    </row>
    <row r="139" spans="1:113" x14ac:dyDescent="0.25">
      <c r="A139" s="152">
        <v>3</v>
      </c>
      <c r="B139" s="79" t="s">
        <v>189</v>
      </c>
      <c r="C139" s="80">
        <v>15000</v>
      </c>
      <c r="D139" s="142">
        <f>1696.75+495</f>
        <v>2191.75</v>
      </c>
      <c r="E139" s="43">
        <v>0</v>
      </c>
      <c r="F139" s="60"/>
      <c r="G139" s="139">
        <f t="shared" si="73"/>
        <v>0</v>
      </c>
      <c r="H139" s="55">
        <f>20-20</f>
        <v>0</v>
      </c>
      <c r="I139" s="56">
        <f t="shared" si="74"/>
        <v>0</v>
      </c>
      <c r="J139" s="56">
        <f t="shared" si="75"/>
        <v>0</v>
      </c>
      <c r="K139" s="57">
        <f t="shared" si="76"/>
        <v>0</v>
      </c>
      <c r="L139"/>
      <c r="M139" s="314">
        <f t="shared" si="71"/>
        <v>0</v>
      </c>
      <c r="N139" s="310"/>
      <c r="O139" s="315"/>
      <c r="P139" s="315"/>
      <c r="Q139" s="315"/>
      <c r="R139" s="315"/>
      <c r="S139" s="55"/>
      <c r="T139" s="55"/>
      <c r="U139" s="55"/>
      <c r="V139" s="55"/>
      <c r="W139" s="55"/>
      <c r="X139" s="55"/>
      <c r="Y139" s="55"/>
      <c r="Z139" s="55"/>
      <c r="AA139" s="55"/>
      <c r="AB139" s="55"/>
      <c r="AC139" s="55"/>
      <c r="AD139" s="55"/>
      <c r="AE139" s="55"/>
      <c r="AF139" s="55"/>
      <c r="AG139" s="55"/>
      <c r="AH139" s="55"/>
      <c r="AI139" s="55"/>
      <c r="AJ139" s="55"/>
      <c r="AK139" s="55"/>
      <c r="AL139" s="55"/>
      <c r="AM139" s="55"/>
      <c r="AN139" s="55"/>
      <c r="AO139" s="55"/>
      <c r="AP139" s="55"/>
      <c r="AQ139" s="55"/>
      <c r="AR139" s="55"/>
      <c r="AS139" s="55"/>
      <c r="AT139" s="55"/>
      <c r="AU139" s="55"/>
      <c r="AV139" s="55"/>
      <c r="AW139" s="55"/>
      <c r="AX139" s="55"/>
      <c r="AY139" s="55"/>
      <c r="AZ139" s="55"/>
      <c r="BA139" s="55"/>
      <c r="BB139" s="55"/>
      <c r="BC139" s="55"/>
      <c r="BD139" s="55"/>
      <c r="BE139" s="55"/>
      <c r="BF139" s="55"/>
      <c r="BG139" s="55"/>
      <c r="BH139" s="55"/>
      <c r="BI139" s="55"/>
      <c r="BJ139" s="55"/>
      <c r="BK139" s="55"/>
      <c r="BL139" s="55"/>
      <c r="BM139" s="55"/>
      <c r="BN139" s="55"/>
      <c r="BO139" s="55"/>
      <c r="BP139" s="55"/>
      <c r="BQ139" s="55"/>
      <c r="BR139" s="55"/>
      <c r="BS139" s="55"/>
      <c r="BT139" s="55"/>
      <c r="BU139" s="55"/>
      <c r="BV139" s="55"/>
      <c r="BW139" s="55"/>
      <c r="BX139" s="55"/>
      <c r="BY139" s="55"/>
      <c r="BZ139" s="55"/>
      <c r="CA139" s="55"/>
      <c r="CB139" s="55"/>
      <c r="CC139" s="55"/>
      <c r="CD139" s="55"/>
      <c r="CE139" s="55"/>
      <c r="CF139" s="55"/>
      <c r="CG139" s="55"/>
      <c r="CH139" s="55"/>
      <c r="CI139" s="55"/>
      <c r="CJ139" s="55"/>
      <c r="CK139" s="55"/>
      <c r="CL139" s="55"/>
      <c r="CM139" s="55"/>
      <c r="CN139" s="55"/>
      <c r="CO139" s="55"/>
      <c r="CP139" s="55"/>
      <c r="CQ139" s="55"/>
      <c r="CR139" s="55"/>
      <c r="CS139" s="55"/>
      <c r="CT139" s="55"/>
      <c r="CU139" s="55"/>
      <c r="CV139" s="55"/>
      <c r="CW139" s="55"/>
      <c r="CX139" s="55"/>
      <c r="CY139" s="55"/>
      <c r="CZ139" s="55"/>
      <c r="DA139" s="55"/>
      <c r="DB139" s="55"/>
      <c r="DC139" s="55"/>
      <c r="DD139" s="55"/>
      <c r="DE139" s="55"/>
      <c r="DF139" s="55"/>
      <c r="DG139" s="55"/>
      <c r="DH139" s="55"/>
      <c r="DI139" s="55"/>
    </row>
    <row r="140" spans="1:113" ht="15.75" thickBot="1" x14ac:dyDescent="0.3">
      <c r="A140" s="153">
        <v>4</v>
      </c>
      <c r="B140" s="144" t="s">
        <v>190</v>
      </c>
      <c r="C140" s="82">
        <v>27000</v>
      </c>
      <c r="D140" s="145">
        <v>1815</v>
      </c>
      <c r="E140" s="154">
        <v>1000</v>
      </c>
      <c r="F140" s="156"/>
      <c r="G140" s="147">
        <f t="shared" si="73"/>
        <v>1000</v>
      </c>
      <c r="H140" s="58">
        <v>1000</v>
      </c>
      <c r="I140" s="64">
        <f t="shared" si="74"/>
        <v>0</v>
      </c>
      <c r="J140" s="64">
        <f t="shared" si="75"/>
        <v>0</v>
      </c>
      <c r="K140" s="65">
        <f t="shared" si="76"/>
        <v>0</v>
      </c>
      <c r="L140"/>
      <c r="M140" s="314">
        <f t="shared" si="71"/>
        <v>0</v>
      </c>
      <c r="N140" s="310"/>
      <c r="O140" s="315"/>
      <c r="P140" s="315"/>
      <c r="Q140" s="315"/>
      <c r="R140" s="315"/>
      <c r="S140" s="55"/>
      <c r="T140" s="55"/>
      <c r="U140" s="55"/>
      <c r="V140" s="55"/>
      <c r="W140" s="55"/>
      <c r="X140" s="55"/>
      <c r="Y140" s="55"/>
      <c r="Z140" s="55"/>
      <c r="AA140" s="55"/>
      <c r="AB140" s="55"/>
      <c r="AC140" s="55"/>
      <c r="AD140" s="55"/>
      <c r="AE140" s="55"/>
      <c r="AF140" s="55"/>
      <c r="AG140" s="55"/>
      <c r="AH140" s="55"/>
      <c r="AI140" s="55"/>
      <c r="AJ140" s="55"/>
      <c r="AK140" s="55"/>
      <c r="AL140" s="55"/>
      <c r="AM140" s="55"/>
      <c r="AN140" s="55"/>
      <c r="AO140" s="55"/>
      <c r="AP140" s="55"/>
      <c r="AQ140" s="55"/>
      <c r="AR140" s="55"/>
      <c r="AS140" s="55"/>
      <c r="AT140" s="55"/>
      <c r="AU140" s="55"/>
      <c r="AV140" s="55"/>
      <c r="AW140" s="55"/>
      <c r="AX140" s="55"/>
      <c r="AY140" s="55"/>
      <c r="AZ140" s="55"/>
      <c r="BA140" s="55"/>
      <c r="BB140" s="55"/>
      <c r="BC140" s="55"/>
      <c r="BD140" s="55"/>
      <c r="BE140" s="55"/>
      <c r="BF140" s="55"/>
      <c r="BG140" s="55"/>
      <c r="BH140" s="55"/>
      <c r="BI140" s="55"/>
      <c r="BJ140" s="55"/>
      <c r="BK140" s="55"/>
      <c r="BL140" s="55"/>
      <c r="BM140" s="55"/>
      <c r="BN140" s="55"/>
      <c r="BO140" s="55"/>
      <c r="BP140" s="55"/>
      <c r="BQ140" s="55"/>
      <c r="BR140" s="55"/>
      <c r="BS140" s="55"/>
      <c r="BT140" s="55"/>
      <c r="BU140" s="55"/>
      <c r="BV140" s="55"/>
      <c r="BW140" s="55"/>
      <c r="BX140" s="55"/>
      <c r="BY140" s="55"/>
      <c r="BZ140" s="55"/>
      <c r="CA140" s="55"/>
      <c r="CB140" s="55"/>
      <c r="CC140" s="55"/>
      <c r="CD140" s="55"/>
      <c r="CE140" s="55"/>
      <c r="CF140" s="55"/>
      <c r="CG140" s="55"/>
      <c r="CH140" s="55"/>
      <c r="CI140" s="55"/>
      <c r="CJ140" s="55"/>
      <c r="CK140" s="55"/>
      <c r="CL140" s="55"/>
      <c r="CM140" s="55"/>
      <c r="CN140" s="55"/>
      <c r="CO140" s="55"/>
      <c r="CP140" s="55"/>
      <c r="CQ140" s="55"/>
      <c r="CR140" s="55"/>
      <c r="CS140" s="55"/>
      <c r="CT140" s="55"/>
      <c r="CU140" s="55"/>
      <c r="CV140" s="55"/>
      <c r="CW140" s="55"/>
      <c r="CX140" s="55"/>
      <c r="CY140" s="55"/>
      <c r="CZ140" s="55"/>
      <c r="DA140" s="55"/>
      <c r="DB140" s="55"/>
      <c r="DC140" s="55"/>
      <c r="DD140" s="55"/>
      <c r="DE140" s="55"/>
      <c r="DF140" s="55"/>
      <c r="DG140" s="55"/>
      <c r="DH140" s="55"/>
      <c r="DI140" s="55"/>
    </row>
    <row r="141" spans="1:113" ht="15.75" thickBot="1" x14ac:dyDescent="0.3">
      <c r="A141" s="128"/>
      <c r="B141" s="119" t="s">
        <v>670</v>
      </c>
      <c r="C141" s="36"/>
      <c r="D141" s="36"/>
      <c r="E141" s="29">
        <f>SUM(E137:E140)</f>
        <v>1000</v>
      </c>
      <c r="F141" s="29"/>
      <c r="G141" s="29">
        <f>SUM(G137:G140)</f>
        <v>1000</v>
      </c>
      <c r="H141" s="29">
        <f>SUM(H137:H140)</f>
        <v>1000</v>
      </c>
      <c r="I141" s="29">
        <f>SUM(I137:I140)</f>
        <v>0</v>
      </c>
      <c r="J141" s="29">
        <f t="shared" ref="J141:K141" si="77">SUM(J137:J140)</f>
        <v>0</v>
      </c>
      <c r="K141" s="47">
        <f t="shared" si="77"/>
        <v>0</v>
      </c>
      <c r="L141"/>
      <c r="M141" s="322">
        <f t="shared" si="71"/>
        <v>0</v>
      </c>
      <c r="N141" s="325"/>
      <c r="O141" s="325"/>
      <c r="P141" s="325"/>
      <c r="Q141" s="325"/>
      <c r="R141" s="325"/>
      <c r="S141" s="324"/>
      <c r="T141" s="324"/>
      <c r="U141" s="324"/>
      <c r="V141" s="324"/>
      <c r="W141" s="324"/>
      <c r="X141" s="324"/>
      <c r="Y141" s="324"/>
      <c r="Z141" s="324"/>
      <c r="AA141" s="324"/>
      <c r="AB141" s="324"/>
      <c r="AC141" s="324"/>
      <c r="AD141" s="324"/>
      <c r="AE141" s="324"/>
      <c r="AF141" s="324"/>
      <c r="AG141" s="324"/>
      <c r="AH141" s="324"/>
      <c r="AI141" s="324"/>
      <c r="AJ141" s="324"/>
      <c r="AK141" s="324"/>
      <c r="AL141" s="324"/>
      <c r="AM141" s="324"/>
      <c r="AN141" s="324"/>
      <c r="AO141" s="324"/>
      <c r="AP141" s="324"/>
      <c r="AQ141" s="324"/>
      <c r="AR141" s="324"/>
      <c r="AS141" s="324"/>
      <c r="AT141" s="324"/>
      <c r="AU141" s="324"/>
      <c r="AV141" s="324"/>
      <c r="AW141" s="324"/>
      <c r="AX141" s="324"/>
      <c r="AY141" s="324"/>
      <c r="AZ141" s="324"/>
      <c r="BA141" s="324"/>
      <c r="BB141" s="324"/>
      <c r="BC141" s="324"/>
      <c r="BD141" s="324"/>
      <c r="BE141" s="324"/>
      <c r="BF141" s="324"/>
      <c r="BG141" s="324"/>
      <c r="BH141" s="324"/>
      <c r="BI141" s="324"/>
      <c r="BJ141" s="324"/>
      <c r="BK141" s="324"/>
      <c r="BL141" s="324"/>
      <c r="BM141" s="324"/>
      <c r="BN141" s="324"/>
      <c r="BO141" s="324"/>
      <c r="BP141" s="324"/>
      <c r="BQ141" s="324"/>
      <c r="BR141" s="324"/>
      <c r="BS141" s="324"/>
      <c r="BT141" s="324"/>
      <c r="BU141" s="324"/>
      <c r="BV141" s="324"/>
      <c r="BW141" s="324"/>
      <c r="BX141" s="324"/>
      <c r="BY141" s="324"/>
      <c r="BZ141" s="324"/>
      <c r="CA141" s="324"/>
      <c r="CB141" s="324"/>
      <c r="CC141" s="324"/>
      <c r="CD141" s="324"/>
      <c r="CE141" s="324"/>
      <c r="CF141" s="324"/>
      <c r="CG141" s="324"/>
      <c r="CH141" s="324"/>
      <c r="CI141" s="324"/>
      <c r="CJ141" s="324"/>
      <c r="CK141" s="324"/>
      <c r="CL141" s="324"/>
      <c r="CM141" s="324"/>
      <c r="CN141" s="324"/>
      <c r="CO141" s="324"/>
      <c r="CP141" s="324"/>
      <c r="CQ141" s="324"/>
      <c r="CR141" s="324"/>
      <c r="CS141" s="324"/>
      <c r="CT141" s="324"/>
      <c r="CU141" s="324"/>
      <c r="CV141" s="324"/>
      <c r="CW141" s="324"/>
      <c r="CX141" s="324"/>
      <c r="CY141" s="324"/>
      <c r="CZ141" s="324"/>
      <c r="DA141" s="324"/>
      <c r="DB141" s="324"/>
      <c r="DC141" s="324"/>
      <c r="DD141" s="324"/>
      <c r="DE141" s="324"/>
      <c r="DF141" s="324"/>
      <c r="DG141" s="324"/>
      <c r="DH141" s="324"/>
      <c r="DI141" s="324"/>
    </row>
    <row r="142" spans="1:113" customFormat="1" ht="15.75" thickBot="1" x14ac:dyDescent="0.3"/>
    <row r="143" spans="1:113" ht="15.75" thickBot="1" x14ac:dyDescent="0.3">
      <c r="A143" s="407" t="s">
        <v>657</v>
      </c>
      <c r="B143" s="414" t="s">
        <v>708</v>
      </c>
      <c r="C143" s="414" t="s">
        <v>1</v>
      </c>
      <c r="D143" s="415" t="s">
        <v>649</v>
      </c>
      <c r="E143" s="416" t="s">
        <v>19</v>
      </c>
      <c r="F143" s="416"/>
      <c r="G143" s="416"/>
      <c r="H143" s="416"/>
      <c r="I143" s="416"/>
      <c r="J143" s="410" t="s">
        <v>21</v>
      </c>
      <c r="K143" s="417" t="s">
        <v>602</v>
      </c>
      <c r="L143"/>
      <c r="M143" s="400" t="s">
        <v>601</v>
      </c>
      <c r="N143" s="404" t="s">
        <v>924</v>
      </c>
      <c r="O143" s="405"/>
      <c r="P143" s="405"/>
      <c r="Q143" s="405"/>
      <c r="R143" s="405"/>
      <c r="S143" s="405"/>
      <c r="T143" s="405"/>
      <c r="U143" s="405"/>
      <c r="V143" s="405"/>
      <c r="W143" s="405"/>
      <c r="X143" s="405"/>
      <c r="Y143" s="405"/>
      <c r="Z143" s="405"/>
      <c r="AA143" s="405"/>
      <c r="AB143" s="405"/>
      <c r="AC143" s="405"/>
      <c r="AD143" s="405"/>
      <c r="AE143" s="405"/>
      <c r="AF143" s="405"/>
      <c r="AG143" s="405"/>
      <c r="AH143" s="405"/>
      <c r="AI143" s="405"/>
      <c r="AJ143" s="405"/>
      <c r="AK143" s="405"/>
      <c r="AL143" s="405"/>
      <c r="AM143" s="405"/>
      <c r="AN143" s="405"/>
      <c r="AO143" s="405"/>
      <c r="AP143" s="405"/>
      <c r="AQ143" s="405"/>
      <c r="AR143" s="405"/>
      <c r="AS143" s="405"/>
      <c r="AT143" s="405"/>
      <c r="AU143" s="405"/>
      <c r="AV143" s="405"/>
      <c r="AW143" s="405"/>
      <c r="AX143" s="405"/>
      <c r="AY143" s="405"/>
      <c r="AZ143" s="405"/>
      <c r="BA143" s="405"/>
      <c r="BB143" s="405"/>
      <c r="BC143" s="405"/>
      <c r="BD143" s="405"/>
      <c r="BE143" s="405"/>
      <c r="BF143" s="405"/>
      <c r="BG143" s="405"/>
      <c r="BH143" s="405"/>
      <c r="BI143" s="405"/>
      <c r="BJ143" s="405"/>
      <c r="BK143" s="405"/>
      <c r="BL143" s="405"/>
      <c r="BM143" s="405"/>
      <c r="BN143" s="405"/>
      <c r="BO143" s="405"/>
      <c r="BP143" s="405"/>
      <c r="BQ143" s="405"/>
      <c r="BR143" s="405"/>
      <c r="BS143" s="405"/>
      <c r="BT143" s="405"/>
      <c r="BU143" s="405"/>
      <c r="BV143" s="405"/>
      <c r="BW143" s="405"/>
      <c r="BX143" s="405"/>
      <c r="BY143" s="405"/>
      <c r="BZ143" s="405"/>
      <c r="CA143" s="405"/>
      <c r="CB143" s="405"/>
      <c r="CC143" s="405"/>
      <c r="CD143" s="405"/>
      <c r="CE143" s="405"/>
      <c r="CF143" s="405"/>
      <c r="CG143" s="405"/>
      <c r="CH143" s="405"/>
      <c r="CI143" s="405"/>
      <c r="CJ143" s="405"/>
      <c r="CK143" s="405"/>
      <c r="CL143" s="405"/>
      <c r="CM143" s="405"/>
      <c r="CN143" s="405"/>
      <c r="CO143" s="405"/>
      <c r="CP143" s="405"/>
      <c r="CQ143" s="405"/>
      <c r="CR143" s="405"/>
      <c r="CS143" s="405"/>
      <c r="CT143" s="405"/>
      <c r="CU143" s="405"/>
      <c r="CV143" s="405"/>
      <c r="CW143" s="405"/>
      <c r="CX143" s="405"/>
      <c r="CY143" s="405"/>
      <c r="CZ143" s="405"/>
      <c r="DA143" s="405"/>
      <c r="DB143" s="405"/>
      <c r="DC143" s="405"/>
      <c r="DD143" s="405"/>
      <c r="DE143" s="405"/>
      <c r="DF143" s="405"/>
      <c r="DG143" s="405"/>
      <c r="DH143" s="405"/>
      <c r="DI143" s="406"/>
    </row>
    <row r="144" spans="1:113" ht="15.75" thickBot="1" x14ac:dyDescent="0.3">
      <c r="A144" s="408"/>
      <c r="B144" s="414"/>
      <c r="C144" s="414"/>
      <c r="D144" s="415"/>
      <c r="E144" s="68" t="s">
        <v>22</v>
      </c>
      <c r="F144" s="68" t="s">
        <v>600</v>
      </c>
      <c r="G144" s="68" t="s">
        <v>601</v>
      </c>
      <c r="H144" s="68" t="s">
        <v>589</v>
      </c>
      <c r="I144" s="68" t="s">
        <v>601</v>
      </c>
      <c r="J144" s="411"/>
      <c r="K144" s="418"/>
      <c r="L144"/>
      <c r="M144" s="401"/>
      <c r="N144" s="400" t="s">
        <v>925</v>
      </c>
      <c r="O144" s="400" t="s">
        <v>926</v>
      </c>
      <c r="P144" s="400"/>
      <c r="Q144" s="400"/>
      <c r="R144" s="400"/>
      <c r="S144" s="398"/>
      <c r="T144" s="398"/>
      <c r="U144" s="398"/>
      <c r="V144" s="398"/>
      <c r="W144" s="398"/>
      <c r="X144" s="398"/>
      <c r="Y144" s="398"/>
      <c r="Z144" s="398"/>
      <c r="AA144" s="398"/>
      <c r="AB144" s="398"/>
      <c r="AC144" s="398"/>
      <c r="AD144" s="398"/>
      <c r="AE144" s="398"/>
      <c r="AF144" s="398"/>
      <c r="AG144" s="398"/>
      <c r="AH144" s="398"/>
      <c r="AI144" s="398"/>
      <c r="AJ144" s="398"/>
      <c r="AK144" s="398"/>
      <c r="AL144" s="398"/>
      <c r="AM144" s="398"/>
      <c r="AN144" s="398"/>
      <c r="AO144" s="398"/>
      <c r="AP144" s="398"/>
      <c r="AQ144" s="398"/>
      <c r="AR144" s="398"/>
      <c r="AS144" s="398"/>
      <c r="AT144" s="398"/>
      <c r="AU144" s="398"/>
      <c r="AV144" s="398"/>
      <c r="AW144" s="398"/>
      <c r="AX144" s="398"/>
      <c r="AY144" s="398"/>
      <c r="AZ144" s="398"/>
      <c r="BA144" s="398"/>
      <c r="BB144" s="398"/>
      <c r="BC144" s="398"/>
      <c r="BD144" s="398"/>
      <c r="BE144" s="398"/>
      <c r="BF144" s="398"/>
      <c r="BG144" s="398"/>
      <c r="BH144" s="398"/>
      <c r="BI144" s="398"/>
      <c r="BJ144" s="398"/>
      <c r="BK144" s="398"/>
      <c r="BL144" s="398"/>
      <c r="BM144" s="398"/>
      <c r="BN144" s="398"/>
      <c r="BO144" s="398"/>
      <c r="BP144" s="398"/>
      <c r="BQ144" s="398"/>
      <c r="BR144" s="398"/>
      <c r="BS144" s="398"/>
      <c r="BT144" s="398"/>
      <c r="BU144" s="398"/>
      <c r="BV144" s="398"/>
      <c r="BW144" s="398"/>
      <c r="BX144" s="398"/>
      <c r="BY144" s="398"/>
      <c r="BZ144" s="398"/>
      <c r="CA144" s="398"/>
      <c r="CB144" s="398"/>
      <c r="CC144" s="398"/>
      <c r="CD144" s="398"/>
      <c r="CE144" s="398"/>
      <c r="CF144" s="398"/>
      <c r="CG144" s="398"/>
      <c r="CH144" s="398"/>
      <c r="CI144" s="398"/>
      <c r="CJ144" s="398"/>
      <c r="CK144" s="398"/>
      <c r="CL144" s="398"/>
      <c r="CM144" s="398"/>
      <c r="CN144" s="398"/>
      <c r="CO144" s="398"/>
      <c r="CP144" s="398"/>
      <c r="CQ144" s="398"/>
      <c r="CR144" s="398"/>
      <c r="CS144" s="398"/>
      <c r="CT144" s="398"/>
      <c r="CU144" s="398"/>
      <c r="CV144" s="398"/>
      <c r="CW144" s="398"/>
      <c r="CX144" s="398"/>
      <c r="CY144" s="398"/>
      <c r="CZ144" s="398"/>
      <c r="DA144" s="398"/>
      <c r="DB144" s="398"/>
      <c r="DC144" s="398"/>
      <c r="DD144" s="398"/>
      <c r="DE144" s="398"/>
      <c r="DF144" s="398"/>
      <c r="DG144" s="398"/>
      <c r="DH144" s="398"/>
      <c r="DI144" s="398"/>
    </row>
    <row r="145" spans="1:113" ht="15.75" thickBot="1" x14ac:dyDescent="0.3">
      <c r="A145" s="409"/>
      <c r="B145" s="168">
        <v>1</v>
      </c>
      <c r="C145" s="168">
        <v>2</v>
      </c>
      <c r="D145" s="168">
        <v>3</v>
      </c>
      <c r="E145" s="70">
        <v>4</v>
      </c>
      <c r="F145" s="70">
        <f>+E145+1</f>
        <v>5</v>
      </c>
      <c r="G145" s="70" t="s">
        <v>652</v>
      </c>
      <c r="H145" s="70">
        <v>7</v>
      </c>
      <c r="I145" s="71" t="s">
        <v>651</v>
      </c>
      <c r="J145" s="42" t="s">
        <v>650</v>
      </c>
      <c r="K145" s="42" t="s">
        <v>653</v>
      </c>
      <c r="L145"/>
      <c r="M145" s="402"/>
      <c r="N145" s="402"/>
      <c r="O145" s="402"/>
      <c r="P145" s="402"/>
      <c r="Q145" s="402"/>
      <c r="R145" s="402"/>
      <c r="S145" s="399"/>
      <c r="T145" s="399"/>
      <c r="U145" s="399"/>
      <c r="V145" s="399"/>
      <c r="W145" s="399"/>
      <c r="X145" s="399"/>
      <c r="Y145" s="399"/>
      <c r="Z145" s="399"/>
      <c r="AA145" s="399"/>
      <c r="AB145" s="399"/>
      <c r="AC145" s="399"/>
      <c r="AD145" s="399"/>
      <c r="AE145" s="399"/>
      <c r="AF145" s="399"/>
      <c r="AG145" s="399"/>
      <c r="AH145" s="399"/>
      <c r="AI145" s="399"/>
      <c r="AJ145" s="399"/>
      <c r="AK145" s="399"/>
      <c r="AL145" s="399"/>
      <c r="AM145" s="399"/>
      <c r="AN145" s="399"/>
      <c r="AO145" s="399"/>
      <c r="AP145" s="399"/>
      <c r="AQ145" s="399"/>
      <c r="AR145" s="399"/>
      <c r="AS145" s="399"/>
      <c r="AT145" s="399"/>
      <c r="AU145" s="399"/>
      <c r="AV145" s="399"/>
      <c r="AW145" s="399"/>
      <c r="AX145" s="399"/>
      <c r="AY145" s="399"/>
      <c r="AZ145" s="399"/>
      <c r="BA145" s="399"/>
      <c r="BB145" s="399"/>
      <c r="BC145" s="399"/>
      <c r="BD145" s="399"/>
      <c r="BE145" s="399"/>
      <c r="BF145" s="399"/>
      <c r="BG145" s="399"/>
      <c r="BH145" s="399"/>
      <c r="BI145" s="399"/>
      <c r="BJ145" s="399"/>
      <c r="BK145" s="399"/>
      <c r="BL145" s="399"/>
      <c r="BM145" s="399"/>
      <c r="BN145" s="399"/>
      <c r="BO145" s="399"/>
      <c r="BP145" s="399"/>
      <c r="BQ145" s="399"/>
      <c r="BR145" s="399"/>
      <c r="BS145" s="399"/>
      <c r="BT145" s="399"/>
      <c r="BU145" s="399"/>
      <c r="BV145" s="399"/>
      <c r="BW145" s="399"/>
      <c r="BX145" s="399"/>
      <c r="BY145" s="399"/>
      <c r="BZ145" s="399"/>
      <c r="CA145" s="399"/>
      <c r="CB145" s="399"/>
      <c r="CC145" s="399"/>
      <c r="CD145" s="399"/>
      <c r="CE145" s="399"/>
      <c r="CF145" s="399"/>
      <c r="CG145" s="399"/>
      <c r="CH145" s="399"/>
      <c r="CI145" s="399"/>
      <c r="CJ145" s="399"/>
      <c r="CK145" s="399"/>
      <c r="CL145" s="399"/>
      <c r="CM145" s="399"/>
      <c r="CN145" s="399"/>
      <c r="CO145" s="399"/>
      <c r="CP145" s="399"/>
      <c r="CQ145" s="399"/>
      <c r="CR145" s="399"/>
      <c r="CS145" s="399"/>
      <c r="CT145" s="399"/>
      <c r="CU145" s="399"/>
      <c r="CV145" s="399"/>
      <c r="CW145" s="399"/>
      <c r="CX145" s="399"/>
      <c r="CY145" s="399"/>
      <c r="CZ145" s="399"/>
      <c r="DA145" s="399"/>
      <c r="DB145" s="399"/>
      <c r="DC145" s="399"/>
      <c r="DD145" s="399"/>
      <c r="DE145" s="399"/>
      <c r="DF145" s="399"/>
      <c r="DG145" s="399"/>
      <c r="DH145" s="399"/>
      <c r="DI145" s="399"/>
    </row>
    <row r="146" spans="1:113" x14ac:dyDescent="0.25">
      <c r="A146" s="160"/>
      <c r="B146" s="72" t="s">
        <v>704</v>
      </c>
      <c r="C146" s="54"/>
      <c r="D146" s="54"/>
      <c r="E146" s="54"/>
      <c r="F146" s="54"/>
      <c r="G146" s="54"/>
      <c r="H146" s="54"/>
      <c r="I146" s="54"/>
      <c r="J146" s="54"/>
      <c r="K146" s="54"/>
      <c r="L146"/>
      <c r="M146" s="314">
        <f t="shared" si="71"/>
        <v>0</v>
      </c>
      <c r="N146" s="310"/>
      <c r="O146" s="315"/>
      <c r="P146" s="315"/>
      <c r="Q146" s="315"/>
      <c r="R146" s="315"/>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c r="BM146" s="55"/>
      <c r="BN146" s="55"/>
      <c r="BO146" s="55"/>
      <c r="BP146" s="55"/>
      <c r="BQ146" s="55"/>
      <c r="BR146" s="55"/>
      <c r="BS146" s="55"/>
      <c r="BT146" s="55"/>
      <c r="BU146" s="55"/>
      <c r="BV146" s="55"/>
      <c r="BW146" s="55"/>
      <c r="BX146" s="55"/>
      <c r="BY146" s="55"/>
      <c r="BZ146" s="55"/>
      <c r="CA146" s="55"/>
      <c r="CB146" s="55"/>
      <c r="CC146" s="55"/>
      <c r="CD146" s="55"/>
      <c r="CE146" s="55"/>
      <c r="CF146" s="55"/>
      <c r="CG146" s="55"/>
      <c r="CH146" s="55"/>
      <c r="CI146" s="55"/>
      <c r="CJ146" s="55"/>
      <c r="CK146" s="55"/>
      <c r="CL146" s="55"/>
      <c r="CM146" s="55"/>
      <c r="CN146" s="55"/>
      <c r="CO146" s="55"/>
      <c r="CP146" s="55"/>
      <c r="CQ146" s="55"/>
      <c r="CR146" s="55"/>
      <c r="CS146" s="55"/>
      <c r="CT146" s="55"/>
      <c r="CU146" s="55"/>
      <c r="CV146" s="55"/>
      <c r="CW146" s="55"/>
      <c r="CX146" s="55"/>
      <c r="CY146" s="55"/>
      <c r="CZ146" s="55"/>
      <c r="DA146" s="55"/>
      <c r="DB146" s="55"/>
      <c r="DC146" s="55"/>
      <c r="DD146" s="55"/>
      <c r="DE146" s="55"/>
      <c r="DF146" s="55"/>
      <c r="DG146" s="55"/>
      <c r="DH146" s="55"/>
      <c r="DI146" s="55"/>
    </row>
    <row r="147" spans="1:113" x14ac:dyDescent="0.25">
      <c r="A147" s="152">
        <v>1</v>
      </c>
      <c r="B147" s="79" t="s">
        <v>775</v>
      </c>
      <c r="C147" s="80">
        <v>9000</v>
      </c>
      <c r="D147" s="142">
        <v>4838</v>
      </c>
      <c r="E147" s="43">
        <v>0</v>
      </c>
      <c r="F147" s="43"/>
      <c r="G147" s="139">
        <f t="shared" ref="G147:G151" si="78">+E147+F147</f>
        <v>0</v>
      </c>
      <c r="H147" s="55">
        <f>500-500</f>
        <v>0</v>
      </c>
      <c r="I147" s="56">
        <f t="shared" ref="I147:I151" si="79">+G147-H147</f>
        <v>0</v>
      </c>
      <c r="J147" s="56">
        <f t="shared" ref="J147:J151" si="80">I147*C147</f>
        <v>0</v>
      </c>
      <c r="K147" s="57">
        <f t="shared" ref="K147:K151" si="81">+D147*I147</f>
        <v>0</v>
      </c>
      <c r="L147"/>
      <c r="M147" s="314">
        <f t="shared" si="71"/>
        <v>0</v>
      </c>
      <c r="N147" s="310"/>
      <c r="O147" s="315"/>
      <c r="P147" s="315"/>
      <c r="Q147" s="315"/>
      <c r="R147" s="315"/>
      <c r="S147" s="5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c r="BM147" s="55"/>
      <c r="BN147" s="55"/>
      <c r="BO147" s="55"/>
      <c r="BP147" s="55"/>
      <c r="BQ147" s="55"/>
      <c r="BR147" s="55"/>
      <c r="BS147" s="55"/>
      <c r="BT147" s="55"/>
      <c r="BU147" s="55"/>
      <c r="BV147" s="55"/>
      <c r="BW147" s="55"/>
      <c r="BX147" s="55"/>
      <c r="BY147" s="55"/>
      <c r="BZ147" s="55"/>
      <c r="CA147" s="55"/>
      <c r="CB147" s="55"/>
      <c r="CC147" s="55"/>
      <c r="CD147" s="55"/>
      <c r="CE147" s="55"/>
      <c r="CF147" s="55"/>
      <c r="CG147" s="55"/>
      <c r="CH147" s="55"/>
      <c r="CI147" s="55"/>
      <c r="CJ147" s="55"/>
      <c r="CK147" s="55"/>
      <c r="CL147" s="55"/>
      <c r="CM147" s="55"/>
      <c r="CN147" s="55"/>
      <c r="CO147" s="55"/>
      <c r="CP147" s="55"/>
      <c r="CQ147" s="55"/>
      <c r="CR147" s="55"/>
      <c r="CS147" s="55"/>
      <c r="CT147" s="55"/>
      <c r="CU147" s="55"/>
      <c r="CV147" s="55"/>
      <c r="CW147" s="55"/>
      <c r="CX147" s="55"/>
      <c r="CY147" s="55"/>
      <c r="CZ147" s="55"/>
      <c r="DA147" s="55"/>
      <c r="DB147" s="55"/>
      <c r="DC147" s="55"/>
      <c r="DD147" s="55"/>
      <c r="DE147" s="55"/>
      <c r="DF147" s="55"/>
      <c r="DG147" s="55"/>
      <c r="DH147" s="55"/>
      <c r="DI147" s="55"/>
    </row>
    <row r="148" spans="1:113" x14ac:dyDescent="0.25">
      <c r="A148" s="152">
        <v>2</v>
      </c>
      <c r="B148" s="79" t="s">
        <v>191</v>
      </c>
      <c r="C148" s="80">
        <v>6000</v>
      </c>
      <c r="D148" s="142">
        <f>176.31*4</f>
        <v>705.24</v>
      </c>
      <c r="E148" s="43">
        <v>0</v>
      </c>
      <c r="F148" s="43"/>
      <c r="G148" s="139">
        <f t="shared" si="78"/>
        <v>0</v>
      </c>
      <c r="H148" s="55">
        <f>41-41</f>
        <v>0</v>
      </c>
      <c r="I148" s="56">
        <f t="shared" si="79"/>
        <v>0</v>
      </c>
      <c r="J148" s="56">
        <f t="shared" si="80"/>
        <v>0</v>
      </c>
      <c r="K148" s="57">
        <f t="shared" si="81"/>
        <v>0</v>
      </c>
      <c r="L148"/>
      <c r="M148" s="314">
        <f t="shared" si="71"/>
        <v>0</v>
      </c>
      <c r="N148" s="310"/>
      <c r="O148" s="315"/>
      <c r="P148" s="315"/>
      <c r="Q148" s="315"/>
      <c r="R148" s="315"/>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c r="BM148" s="55"/>
      <c r="BN148" s="55"/>
      <c r="BO148" s="55"/>
      <c r="BP148" s="55"/>
      <c r="BQ148" s="55"/>
      <c r="BR148" s="55"/>
      <c r="BS148" s="55"/>
      <c r="BT148" s="55"/>
      <c r="BU148" s="55"/>
      <c r="BV148" s="55"/>
      <c r="BW148" s="55"/>
      <c r="BX148" s="55"/>
      <c r="BY148" s="55"/>
      <c r="BZ148" s="55"/>
      <c r="CA148" s="55"/>
      <c r="CB148" s="55"/>
      <c r="CC148" s="55"/>
      <c r="CD148" s="55"/>
      <c r="CE148" s="55"/>
      <c r="CF148" s="55"/>
      <c r="CG148" s="55"/>
      <c r="CH148" s="55"/>
      <c r="CI148" s="55"/>
      <c r="CJ148" s="55"/>
      <c r="CK148" s="55"/>
      <c r="CL148" s="55"/>
      <c r="CM148" s="55"/>
      <c r="CN148" s="55"/>
      <c r="CO148" s="55"/>
      <c r="CP148" s="55"/>
      <c r="CQ148" s="55"/>
      <c r="CR148" s="55"/>
      <c r="CS148" s="55"/>
      <c r="CT148" s="55"/>
      <c r="CU148" s="55"/>
      <c r="CV148" s="55"/>
      <c r="CW148" s="55"/>
      <c r="CX148" s="55"/>
      <c r="CY148" s="55"/>
      <c r="CZ148" s="55"/>
      <c r="DA148" s="55"/>
      <c r="DB148" s="55"/>
      <c r="DC148" s="55"/>
      <c r="DD148" s="55"/>
      <c r="DE148" s="55"/>
      <c r="DF148" s="55"/>
      <c r="DG148" s="55"/>
      <c r="DH148" s="55"/>
      <c r="DI148" s="55"/>
    </row>
    <row r="149" spans="1:113" x14ac:dyDescent="0.25">
      <c r="A149" s="152">
        <v>3</v>
      </c>
      <c r="B149" s="79" t="s">
        <v>192</v>
      </c>
      <c r="C149" s="80">
        <v>9000</v>
      </c>
      <c r="D149" s="142">
        <v>4270.13</v>
      </c>
      <c r="E149" s="43">
        <v>200</v>
      </c>
      <c r="F149" s="43"/>
      <c r="G149" s="139">
        <f t="shared" si="78"/>
        <v>200</v>
      </c>
      <c r="H149" s="55"/>
      <c r="I149" s="56">
        <f t="shared" si="79"/>
        <v>200</v>
      </c>
      <c r="J149" s="56">
        <f t="shared" si="80"/>
        <v>1800000</v>
      </c>
      <c r="K149" s="57">
        <f t="shared" si="81"/>
        <v>854026</v>
      </c>
      <c r="L149"/>
      <c r="M149" s="314">
        <f t="shared" si="71"/>
        <v>0</v>
      </c>
      <c r="N149" s="310"/>
      <c r="O149" s="315"/>
      <c r="P149" s="315"/>
      <c r="Q149" s="315"/>
      <c r="R149" s="315"/>
      <c r="S149" s="5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c r="BM149" s="55"/>
      <c r="BN149" s="55"/>
      <c r="BO149" s="55"/>
      <c r="BP149" s="55"/>
      <c r="BQ149" s="55"/>
      <c r="BR149" s="55"/>
      <c r="BS149" s="55"/>
      <c r="BT149" s="55"/>
      <c r="BU149" s="55"/>
      <c r="BV149" s="55"/>
      <c r="BW149" s="55"/>
      <c r="BX149" s="55"/>
      <c r="BY149" s="55"/>
      <c r="BZ149" s="55"/>
      <c r="CA149" s="55"/>
      <c r="CB149" s="55"/>
      <c r="CC149" s="55"/>
      <c r="CD149" s="55"/>
      <c r="CE149" s="55"/>
      <c r="CF149" s="55"/>
      <c r="CG149" s="55"/>
      <c r="CH149" s="55"/>
      <c r="CI149" s="55"/>
      <c r="CJ149" s="55"/>
      <c r="CK149" s="55"/>
      <c r="CL149" s="55"/>
      <c r="CM149" s="55"/>
      <c r="CN149" s="55"/>
      <c r="CO149" s="55"/>
      <c r="CP149" s="55"/>
      <c r="CQ149" s="55"/>
      <c r="CR149" s="55"/>
      <c r="CS149" s="55"/>
      <c r="CT149" s="55"/>
      <c r="CU149" s="55"/>
      <c r="CV149" s="55"/>
      <c r="CW149" s="55"/>
      <c r="CX149" s="55"/>
      <c r="CY149" s="55"/>
      <c r="CZ149" s="55"/>
      <c r="DA149" s="55"/>
      <c r="DB149" s="55"/>
      <c r="DC149" s="55"/>
      <c r="DD149" s="55"/>
      <c r="DE149" s="55"/>
      <c r="DF149" s="55"/>
      <c r="DG149" s="55"/>
      <c r="DH149" s="55"/>
      <c r="DI149" s="55"/>
    </row>
    <row r="150" spans="1:113" x14ac:dyDescent="0.25">
      <c r="A150" s="152">
        <v>4</v>
      </c>
      <c r="B150" s="79" t="s">
        <v>193</v>
      </c>
      <c r="C150" s="80">
        <v>20000</v>
      </c>
      <c r="D150" s="142">
        <v>4318</v>
      </c>
      <c r="E150" s="43">
        <v>0</v>
      </c>
      <c r="F150" s="43"/>
      <c r="G150" s="139">
        <f t="shared" si="78"/>
        <v>0</v>
      </c>
      <c r="H150" s="55">
        <f>100-100</f>
        <v>0</v>
      </c>
      <c r="I150" s="56">
        <f t="shared" si="79"/>
        <v>0</v>
      </c>
      <c r="J150" s="56">
        <f t="shared" si="80"/>
        <v>0</v>
      </c>
      <c r="K150" s="57">
        <f t="shared" si="81"/>
        <v>0</v>
      </c>
      <c r="L150"/>
      <c r="M150" s="314">
        <f t="shared" si="71"/>
        <v>0</v>
      </c>
      <c r="N150" s="310"/>
      <c r="O150" s="315"/>
      <c r="P150" s="315"/>
      <c r="Q150" s="315"/>
      <c r="R150" s="315"/>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c r="BP150" s="55"/>
      <c r="BQ150" s="55"/>
      <c r="BR150" s="55"/>
      <c r="BS150" s="55"/>
      <c r="BT150" s="55"/>
      <c r="BU150" s="55"/>
      <c r="BV150" s="55"/>
      <c r="BW150" s="55"/>
      <c r="BX150" s="55"/>
      <c r="BY150" s="55"/>
      <c r="BZ150" s="55"/>
      <c r="CA150" s="55"/>
      <c r="CB150" s="55"/>
      <c r="CC150" s="55"/>
      <c r="CD150" s="55"/>
      <c r="CE150" s="55"/>
      <c r="CF150" s="55"/>
      <c r="CG150" s="55"/>
      <c r="CH150" s="55"/>
      <c r="CI150" s="55"/>
      <c r="CJ150" s="55"/>
      <c r="CK150" s="55"/>
      <c r="CL150" s="55"/>
      <c r="CM150" s="55"/>
      <c r="CN150" s="55"/>
      <c r="CO150" s="55"/>
      <c r="CP150" s="55"/>
      <c r="CQ150" s="55"/>
      <c r="CR150" s="55"/>
      <c r="CS150" s="55"/>
      <c r="CT150" s="55"/>
      <c r="CU150" s="55"/>
      <c r="CV150" s="55"/>
      <c r="CW150" s="55"/>
      <c r="CX150" s="55"/>
      <c r="CY150" s="55"/>
      <c r="CZ150" s="55"/>
      <c r="DA150" s="55"/>
      <c r="DB150" s="55"/>
      <c r="DC150" s="55"/>
      <c r="DD150" s="55"/>
      <c r="DE150" s="55"/>
      <c r="DF150" s="55"/>
      <c r="DG150" s="55"/>
      <c r="DH150" s="55"/>
      <c r="DI150" s="55"/>
    </row>
    <row r="151" spans="1:113" ht="15.75" thickBot="1" x14ac:dyDescent="0.3">
      <c r="A151" s="153">
        <v>5</v>
      </c>
      <c r="B151" s="144" t="s">
        <v>194</v>
      </c>
      <c r="C151" s="82">
        <v>16500</v>
      </c>
      <c r="D151" s="145">
        <v>4036.8</v>
      </c>
      <c r="E151" s="154">
        <v>0</v>
      </c>
      <c r="F151" s="154"/>
      <c r="G151" s="147">
        <f t="shared" si="78"/>
        <v>0</v>
      </c>
      <c r="H151" s="55">
        <f>500-500</f>
        <v>0</v>
      </c>
      <c r="I151" s="64">
        <f t="shared" si="79"/>
        <v>0</v>
      </c>
      <c r="J151" s="64">
        <f t="shared" si="80"/>
        <v>0</v>
      </c>
      <c r="K151" s="65">
        <f t="shared" si="81"/>
        <v>0</v>
      </c>
      <c r="L151"/>
      <c r="M151" s="314">
        <f t="shared" si="71"/>
        <v>0</v>
      </c>
      <c r="N151" s="310"/>
      <c r="O151" s="315"/>
      <c r="P151" s="315"/>
      <c r="Q151" s="315"/>
      <c r="R151" s="315"/>
      <c r="S151" s="5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c r="BM151" s="55"/>
      <c r="BN151" s="55"/>
      <c r="BO151" s="55"/>
      <c r="BP151" s="55"/>
      <c r="BQ151" s="55"/>
      <c r="BR151" s="55"/>
      <c r="BS151" s="55"/>
      <c r="BT151" s="55"/>
      <c r="BU151" s="55"/>
      <c r="BV151" s="55"/>
      <c r="BW151" s="55"/>
      <c r="BX151" s="55"/>
      <c r="BY151" s="55"/>
      <c r="BZ151" s="55"/>
      <c r="CA151" s="55"/>
      <c r="CB151" s="55"/>
      <c r="CC151" s="55"/>
      <c r="CD151" s="55"/>
      <c r="CE151" s="55"/>
      <c r="CF151" s="55"/>
      <c r="CG151" s="55"/>
      <c r="CH151" s="55"/>
      <c r="CI151" s="55"/>
      <c r="CJ151" s="55"/>
      <c r="CK151" s="55"/>
      <c r="CL151" s="55"/>
      <c r="CM151" s="55"/>
      <c r="CN151" s="55"/>
      <c r="CO151" s="55"/>
      <c r="CP151" s="55"/>
      <c r="CQ151" s="55"/>
      <c r="CR151" s="55"/>
      <c r="CS151" s="55"/>
      <c r="CT151" s="55"/>
      <c r="CU151" s="55"/>
      <c r="CV151" s="55"/>
      <c r="CW151" s="55"/>
      <c r="CX151" s="55"/>
      <c r="CY151" s="55"/>
      <c r="CZ151" s="55"/>
      <c r="DA151" s="55"/>
      <c r="DB151" s="55"/>
      <c r="DC151" s="55"/>
      <c r="DD151" s="55"/>
      <c r="DE151" s="55"/>
      <c r="DF151" s="55"/>
      <c r="DG151" s="55"/>
      <c r="DH151" s="55"/>
      <c r="DI151" s="55"/>
    </row>
    <row r="152" spans="1:113" ht="15.75" thickBot="1" x14ac:dyDescent="0.3">
      <c r="A152" s="128"/>
      <c r="B152" s="119" t="s">
        <v>673</v>
      </c>
      <c r="C152" s="36"/>
      <c r="D152" s="36"/>
      <c r="E152" s="29">
        <f>SUM(E147:E151)</f>
        <v>200</v>
      </c>
      <c r="F152" s="29"/>
      <c r="G152" s="29">
        <f>SUM(G147:G151)</f>
        <v>200</v>
      </c>
      <c r="H152" s="29">
        <f>SUM(H147:H151)</f>
        <v>0</v>
      </c>
      <c r="I152" s="29">
        <f>SUM(I147:I151)</f>
        <v>200</v>
      </c>
      <c r="J152" s="29">
        <f t="shared" ref="J152:K152" si="82">SUM(J147:J151)</f>
        <v>1800000</v>
      </c>
      <c r="K152" s="47">
        <f t="shared" si="82"/>
        <v>854026</v>
      </c>
      <c r="L152"/>
      <c r="M152" s="322">
        <f t="shared" si="71"/>
        <v>0</v>
      </c>
      <c r="N152" s="325"/>
      <c r="O152" s="325"/>
      <c r="P152" s="325"/>
      <c r="Q152" s="325"/>
      <c r="R152" s="325"/>
      <c r="S152" s="324"/>
      <c r="T152" s="324"/>
      <c r="U152" s="324"/>
      <c r="V152" s="324"/>
      <c r="W152" s="324"/>
      <c r="X152" s="324"/>
      <c r="Y152" s="324"/>
      <c r="Z152" s="324"/>
      <c r="AA152" s="324"/>
      <c r="AB152" s="324"/>
      <c r="AC152" s="324"/>
      <c r="AD152" s="324"/>
      <c r="AE152" s="324"/>
      <c r="AF152" s="324"/>
      <c r="AG152" s="324"/>
      <c r="AH152" s="324"/>
      <c r="AI152" s="324"/>
      <c r="AJ152" s="324"/>
      <c r="AK152" s="324"/>
      <c r="AL152" s="324"/>
      <c r="AM152" s="324"/>
      <c r="AN152" s="324"/>
      <c r="AO152" s="324"/>
      <c r="AP152" s="324"/>
      <c r="AQ152" s="324"/>
      <c r="AR152" s="324"/>
      <c r="AS152" s="324"/>
      <c r="AT152" s="324"/>
      <c r="AU152" s="324"/>
      <c r="AV152" s="324"/>
      <c r="AW152" s="324"/>
      <c r="AX152" s="324"/>
      <c r="AY152" s="324"/>
      <c r="AZ152" s="324"/>
      <c r="BA152" s="324"/>
      <c r="BB152" s="324"/>
      <c r="BC152" s="324"/>
      <c r="BD152" s="324"/>
      <c r="BE152" s="324"/>
      <c r="BF152" s="324"/>
      <c r="BG152" s="324"/>
      <c r="BH152" s="324"/>
      <c r="BI152" s="324"/>
      <c r="BJ152" s="324"/>
      <c r="BK152" s="324"/>
      <c r="BL152" s="324"/>
      <c r="BM152" s="324"/>
      <c r="BN152" s="324"/>
      <c r="BO152" s="324"/>
      <c r="BP152" s="324"/>
      <c r="BQ152" s="324"/>
      <c r="BR152" s="324"/>
      <c r="BS152" s="324"/>
      <c r="BT152" s="324"/>
      <c r="BU152" s="324"/>
      <c r="BV152" s="324"/>
      <c r="BW152" s="324"/>
      <c r="BX152" s="324"/>
      <c r="BY152" s="324"/>
      <c r="BZ152" s="324"/>
      <c r="CA152" s="324"/>
      <c r="CB152" s="324"/>
      <c r="CC152" s="324"/>
      <c r="CD152" s="324"/>
      <c r="CE152" s="324"/>
      <c r="CF152" s="324"/>
      <c r="CG152" s="324"/>
      <c r="CH152" s="324"/>
      <c r="CI152" s="324"/>
      <c r="CJ152" s="324"/>
      <c r="CK152" s="324"/>
      <c r="CL152" s="324"/>
      <c r="CM152" s="324"/>
      <c r="CN152" s="324"/>
      <c r="CO152" s="324"/>
      <c r="CP152" s="324"/>
      <c r="CQ152" s="324"/>
      <c r="CR152" s="324"/>
      <c r="CS152" s="324"/>
      <c r="CT152" s="324"/>
      <c r="CU152" s="324"/>
      <c r="CV152" s="324"/>
      <c r="CW152" s="324"/>
      <c r="CX152" s="324"/>
      <c r="CY152" s="324"/>
      <c r="CZ152" s="324"/>
      <c r="DA152" s="324"/>
      <c r="DB152" s="324"/>
      <c r="DC152" s="324"/>
      <c r="DD152" s="324"/>
      <c r="DE152" s="324"/>
      <c r="DF152" s="324"/>
      <c r="DG152" s="324"/>
      <c r="DH152" s="324"/>
      <c r="DI152" s="324"/>
    </row>
    <row r="153" spans="1:113" customFormat="1" ht="15.75" thickBot="1" x14ac:dyDescent="0.3"/>
    <row r="154" spans="1:113" ht="15.75" thickBot="1" x14ac:dyDescent="0.3">
      <c r="A154" s="407" t="s">
        <v>657</v>
      </c>
      <c r="B154" s="414" t="s">
        <v>708</v>
      </c>
      <c r="C154" s="414" t="s">
        <v>1</v>
      </c>
      <c r="D154" s="415" t="s">
        <v>649</v>
      </c>
      <c r="E154" s="416" t="s">
        <v>19</v>
      </c>
      <c r="F154" s="416"/>
      <c r="G154" s="416"/>
      <c r="H154" s="416"/>
      <c r="I154" s="416"/>
      <c r="J154" s="410" t="s">
        <v>21</v>
      </c>
      <c r="K154" s="417" t="s">
        <v>602</v>
      </c>
      <c r="L154"/>
      <c r="M154" s="400" t="s">
        <v>601</v>
      </c>
      <c r="N154" s="404" t="s">
        <v>924</v>
      </c>
      <c r="O154" s="405"/>
      <c r="P154" s="405"/>
      <c r="Q154" s="405"/>
      <c r="R154" s="405"/>
      <c r="S154" s="405"/>
      <c r="T154" s="405"/>
      <c r="U154" s="405"/>
      <c r="V154" s="405"/>
      <c r="W154" s="405"/>
      <c r="X154" s="405"/>
      <c r="Y154" s="405"/>
      <c r="Z154" s="405"/>
      <c r="AA154" s="405"/>
      <c r="AB154" s="405"/>
      <c r="AC154" s="405"/>
      <c r="AD154" s="405"/>
      <c r="AE154" s="405"/>
      <c r="AF154" s="405"/>
      <c r="AG154" s="405"/>
      <c r="AH154" s="405"/>
      <c r="AI154" s="405"/>
      <c r="AJ154" s="405"/>
      <c r="AK154" s="405"/>
      <c r="AL154" s="405"/>
      <c r="AM154" s="405"/>
      <c r="AN154" s="405"/>
      <c r="AO154" s="405"/>
      <c r="AP154" s="405"/>
      <c r="AQ154" s="405"/>
      <c r="AR154" s="405"/>
      <c r="AS154" s="405"/>
      <c r="AT154" s="405"/>
      <c r="AU154" s="405"/>
      <c r="AV154" s="405"/>
      <c r="AW154" s="405"/>
      <c r="AX154" s="405"/>
      <c r="AY154" s="405"/>
      <c r="AZ154" s="405"/>
      <c r="BA154" s="405"/>
      <c r="BB154" s="405"/>
      <c r="BC154" s="405"/>
      <c r="BD154" s="405"/>
      <c r="BE154" s="405"/>
      <c r="BF154" s="405"/>
      <c r="BG154" s="405"/>
      <c r="BH154" s="405"/>
      <c r="BI154" s="405"/>
      <c r="BJ154" s="405"/>
      <c r="BK154" s="405"/>
      <c r="BL154" s="405"/>
      <c r="BM154" s="405"/>
      <c r="BN154" s="405"/>
      <c r="BO154" s="405"/>
      <c r="BP154" s="405"/>
      <c r="BQ154" s="405"/>
      <c r="BR154" s="405"/>
      <c r="BS154" s="405"/>
      <c r="BT154" s="405"/>
      <c r="BU154" s="405"/>
      <c r="BV154" s="405"/>
      <c r="BW154" s="405"/>
      <c r="BX154" s="405"/>
      <c r="BY154" s="405"/>
      <c r="BZ154" s="405"/>
      <c r="CA154" s="405"/>
      <c r="CB154" s="405"/>
      <c r="CC154" s="405"/>
      <c r="CD154" s="405"/>
      <c r="CE154" s="405"/>
      <c r="CF154" s="405"/>
      <c r="CG154" s="405"/>
      <c r="CH154" s="405"/>
      <c r="CI154" s="405"/>
      <c r="CJ154" s="405"/>
      <c r="CK154" s="405"/>
      <c r="CL154" s="405"/>
      <c r="CM154" s="405"/>
      <c r="CN154" s="405"/>
      <c r="CO154" s="405"/>
      <c r="CP154" s="405"/>
      <c r="CQ154" s="405"/>
      <c r="CR154" s="405"/>
      <c r="CS154" s="405"/>
      <c r="CT154" s="405"/>
      <c r="CU154" s="405"/>
      <c r="CV154" s="405"/>
      <c r="CW154" s="405"/>
      <c r="CX154" s="405"/>
      <c r="CY154" s="405"/>
      <c r="CZ154" s="405"/>
      <c r="DA154" s="405"/>
      <c r="DB154" s="405"/>
      <c r="DC154" s="405"/>
      <c r="DD154" s="405"/>
      <c r="DE154" s="405"/>
      <c r="DF154" s="405"/>
      <c r="DG154" s="405"/>
      <c r="DH154" s="405"/>
      <c r="DI154" s="406"/>
    </row>
    <row r="155" spans="1:113" ht="15.75" thickBot="1" x14ac:dyDescent="0.3">
      <c r="A155" s="408"/>
      <c r="B155" s="414"/>
      <c r="C155" s="414"/>
      <c r="D155" s="415"/>
      <c r="E155" s="68" t="s">
        <v>22</v>
      </c>
      <c r="F155" s="68" t="s">
        <v>600</v>
      </c>
      <c r="G155" s="68" t="s">
        <v>601</v>
      </c>
      <c r="H155" s="68" t="s">
        <v>589</v>
      </c>
      <c r="I155" s="68" t="s">
        <v>601</v>
      </c>
      <c r="J155" s="411"/>
      <c r="K155" s="418"/>
      <c r="L155"/>
      <c r="M155" s="401"/>
      <c r="N155" s="400" t="s">
        <v>925</v>
      </c>
      <c r="O155" s="400" t="s">
        <v>926</v>
      </c>
      <c r="P155" s="400"/>
      <c r="Q155" s="400"/>
      <c r="R155" s="400"/>
      <c r="S155" s="398"/>
      <c r="T155" s="398"/>
      <c r="U155" s="398"/>
      <c r="V155" s="398"/>
      <c r="W155" s="398"/>
      <c r="X155" s="398"/>
      <c r="Y155" s="398"/>
      <c r="Z155" s="398"/>
      <c r="AA155" s="398"/>
      <c r="AB155" s="398"/>
      <c r="AC155" s="398"/>
      <c r="AD155" s="398"/>
      <c r="AE155" s="398"/>
      <c r="AF155" s="398"/>
      <c r="AG155" s="398"/>
      <c r="AH155" s="398"/>
      <c r="AI155" s="398"/>
      <c r="AJ155" s="398"/>
      <c r="AK155" s="398"/>
      <c r="AL155" s="398"/>
      <c r="AM155" s="398"/>
      <c r="AN155" s="398"/>
      <c r="AO155" s="398"/>
      <c r="AP155" s="398"/>
      <c r="AQ155" s="398"/>
      <c r="AR155" s="398"/>
      <c r="AS155" s="398"/>
      <c r="AT155" s="398"/>
      <c r="AU155" s="398"/>
      <c r="AV155" s="398"/>
      <c r="AW155" s="398"/>
      <c r="AX155" s="398"/>
      <c r="AY155" s="398"/>
      <c r="AZ155" s="398"/>
      <c r="BA155" s="398"/>
      <c r="BB155" s="398"/>
      <c r="BC155" s="398"/>
      <c r="BD155" s="398"/>
      <c r="BE155" s="398"/>
      <c r="BF155" s="398"/>
      <c r="BG155" s="398"/>
      <c r="BH155" s="398"/>
      <c r="BI155" s="398"/>
      <c r="BJ155" s="398"/>
      <c r="BK155" s="398"/>
      <c r="BL155" s="398"/>
      <c r="BM155" s="398"/>
      <c r="BN155" s="398"/>
      <c r="BO155" s="398"/>
      <c r="BP155" s="398"/>
      <c r="BQ155" s="398"/>
      <c r="BR155" s="398"/>
      <c r="BS155" s="398"/>
      <c r="BT155" s="398"/>
      <c r="BU155" s="398"/>
      <c r="BV155" s="398"/>
      <c r="BW155" s="398"/>
      <c r="BX155" s="398"/>
      <c r="BY155" s="398"/>
      <c r="BZ155" s="398"/>
      <c r="CA155" s="398"/>
      <c r="CB155" s="398"/>
      <c r="CC155" s="398"/>
      <c r="CD155" s="398"/>
      <c r="CE155" s="398"/>
      <c r="CF155" s="398"/>
      <c r="CG155" s="398"/>
      <c r="CH155" s="398"/>
      <c r="CI155" s="398"/>
      <c r="CJ155" s="398"/>
      <c r="CK155" s="398"/>
      <c r="CL155" s="398"/>
      <c r="CM155" s="398"/>
      <c r="CN155" s="398"/>
      <c r="CO155" s="398"/>
      <c r="CP155" s="398"/>
      <c r="CQ155" s="398"/>
      <c r="CR155" s="398"/>
      <c r="CS155" s="398"/>
      <c r="CT155" s="398"/>
      <c r="CU155" s="398"/>
      <c r="CV155" s="398"/>
      <c r="CW155" s="398"/>
      <c r="CX155" s="398"/>
      <c r="CY155" s="398"/>
      <c r="CZ155" s="398"/>
      <c r="DA155" s="398"/>
      <c r="DB155" s="398"/>
      <c r="DC155" s="398"/>
      <c r="DD155" s="398"/>
      <c r="DE155" s="398"/>
      <c r="DF155" s="398"/>
      <c r="DG155" s="398"/>
      <c r="DH155" s="398"/>
      <c r="DI155" s="398"/>
    </row>
    <row r="156" spans="1:113" ht="15.75" thickBot="1" x14ac:dyDescent="0.3">
      <c r="A156" s="409"/>
      <c r="B156" s="168">
        <v>1</v>
      </c>
      <c r="C156" s="168">
        <v>2</v>
      </c>
      <c r="D156" s="168">
        <v>3</v>
      </c>
      <c r="E156" s="70">
        <v>4</v>
      </c>
      <c r="F156" s="70">
        <f>+E156+1</f>
        <v>5</v>
      </c>
      <c r="G156" s="70" t="s">
        <v>652</v>
      </c>
      <c r="H156" s="70">
        <v>7</v>
      </c>
      <c r="I156" s="71" t="s">
        <v>651</v>
      </c>
      <c r="J156" s="42" t="s">
        <v>650</v>
      </c>
      <c r="K156" s="42" t="s">
        <v>653</v>
      </c>
      <c r="L156"/>
      <c r="M156" s="402"/>
      <c r="N156" s="402"/>
      <c r="O156" s="402"/>
      <c r="P156" s="402"/>
      <c r="Q156" s="402"/>
      <c r="R156" s="402"/>
      <c r="S156" s="399"/>
      <c r="T156" s="399"/>
      <c r="U156" s="399"/>
      <c r="V156" s="399"/>
      <c r="W156" s="399"/>
      <c r="X156" s="399"/>
      <c r="Y156" s="399"/>
      <c r="Z156" s="399"/>
      <c r="AA156" s="399"/>
      <c r="AB156" s="399"/>
      <c r="AC156" s="399"/>
      <c r="AD156" s="399"/>
      <c r="AE156" s="399"/>
      <c r="AF156" s="399"/>
      <c r="AG156" s="399"/>
      <c r="AH156" s="399"/>
      <c r="AI156" s="399"/>
      <c r="AJ156" s="399"/>
      <c r="AK156" s="399"/>
      <c r="AL156" s="399"/>
      <c r="AM156" s="399"/>
      <c r="AN156" s="399"/>
      <c r="AO156" s="399"/>
      <c r="AP156" s="399"/>
      <c r="AQ156" s="399"/>
      <c r="AR156" s="399"/>
      <c r="AS156" s="399"/>
      <c r="AT156" s="399"/>
      <c r="AU156" s="399"/>
      <c r="AV156" s="399"/>
      <c r="AW156" s="399"/>
      <c r="AX156" s="399"/>
      <c r="AY156" s="399"/>
      <c r="AZ156" s="399"/>
      <c r="BA156" s="399"/>
      <c r="BB156" s="399"/>
      <c r="BC156" s="399"/>
      <c r="BD156" s="399"/>
      <c r="BE156" s="399"/>
      <c r="BF156" s="399"/>
      <c r="BG156" s="399"/>
      <c r="BH156" s="399"/>
      <c r="BI156" s="399"/>
      <c r="BJ156" s="399"/>
      <c r="BK156" s="399"/>
      <c r="BL156" s="399"/>
      <c r="BM156" s="399"/>
      <c r="BN156" s="399"/>
      <c r="BO156" s="399"/>
      <c r="BP156" s="399"/>
      <c r="BQ156" s="399"/>
      <c r="BR156" s="399"/>
      <c r="BS156" s="399"/>
      <c r="BT156" s="399"/>
      <c r="BU156" s="399"/>
      <c r="BV156" s="399"/>
      <c r="BW156" s="399"/>
      <c r="BX156" s="399"/>
      <c r="BY156" s="399"/>
      <c r="BZ156" s="399"/>
      <c r="CA156" s="399"/>
      <c r="CB156" s="399"/>
      <c r="CC156" s="399"/>
      <c r="CD156" s="399"/>
      <c r="CE156" s="399"/>
      <c r="CF156" s="399"/>
      <c r="CG156" s="399"/>
      <c r="CH156" s="399"/>
      <c r="CI156" s="399"/>
      <c r="CJ156" s="399"/>
      <c r="CK156" s="399"/>
      <c r="CL156" s="399"/>
      <c r="CM156" s="399"/>
      <c r="CN156" s="399"/>
      <c r="CO156" s="399"/>
      <c r="CP156" s="399"/>
      <c r="CQ156" s="399"/>
      <c r="CR156" s="399"/>
      <c r="CS156" s="399"/>
      <c r="CT156" s="399"/>
      <c r="CU156" s="399"/>
      <c r="CV156" s="399"/>
      <c r="CW156" s="399"/>
      <c r="CX156" s="399"/>
      <c r="CY156" s="399"/>
      <c r="CZ156" s="399"/>
      <c r="DA156" s="399"/>
      <c r="DB156" s="399"/>
      <c r="DC156" s="399"/>
      <c r="DD156" s="399"/>
      <c r="DE156" s="399"/>
      <c r="DF156" s="399"/>
      <c r="DG156" s="399"/>
      <c r="DH156" s="399"/>
      <c r="DI156" s="399"/>
    </row>
    <row r="157" spans="1:113" x14ac:dyDescent="0.25">
      <c r="A157" s="160"/>
      <c r="B157" s="72" t="s">
        <v>706</v>
      </c>
      <c r="C157" s="54"/>
      <c r="D157" s="54"/>
      <c r="E157" s="54"/>
      <c r="F157" s="54"/>
      <c r="G157" s="54"/>
      <c r="H157" s="54"/>
      <c r="I157" s="54"/>
      <c r="J157" s="54"/>
      <c r="K157" s="54"/>
      <c r="L157"/>
      <c r="M157" s="314">
        <f t="shared" si="71"/>
        <v>0</v>
      </c>
      <c r="N157" s="310"/>
      <c r="O157" s="315"/>
      <c r="P157" s="315"/>
      <c r="Q157" s="315"/>
      <c r="R157" s="315"/>
      <c r="S157" s="55"/>
      <c r="T157" s="55"/>
      <c r="U157" s="55"/>
      <c r="V157" s="55"/>
      <c r="W157" s="55"/>
      <c r="X157" s="55"/>
      <c r="Y157" s="55"/>
      <c r="Z157" s="55"/>
      <c r="AA157" s="55"/>
      <c r="AB157" s="55"/>
      <c r="AC157" s="55"/>
      <c r="AD157" s="55"/>
      <c r="AE157" s="55"/>
      <c r="AF157" s="55"/>
      <c r="AG157" s="55"/>
      <c r="AH157" s="55"/>
      <c r="AI157" s="55"/>
      <c r="AJ157" s="55"/>
      <c r="AK157" s="55"/>
      <c r="AL157" s="55"/>
      <c r="AM157" s="55"/>
      <c r="AN157" s="55"/>
      <c r="AO157" s="55"/>
      <c r="AP157" s="55"/>
      <c r="AQ157" s="55"/>
      <c r="AR157" s="55"/>
      <c r="AS157" s="55"/>
      <c r="AT157" s="55"/>
      <c r="AU157" s="55"/>
      <c r="AV157" s="55"/>
      <c r="AW157" s="55"/>
      <c r="AX157" s="55"/>
      <c r="AY157" s="55"/>
      <c r="AZ157" s="55"/>
      <c r="BA157" s="55"/>
      <c r="BB157" s="55"/>
      <c r="BC157" s="55"/>
      <c r="BD157" s="55"/>
      <c r="BE157" s="55"/>
      <c r="BF157" s="55"/>
      <c r="BG157" s="55"/>
      <c r="BH157" s="55"/>
      <c r="BI157" s="55"/>
      <c r="BJ157" s="55"/>
      <c r="BK157" s="55"/>
      <c r="BL157" s="55"/>
      <c r="BM157" s="55"/>
      <c r="BN157" s="55"/>
      <c r="BO157" s="55"/>
      <c r="BP157" s="55"/>
      <c r="BQ157" s="55"/>
      <c r="BR157" s="55"/>
      <c r="BS157" s="55"/>
      <c r="BT157" s="55"/>
      <c r="BU157" s="55"/>
      <c r="BV157" s="55"/>
      <c r="BW157" s="55"/>
      <c r="BX157" s="55"/>
      <c r="BY157" s="55"/>
      <c r="BZ157" s="55"/>
      <c r="CA157" s="55"/>
      <c r="CB157" s="55"/>
      <c r="CC157" s="55"/>
      <c r="CD157" s="55"/>
      <c r="CE157" s="55"/>
      <c r="CF157" s="55"/>
      <c r="CG157" s="55"/>
      <c r="CH157" s="55"/>
      <c r="CI157" s="55"/>
      <c r="CJ157" s="55"/>
      <c r="CK157" s="55"/>
      <c r="CL157" s="55"/>
      <c r="CM157" s="55"/>
      <c r="CN157" s="55"/>
      <c r="CO157" s="55"/>
      <c r="CP157" s="55"/>
      <c r="CQ157" s="55"/>
      <c r="CR157" s="55"/>
      <c r="CS157" s="55"/>
      <c r="CT157" s="55"/>
      <c r="CU157" s="55"/>
      <c r="CV157" s="55"/>
      <c r="CW157" s="55"/>
      <c r="CX157" s="55"/>
      <c r="CY157" s="55"/>
      <c r="CZ157" s="55"/>
      <c r="DA157" s="55"/>
      <c r="DB157" s="55"/>
      <c r="DC157" s="55"/>
      <c r="DD157" s="55"/>
      <c r="DE157" s="55"/>
      <c r="DF157" s="55"/>
      <c r="DG157" s="55"/>
      <c r="DH157" s="55"/>
      <c r="DI157" s="55"/>
    </row>
    <row r="158" spans="1:113" x14ac:dyDescent="0.25">
      <c r="A158" s="152">
        <v>1</v>
      </c>
      <c r="B158" s="79" t="s">
        <v>195</v>
      </c>
      <c r="C158" s="80">
        <v>17000</v>
      </c>
      <c r="D158" s="142">
        <v>1175.8699999999999</v>
      </c>
      <c r="E158" s="43">
        <v>700</v>
      </c>
      <c r="F158" s="43"/>
      <c r="G158" s="139">
        <f t="shared" ref="G158:G161" si="83">+E158+F158</f>
        <v>700</v>
      </c>
      <c r="H158" s="55">
        <v>500</v>
      </c>
      <c r="I158" s="56">
        <f t="shared" ref="I158:I161" si="84">+G158-H158</f>
        <v>200</v>
      </c>
      <c r="J158" s="56">
        <f t="shared" ref="J158:J161" si="85">I158*C158</f>
        <v>3400000</v>
      </c>
      <c r="K158" s="57">
        <f t="shared" ref="K158:K161" si="86">+D158*I158</f>
        <v>235173.99999999997</v>
      </c>
      <c r="L158"/>
      <c r="M158" s="314">
        <f t="shared" si="71"/>
        <v>0</v>
      </c>
      <c r="N158" s="310"/>
      <c r="O158" s="315"/>
      <c r="P158" s="315"/>
      <c r="Q158" s="315"/>
      <c r="R158" s="315"/>
      <c r="S158" s="55"/>
      <c r="T158" s="55"/>
      <c r="U158" s="55"/>
      <c r="V158" s="55"/>
      <c r="W158" s="55"/>
      <c r="X158" s="55"/>
      <c r="Y158" s="55"/>
      <c r="Z158" s="55"/>
      <c r="AA158" s="55"/>
      <c r="AB158" s="55"/>
      <c r="AC158" s="55"/>
      <c r="AD158" s="55"/>
      <c r="AE158" s="55"/>
      <c r="AF158" s="55"/>
      <c r="AG158" s="55"/>
      <c r="AH158" s="55"/>
      <c r="AI158" s="55"/>
      <c r="AJ158" s="55"/>
      <c r="AK158" s="55"/>
      <c r="AL158" s="55"/>
      <c r="AM158" s="55"/>
      <c r="AN158" s="55"/>
      <c r="AO158" s="55"/>
      <c r="AP158" s="55"/>
      <c r="AQ158" s="55"/>
      <c r="AR158" s="55"/>
      <c r="AS158" s="55"/>
      <c r="AT158" s="55"/>
      <c r="AU158" s="55"/>
      <c r="AV158" s="55"/>
      <c r="AW158" s="55"/>
      <c r="AX158" s="55"/>
      <c r="AY158" s="55"/>
      <c r="AZ158" s="55"/>
      <c r="BA158" s="55"/>
      <c r="BB158" s="55"/>
      <c r="BC158" s="55"/>
      <c r="BD158" s="55"/>
      <c r="BE158" s="55"/>
      <c r="BF158" s="55"/>
      <c r="BG158" s="55"/>
      <c r="BH158" s="55"/>
      <c r="BI158" s="55"/>
      <c r="BJ158" s="55"/>
      <c r="BK158" s="55"/>
      <c r="BL158" s="55"/>
      <c r="BM158" s="55"/>
      <c r="BN158" s="55"/>
      <c r="BO158" s="55"/>
      <c r="BP158" s="55"/>
      <c r="BQ158" s="55"/>
      <c r="BR158" s="55"/>
      <c r="BS158" s="55"/>
      <c r="BT158" s="55"/>
      <c r="BU158" s="55"/>
      <c r="BV158" s="55"/>
      <c r="BW158" s="55"/>
      <c r="BX158" s="55"/>
      <c r="BY158" s="55"/>
      <c r="BZ158" s="55"/>
      <c r="CA158" s="55"/>
      <c r="CB158" s="55"/>
      <c r="CC158" s="55"/>
      <c r="CD158" s="55"/>
      <c r="CE158" s="55"/>
      <c r="CF158" s="55"/>
      <c r="CG158" s="55"/>
      <c r="CH158" s="55"/>
      <c r="CI158" s="55"/>
      <c r="CJ158" s="55"/>
      <c r="CK158" s="55"/>
      <c r="CL158" s="55"/>
      <c r="CM158" s="55"/>
      <c r="CN158" s="55"/>
      <c r="CO158" s="55"/>
      <c r="CP158" s="55"/>
      <c r="CQ158" s="55"/>
      <c r="CR158" s="55"/>
      <c r="CS158" s="55"/>
      <c r="CT158" s="55"/>
      <c r="CU158" s="55"/>
      <c r="CV158" s="55"/>
      <c r="CW158" s="55"/>
      <c r="CX158" s="55"/>
      <c r="CY158" s="55"/>
      <c r="CZ158" s="55"/>
      <c r="DA158" s="55"/>
      <c r="DB158" s="55"/>
      <c r="DC158" s="55"/>
      <c r="DD158" s="55"/>
      <c r="DE158" s="55"/>
      <c r="DF158" s="55"/>
      <c r="DG158" s="55"/>
      <c r="DH158" s="55"/>
      <c r="DI158" s="55"/>
    </row>
    <row r="159" spans="1:113" x14ac:dyDescent="0.25">
      <c r="A159" s="152">
        <v>2</v>
      </c>
      <c r="B159" s="79" t="s">
        <v>196</v>
      </c>
      <c r="C159" s="80">
        <v>9500</v>
      </c>
      <c r="D159" s="142">
        <v>1216.3800000000001</v>
      </c>
      <c r="E159" s="43">
        <v>0</v>
      </c>
      <c r="F159" s="43"/>
      <c r="G159" s="139">
        <f t="shared" si="83"/>
        <v>0</v>
      </c>
      <c r="H159" s="55">
        <f>5000-5000</f>
        <v>0</v>
      </c>
      <c r="I159" s="56">
        <f t="shared" si="84"/>
        <v>0</v>
      </c>
      <c r="J159" s="56">
        <f t="shared" si="85"/>
        <v>0</v>
      </c>
      <c r="K159" s="57">
        <f t="shared" si="86"/>
        <v>0</v>
      </c>
      <c r="L159"/>
      <c r="M159" s="320">
        <f>SUM(N159:DJ159)</f>
        <v>0</v>
      </c>
      <c r="N159" s="311"/>
      <c r="O159" s="319"/>
      <c r="P159" s="319"/>
      <c r="Q159" s="319"/>
      <c r="R159" s="319"/>
      <c r="S159" s="317"/>
      <c r="T159" s="317"/>
      <c r="U159" s="317"/>
      <c r="V159" s="317"/>
      <c r="W159" s="317"/>
      <c r="X159" s="317"/>
      <c r="Y159" s="317"/>
      <c r="Z159" s="317"/>
      <c r="AA159" s="317"/>
      <c r="AB159" s="317"/>
      <c r="AC159" s="317"/>
      <c r="AD159" s="317"/>
      <c r="AE159" s="317"/>
      <c r="AF159" s="317"/>
      <c r="AG159" s="317"/>
      <c r="AH159" s="317"/>
      <c r="AI159" s="317"/>
      <c r="AJ159" s="317"/>
      <c r="AK159" s="317"/>
      <c r="AL159" s="317"/>
      <c r="AM159" s="317"/>
      <c r="AN159" s="317"/>
      <c r="AO159" s="317"/>
      <c r="AP159" s="317"/>
      <c r="AQ159" s="317"/>
      <c r="AR159" s="317"/>
      <c r="AS159" s="317"/>
      <c r="AT159" s="317"/>
      <c r="AU159" s="317"/>
      <c r="AV159" s="317"/>
      <c r="AW159" s="317"/>
      <c r="AX159" s="317"/>
      <c r="AY159" s="317"/>
      <c r="AZ159" s="317"/>
      <c r="BA159" s="317"/>
      <c r="BB159" s="317"/>
      <c r="BC159" s="317"/>
      <c r="BD159" s="317"/>
      <c r="BE159" s="317"/>
      <c r="BF159" s="317"/>
      <c r="BG159" s="317"/>
      <c r="BH159" s="317"/>
      <c r="BI159" s="317"/>
      <c r="BJ159" s="317"/>
      <c r="BK159" s="317"/>
      <c r="BL159" s="317"/>
      <c r="BM159" s="317"/>
      <c r="BN159" s="317"/>
      <c r="BO159" s="317"/>
      <c r="BP159" s="317"/>
      <c r="BQ159" s="317"/>
      <c r="BR159" s="317"/>
      <c r="BS159" s="317"/>
      <c r="BT159" s="317"/>
      <c r="BU159" s="317"/>
      <c r="BV159" s="317"/>
      <c r="BW159" s="317"/>
      <c r="BX159" s="317"/>
      <c r="BY159" s="317"/>
      <c r="BZ159" s="317"/>
      <c r="CA159" s="317"/>
      <c r="CB159" s="317"/>
      <c r="CC159" s="317"/>
      <c r="CD159" s="317"/>
      <c r="CE159" s="317"/>
      <c r="CF159" s="317"/>
      <c r="CG159" s="317"/>
      <c r="CH159" s="317"/>
      <c r="CI159" s="317"/>
      <c r="CJ159" s="317"/>
      <c r="CK159" s="317"/>
      <c r="CL159" s="317"/>
      <c r="CM159" s="317"/>
      <c r="CN159" s="317"/>
      <c r="CO159" s="317"/>
      <c r="CP159" s="317"/>
      <c r="CQ159" s="317"/>
      <c r="CR159" s="317"/>
      <c r="CS159" s="317"/>
      <c r="CT159" s="317"/>
      <c r="CU159" s="317"/>
      <c r="CV159" s="317"/>
      <c r="CW159" s="317"/>
      <c r="CX159" s="317"/>
      <c r="CY159" s="317"/>
      <c r="CZ159" s="317"/>
      <c r="DA159" s="317"/>
      <c r="DB159" s="317"/>
      <c r="DC159" s="317"/>
      <c r="DD159" s="317"/>
      <c r="DE159" s="317"/>
      <c r="DF159" s="317"/>
      <c r="DG159" s="317"/>
      <c r="DH159" s="317"/>
      <c r="DI159" s="317"/>
    </row>
    <row r="160" spans="1:113" x14ac:dyDescent="0.25">
      <c r="A160" s="152">
        <v>3</v>
      </c>
      <c r="B160" s="79" t="s">
        <v>197</v>
      </c>
      <c r="C160" s="80">
        <v>20000</v>
      </c>
      <c r="D160" s="142">
        <v>1728.55</v>
      </c>
      <c r="E160" s="43">
        <v>0</v>
      </c>
      <c r="F160" s="43"/>
      <c r="G160" s="139">
        <f t="shared" si="83"/>
        <v>0</v>
      </c>
      <c r="H160" s="55">
        <f>1800-1800</f>
        <v>0</v>
      </c>
      <c r="I160" s="56">
        <f t="shared" si="84"/>
        <v>0</v>
      </c>
      <c r="J160" s="56">
        <f t="shared" si="85"/>
        <v>0</v>
      </c>
      <c r="K160" s="57">
        <f t="shared" si="86"/>
        <v>0</v>
      </c>
      <c r="L160"/>
      <c r="M160" s="314">
        <f t="shared" ref="M160:M161" si="87">SUM(N160:DJ160)</f>
        <v>0</v>
      </c>
      <c r="N160" s="310"/>
      <c r="O160" s="315"/>
      <c r="P160" s="315"/>
      <c r="Q160" s="315"/>
      <c r="R160" s="315"/>
      <c r="S160" s="55"/>
      <c r="T160" s="55"/>
      <c r="U160" s="55"/>
      <c r="V160" s="55"/>
      <c r="W160" s="55"/>
      <c r="X160" s="55"/>
      <c r="Y160" s="55"/>
      <c r="Z160" s="55"/>
      <c r="AA160" s="55"/>
      <c r="AB160" s="55"/>
      <c r="AC160" s="55"/>
      <c r="AD160" s="55"/>
      <c r="AE160" s="55"/>
      <c r="AF160" s="55"/>
      <c r="AG160" s="55"/>
      <c r="AH160" s="55"/>
      <c r="AI160" s="55"/>
      <c r="AJ160" s="55"/>
      <c r="AK160" s="55"/>
      <c r="AL160" s="55"/>
      <c r="AM160" s="55"/>
      <c r="AN160" s="55"/>
      <c r="AO160" s="55"/>
      <c r="AP160" s="55"/>
      <c r="AQ160" s="55"/>
      <c r="AR160" s="55"/>
      <c r="AS160" s="55"/>
      <c r="AT160" s="55"/>
      <c r="AU160" s="55"/>
      <c r="AV160" s="55"/>
      <c r="AW160" s="55"/>
      <c r="AX160" s="55"/>
      <c r="AY160" s="55"/>
      <c r="AZ160" s="55"/>
      <c r="BA160" s="55"/>
      <c r="BB160" s="55"/>
      <c r="BC160" s="55"/>
      <c r="BD160" s="55"/>
      <c r="BE160" s="55"/>
      <c r="BF160" s="55"/>
      <c r="BG160" s="55"/>
      <c r="BH160" s="55"/>
      <c r="BI160" s="55"/>
      <c r="BJ160" s="55"/>
      <c r="BK160" s="55"/>
      <c r="BL160" s="55"/>
      <c r="BM160" s="55"/>
      <c r="BN160" s="55"/>
      <c r="BO160" s="55"/>
      <c r="BP160" s="55"/>
      <c r="BQ160" s="55"/>
      <c r="BR160" s="55"/>
      <c r="BS160" s="55"/>
      <c r="BT160" s="55"/>
      <c r="BU160" s="55"/>
      <c r="BV160" s="55"/>
      <c r="BW160" s="55"/>
      <c r="BX160" s="55"/>
      <c r="BY160" s="55"/>
      <c r="BZ160" s="55"/>
      <c r="CA160" s="55"/>
      <c r="CB160" s="55"/>
      <c r="CC160" s="55"/>
      <c r="CD160" s="55"/>
      <c r="CE160" s="55"/>
      <c r="CF160" s="55"/>
      <c r="CG160" s="55"/>
      <c r="CH160" s="55"/>
      <c r="CI160" s="55"/>
      <c r="CJ160" s="55"/>
      <c r="CK160" s="55"/>
      <c r="CL160" s="55"/>
      <c r="CM160" s="55"/>
      <c r="CN160" s="55"/>
      <c r="CO160" s="55"/>
      <c r="CP160" s="55"/>
      <c r="CQ160" s="55"/>
      <c r="CR160" s="55"/>
      <c r="CS160" s="55"/>
      <c r="CT160" s="55"/>
      <c r="CU160" s="55"/>
      <c r="CV160" s="55"/>
      <c r="CW160" s="55"/>
      <c r="CX160" s="55"/>
      <c r="CY160" s="55"/>
      <c r="CZ160" s="55"/>
      <c r="DA160" s="55"/>
      <c r="DB160" s="55"/>
      <c r="DC160" s="55"/>
      <c r="DD160" s="55"/>
      <c r="DE160" s="55"/>
      <c r="DF160" s="55"/>
      <c r="DG160" s="55"/>
      <c r="DH160" s="55"/>
      <c r="DI160" s="55"/>
    </row>
    <row r="161" spans="1:113" ht="15.75" thickBot="1" x14ac:dyDescent="0.3">
      <c r="A161" s="153">
        <v>4</v>
      </c>
      <c r="B161" s="144" t="s">
        <v>198</v>
      </c>
      <c r="C161" s="82">
        <v>20000</v>
      </c>
      <c r="D161" s="145">
        <v>3828.97</v>
      </c>
      <c r="E161" s="154">
        <v>470</v>
      </c>
      <c r="F161" s="154"/>
      <c r="G161" s="147">
        <f t="shared" si="83"/>
        <v>470</v>
      </c>
      <c r="H161" s="58">
        <f>30-30</f>
        <v>0</v>
      </c>
      <c r="I161" s="64">
        <f t="shared" si="84"/>
        <v>470</v>
      </c>
      <c r="J161" s="64">
        <f t="shared" si="85"/>
        <v>9400000</v>
      </c>
      <c r="K161" s="65">
        <f t="shared" si="86"/>
        <v>1799615.9</v>
      </c>
      <c r="L161"/>
      <c r="M161" s="314">
        <f t="shared" si="87"/>
        <v>0</v>
      </c>
      <c r="N161" s="310"/>
      <c r="O161" s="315"/>
      <c r="P161" s="315"/>
      <c r="Q161" s="315"/>
      <c r="R161" s="315"/>
      <c r="S161" s="55"/>
      <c r="T161" s="55"/>
      <c r="U161" s="55"/>
      <c r="V161" s="55"/>
      <c r="W161" s="55"/>
      <c r="X161" s="55"/>
      <c r="Y161" s="55"/>
      <c r="Z161" s="55"/>
      <c r="AA161" s="55"/>
      <c r="AB161" s="55"/>
      <c r="AC161" s="55"/>
      <c r="AD161" s="55"/>
      <c r="AE161" s="55"/>
      <c r="AF161" s="55"/>
      <c r="AG161" s="55"/>
      <c r="AH161" s="55"/>
      <c r="AI161" s="55"/>
      <c r="AJ161" s="55"/>
      <c r="AK161" s="55"/>
      <c r="AL161" s="55"/>
      <c r="AM161" s="55"/>
      <c r="AN161" s="55"/>
      <c r="AO161" s="55"/>
      <c r="AP161" s="55"/>
      <c r="AQ161" s="55"/>
      <c r="AR161" s="55"/>
      <c r="AS161" s="55"/>
      <c r="AT161" s="55"/>
      <c r="AU161" s="55"/>
      <c r="AV161" s="55"/>
      <c r="AW161" s="55"/>
      <c r="AX161" s="55"/>
      <c r="AY161" s="55"/>
      <c r="AZ161" s="55"/>
      <c r="BA161" s="55"/>
      <c r="BB161" s="55"/>
      <c r="BC161" s="55"/>
      <c r="BD161" s="55"/>
      <c r="BE161" s="55"/>
      <c r="BF161" s="55"/>
      <c r="BG161" s="55"/>
      <c r="BH161" s="55"/>
      <c r="BI161" s="55"/>
      <c r="BJ161" s="55"/>
      <c r="BK161" s="55"/>
      <c r="BL161" s="55"/>
      <c r="BM161" s="55"/>
      <c r="BN161" s="55"/>
      <c r="BO161" s="55"/>
      <c r="BP161" s="55"/>
      <c r="BQ161" s="55"/>
      <c r="BR161" s="55"/>
      <c r="BS161" s="55"/>
      <c r="BT161" s="55"/>
      <c r="BU161" s="55"/>
      <c r="BV161" s="55"/>
      <c r="BW161" s="55"/>
      <c r="BX161" s="55"/>
      <c r="BY161" s="55"/>
      <c r="BZ161" s="55"/>
      <c r="CA161" s="55"/>
      <c r="CB161" s="55"/>
      <c r="CC161" s="55"/>
      <c r="CD161" s="55"/>
      <c r="CE161" s="55"/>
      <c r="CF161" s="55"/>
      <c r="CG161" s="55"/>
      <c r="CH161" s="55"/>
      <c r="CI161" s="55"/>
      <c r="CJ161" s="55"/>
      <c r="CK161" s="55"/>
      <c r="CL161" s="55"/>
      <c r="CM161" s="55"/>
      <c r="CN161" s="55"/>
      <c r="CO161" s="55"/>
      <c r="CP161" s="55"/>
      <c r="CQ161" s="55"/>
      <c r="CR161" s="55"/>
      <c r="CS161" s="55"/>
      <c r="CT161" s="55"/>
      <c r="CU161" s="55"/>
      <c r="CV161" s="55"/>
      <c r="CW161" s="55"/>
      <c r="CX161" s="55"/>
      <c r="CY161" s="55"/>
      <c r="CZ161" s="55"/>
      <c r="DA161" s="55"/>
      <c r="DB161" s="55"/>
      <c r="DC161" s="55"/>
      <c r="DD161" s="55"/>
      <c r="DE161" s="55"/>
      <c r="DF161" s="55"/>
      <c r="DG161" s="55"/>
      <c r="DH161" s="55"/>
      <c r="DI161" s="55"/>
    </row>
    <row r="162" spans="1:113" ht="15.75" thickBot="1" x14ac:dyDescent="0.3">
      <c r="A162" s="128"/>
      <c r="B162" s="119" t="s">
        <v>674</v>
      </c>
      <c r="C162" s="36"/>
      <c r="D162" s="36"/>
      <c r="E162" s="29">
        <f>SUM(E158:E161)</f>
        <v>1170</v>
      </c>
      <c r="F162" s="29"/>
      <c r="G162" s="29">
        <f>SUM(G158:G161)</f>
        <v>1170</v>
      </c>
      <c r="H162" s="29">
        <f>SUM(H158:H161)</f>
        <v>500</v>
      </c>
      <c r="I162" s="29">
        <f>SUM(I158:I161)</f>
        <v>670</v>
      </c>
      <c r="J162" s="29">
        <f t="shared" ref="J162:K162" si="88">SUM(J158:J161)</f>
        <v>12800000</v>
      </c>
      <c r="K162" s="47">
        <f t="shared" si="88"/>
        <v>2034789.9</v>
      </c>
      <c r="L162"/>
      <c r="M162" s="326">
        <f>SUM(N162:DJ162)</f>
        <v>0</v>
      </c>
      <c r="N162" s="325"/>
      <c r="O162" s="325"/>
      <c r="P162" s="325"/>
      <c r="Q162" s="325"/>
      <c r="R162" s="325"/>
      <c r="S162" s="324"/>
      <c r="T162" s="324"/>
      <c r="U162" s="324"/>
      <c r="V162" s="324"/>
      <c r="W162" s="324"/>
      <c r="X162" s="324"/>
      <c r="Y162" s="324"/>
      <c r="Z162" s="324"/>
      <c r="AA162" s="324"/>
      <c r="AB162" s="324"/>
      <c r="AC162" s="324"/>
      <c r="AD162" s="324"/>
      <c r="AE162" s="324"/>
      <c r="AF162" s="324"/>
      <c r="AG162" s="324"/>
      <c r="AH162" s="324"/>
      <c r="AI162" s="324"/>
      <c r="AJ162" s="324"/>
      <c r="AK162" s="324"/>
      <c r="AL162" s="324"/>
      <c r="AM162" s="324"/>
      <c r="AN162" s="324"/>
      <c r="AO162" s="324"/>
      <c r="AP162" s="324"/>
      <c r="AQ162" s="324"/>
      <c r="AR162" s="324"/>
      <c r="AS162" s="324"/>
      <c r="AT162" s="324"/>
      <c r="AU162" s="324"/>
      <c r="AV162" s="324"/>
      <c r="AW162" s="324"/>
      <c r="AX162" s="324"/>
      <c r="AY162" s="324"/>
      <c r="AZ162" s="324"/>
      <c r="BA162" s="324"/>
      <c r="BB162" s="324"/>
      <c r="BC162" s="324"/>
      <c r="BD162" s="324"/>
      <c r="BE162" s="324"/>
      <c r="BF162" s="324"/>
      <c r="BG162" s="324"/>
      <c r="BH162" s="324"/>
      <c r="BI162" s="324"/>
      <c r="BJ162" s="324"/>
      <c r="BK162" s="324"/>
      <c r="BL162" s="324"/>
      <c r="BM162" s="324"/>
      <c r="BN162" s="324"/>
      <c r="BO162" s="324"/>
      <c r="BP162" s="324"/>
      <c r="BQ162" s="324"/>
      <c r="BR162" s="324"/>
      <c r="BS162" s="324"/>
      <c r="BT162" s="324"/>
      <c r="BU162" s="324"/>
      <c r="BV162" s="324"/>
      <c r="BW162" s="324"/>
      <c r="BX162" s="324"/>
      <c r="BY162" s="324"/>
      <c r="BZ162" s="324"/>
      <c r="CA162" s="324"/>
      <c r="CB162" s="324"/>
      <c r="CC162" s="324"/>
      <c r="CD162" s="324"/>
      <c r="CE162" s="324"/>
      <c r="CF162" s="324"/>
      <c r="CG162" s="324"/>
      <c r="CH162" s="324"/>
      <c r="CI162" s="324"/>
      <c r="CJ162" s="324"/>
      <c r="CK162" s="324"/>
      <c r="CL162" s="324"/>
      <c r="CM162" s="324"/>
      <c r="CN162" s="324"/>
      <c r="CO162" s="324"/>
      <c r="CP162" s="324"/>
      <c r="CQ162" s="324"/>
      <c r="CR162" s="324"/>
      <c r="CS162" s="324"/>
      <c r="CT162" s="324"/>
      <c r="CU162" s="324"/>
      <c r="CV162" s="324"/>
      <c r="CW162" s="324"/>
      <c r="CX162" s="324"/>
      <c r="CY162" s="324"/>
      <c r="CZ162" s="324"/>
      <c r="DA162" s="324"/>
      <c r="DB162" s="324"/>
      <c r="DC162" s="324"/>
      <c r="DD162" s="324"/>
      <c r="DE162" s="324"/>
      <c r="DF162" s="324"/>
      <c r="DG162" s="324"/>
      <c r="DH162" s="324"/>
      <c r="DI162" s="324"/>
    </row>
    <row r="163" spans="1:113" ht="15.75" thickBot="1" x14ac:dyDescent="0.3">
      <c r="B163" s="93"/>
      <c r="C163" s="94"/>
      <c r="D163" s="95"/>
      <c r="E163" s="96"/>
      <c r="F163" s="62"/>
      <c r="G163" s="96"/>
      <c r="H163" s="96"/>
      <c r="I163" s="96"/>
      <c r="J163" s="96"/>
      <c r="K163" s="95"/>
      <c r="L163"/>
      <c r="M163" s="327"/>
      <c r="N163" s="327"/>
      <c r="O163" s="327"/>
      <c r="P163" s="327"/>
      <c r="Q163" s="327"/>
      <c r="R163" s="327"/>
      <c r="S163" s="327"/>
      <c r="T163" s="327"/>
      <c r="U163" s="327"/>
      <c r="V163" s="327"/>
      <c r="W163" s="327"/>
      <c r="X163" s="327"/>
      <c r="Y163" s="327"/>
      <c r="Z163" s="327"/>
      <c r="AA163" s="327"/>
      <c r="AB163" s="327"/>
      <c r="AC163" s="327"/>
      <c r="AD163" s="327"/>
      <c r="AE163" s="327"/>
      <c r="AF163" s="327"/>
      <c r="AG163" s="327"/>
      <c r="AH163" s="327"/>
      <c r="AI163" s="327"/>
      <c r="AJ163" s="327"/>
      <c r="AK163" s="327"/>
      <c r="AL163" s="327"/>
      <c r="AM163" s="327"/>
      <c r="AN163" s="327"/>
      <c r="AO163" s="327"/>
      <c r="AP163" s="327"/>
      <c r="AQ163" s="327"/>
      <c r="AR163" s="327"/>
      <c r="AS163" s="327"/>
      <c r="AT163" s="327"/>
      <c r="AU163" s="327"/>
      <c r="AV163" s="327"/>
      <c r="AW163" s="327"/>
      <c r="AX163" s="327"/>
      <c r="AY163" s="327"/>
      <c r="AZ163" s="327"/>
      <c r="BA163" s="327"/>
      <c r="BB163" s="327"/>
      <c r="BC163" s="327"/>
      <c r="BD163" s="327"/>
      <c r="BE163" s="327"/>
      <c r="BF163" s="327"/>
      <c r="BG163" s="327"/>
      <c r="BH163" s="327"/>
      <c r="BI163" s="327"/>
      <c r="BJ163" s="327"/>
      <c r="BK163" s="327"/>
      <c r="BL163" s="327"/>
      <c r="BM163" s="327"/>
      <c r="BN163" s="327"/>
      <c r="BO163" s="327"/>
      <c r="BP163" s="327"/>
      <c r="BQ163" s="327"/>
      <c r="BR163" s="327"/>
      <c r="BS163" s="327"/>
      <c r="BT163" s="327"/>
      <c r="BU163" s="327"/>
      <c r="BV163" s="327"/>
      <c r="BW163" s="327"/>
      <c r="BX163" s="327"/>
      <c r="BY163" s="327"/>
      <c r="BZ163" s="327"/>
      <c r="CA163" s="327"/>
      <c r="CB163" s="327"/>
      <c r="CC163" s="327"/>
      <c r="CD163" s="327"/>
      <c r="CE163" s="327"/>
      <c r="CF163" s="327"/>
      <c r="CG163" s="327"/>
      <c r="CH163" s="327"/>
      <c r="CI163" s="327"/>
      <c r="CJ163" s="327"/>
      <c r="CK163" s="327"/>
      <c r="CL163" s="327"/>
      <c r="CM163" s="327"/>
      <c r="CN163" s="327"/>
      <c r="CO163" s="327"/>
      <c r="CP163" s="327"/>
      <c r="CQ163" s="327"/>
      <c r="CR163" s="327"/>
      <c r="CS163" s="327"/>
      <c r="CT163" s="327"/>
      <c r="CU163" s="327"/>
      <c r="CV163" s="327"/>
      <c r="CW163" s="327"/>
      <c r="CX163" s="327"/>
      <c r="CY163" s="327"/>
      <c r="CZ163" s="327"/>
      <c r="DA163" s="327"/>
      <c r="DB163" s="327"/>
      <c r="DC163" s="327"/>
      <c r="DD163" s="327"/>
      <c r="DE163" s="327"/>
      <c r="DF163" s="327"/>
      <c r="DG163" s="327"/>
      <c r="DH163" s="327"/>
      <c r="DI163" s="327"/>
    </row>
    <row r="164" spans="1:113" ht="15.75" thickBot="1" x14ac:dyDescent="0.3">
      <c r="A164" s="407" t="s">
        <v>657</v>
      </c>
      <c r="B164" s="414" t="s">
        <v>708</v>
      </c>
      <c r="C164" s="414" t="s">
        <v>1</v>
      </c>
      <c r="D164" s="415" t="s">
        <v>649</v>
      </c>
      <c r="E164" s="416" t="s">
        <v>19</v>
      </c>
      <c r="F164" s="416"/>
      <c r="G164" s="416"/>
      <c r="H164" s="416"/>
      <c r="I164" s="416"/>
      <c r="J164" s="410" t="s">
        <v>21</v>
      </c>
      <c r="K164" s="417" t="s">
        <v>602</v>
      </c>
      <c r="L164"/>
      <c r="M164" s="401" t="s">
        <v>601</v>
      </c>
      <c r="N164" s="404" t="s">
        <v>924</v>
      </c>
      <c r="O164" s="405"/>
      <c r="P164" s="405"/>
      <c r="Q164" s="405"/>
      <c r="R164" s="405"/>
      <c r="S164" s="405"/>
      <c r="T164" s="405"/>
      <c r="U164" s="405"/>
      <c r="V164" s="405"/>
      <c r="W164" s="405"/>
      <c r="X164" s="405"/>
      <c r="Y164" s="405"/>
      <c r="Z164" s="405"/>
      <c r="AA164" s="405"/>
      <c r="AB164" s="405"/>
      <c r="AC164" s="405"/>
      <c r="AD164" s="405"/>
      <c r="AE164" s="405"/>
      <c r="AF164" s="405"/>
      <c r="AG164" s="405"/>
      <c r="AH164" s="405"/>
      <c r="AI164" s="405"/>
      <c r="AJ164" s="405"/>
      <c r="AK164" s="405"/>
      <c r="AL164" s="405"/>
      <c r="AM164" s="405"/>
      <c r="AN164" s="405"/>
      <c r="AO164" s="405"/>
      <c r="AP164" s="405"/>
      <c r="AQ164" s="405"/>
      <c r="AR164" s="405"/>
      <c r="AS164" s="405"/>
      <c r="AT164" s="405"/>
      <c r="AU164" s="405"/>
      <c r="AV164" s="405"/>
      <c r="AW164" s="405"/>
      <c r="AX164" s="405"/>
      <c r="AY164" s="405"/>
      <c r="AZ164" s="405"/>
      <c r="BA164" s="405"/>
      <c r="BB164" s="405"/>
      <c r="BC164" s="405"/>
      <c r="BD164" s="405"/>
      <c r="BE164" s="405"/>
      <c r="BF164" s="405"/>
      <c r="BG164" s="405"/>
      <c r="BH164" s="405"/>
      <c r="BI164" s="405"/>
      <c r="BJ164" s="405"/>
      <c r="BK164" s="405"/>
      <c r="BL164" s="405"/>
      <c r="BM164" s="405"/>
      <c r="BN164" s="405"/>
      <c r="BO164" s="405"/>
      <c r="BP164" s="405"/>
      <c r="BQ164" s="405"/>
      <c r="BR164" s="405"/>
      <c r="BS164" s="405"/>
      <c r="BT164" s="405"/>
      <c r="BU164" s="405"/>
      <c r="BV164" s="405"/>
      <c r="BW164" s="405"/>
      <c r="BX164" s="405"/>
      <c r="BY164" s="405"/>
      <c r="BZ164" s="405"/>
      <c r="CA164" s="405"/>
      <c r="CB164" s="405"/>
      <c r="CC164" s="405"/>
      <c r="CD164" s="405"/>
      <c r="CE164" s="405"/>
      <c r="CF164" s="405"/>
      <c r="CG164" s="405"/>
      <c r="CH164" s="405"/>
      <c r="CI164" s="405"/>
      <c r="CJ164" s="405"/>
      <c r="CK164" s="405"/>
      <c r="CL164" s="405"/>
      <c r="CM164" s="405"/>
      <c r="CN164" s="405"/>
      <c r="CO164" s="405"/>
      <c r="CP164" s="405"/>
      <c r="CQ164" s="405"/>
      <c r="CR164" s="405"/>
      <c r="CS164" s="405"/>
      <c r="CT164" s="405"/>
      <c r="CU164" s="405"/>
      <c r="CV164" s="405"/>
      <c r="CW164" s="405"/>
      <c r="CX164" s="405"/>
      <c r="CY164" s="405"/>
      <c r="CZ164" s="405"/>
      <c r="DA164" s="405"/>
      <c r="DB164" s="405"/>
      <c r="DC164" s="405"/>
      <c r="DD164" s="405"/>
      <c r="DE164" s="405"/>
      <c r="DF164" s="405"/>
      <c r="DG164" s="405"/>
      <c r="DH164" s="405"/>
      <c r="DI164" s="406"/>
    </row>
    <row r="165" spans="1:113" ht="15.75" thickBot="1" x14ac:dyDescent="0.3">
      <c r="A165" s="408"/>
      <c r="B165" s="414"/>
      <c r="C165" s="414"/>
      <c r="D165" s="415"/>
      <c r="E165" s="68" t="s">
        <v>22</v>
      </c>
      <c r="F165" s="68" t="s">
        <v>600</v>
      </c>
      <c r="G165" s="68" t="s">
        <v>601</v>
      </c>
      <c r="H165" s="68" t="s">
        <v>589</v>
      </c>
      <c r="I165" s="68" t="s">
        <v>601</v>
      </c>
      <c r="J165" s="411"/>
      <c r="K165" s="418"/>
      <c r="L165"/>
      <c r="M165" s="401"/>
      <c r="N165" s="400" t="s">
        <v>925</v>
      </c>
      <c r="O165" s="400" t="s">
        <v>926</v>
      </c>
      <c r="P165" s="400"/>
      <c r="Q165" s="400"/>
      <c r="R165" s="400"/>
      <c r="S165" s="398"/>
      <c r="T165" s="398"/>
      <c r="U165" s="398"/>
      <c r="V165" s="398"/>
      <c r="W165" s="398"/>
      <c r="X165" s="398"/>
      <c r="Y165" s="398"/>
      <c r="Z165" s="398"/>
      <c r="AA165" s="398"/>
      <c r="AB165" s="398"/>
      <c r="AC165" s="398"/>
      <c r="AD165" s="398"/>
      <c r="AE165" s="398"/>
      <c r="AF165" s="398"/>
      <c r="AG165" s="398"/>
      <c r="AH165" s="398"/>
      <c r="AI165" s="398"/>
      <c r="AJ165" s="398"/>
      <c r="AK165" s="398"/>
      <c r="AL165" s="398"/>
      <c r="AM165" s="398"/>
      <c r="AN165" s="398"/>
      <c r="AO165" s="398"/>
      <c r="AP165" s="398"/>
      <c r="AQ165" s="398"/>
      <c r="AR165" s="398"/>
      <c r="AS165" s="398"/>
      <c r="AT165" s="398"/>
      <c r="AU165" s="398"/>
      <c r="AV165" s="398"/>
      <c r="AW165" s="398"/>
      <c r="AX165" s="398"/>
      <c r="AY165" s="398"/>
      <c r="AZ165" s="398"/>
      <c r="BA165" s="398"/>
      <c r="BB165" s="398"/>
      <c r="BC165" s="398"/>
      <c r="BD165" s="398"/>
      <c r="BE165" s="398"/>
      <c r="BF165" s="398"/>
      <c r="BG165" s="398"/>
      <c r="BH165" s="398"/>
      <c r="BI165" s="398"/>
      <c r="BJ165" s="398"/>
      <c r="BK165" s="398"/>
      <c r="BL165" s="398"/>
      <c r="BM165" s="398"/>
      <c r="BN165" s="398"/>
      <c r="BO165" s="398"/>
      <c r="BP165" s="398"/>
      <c r="BQ165" s="398"/>
      <c r="BR165" s="398"/>
      <c r="BS165" s="398"/>
      <c r="BT165" s="398"/>
      <c r="BU165" s="398"/>
      <c r="BV165" s="398"/>
      <c r="BW165" s="398"/>
      <c r="BX165" s="398"/>
      <c r="BY165" s="398"/>
      <c r="BZ165" s="398"/>
      <c r="CA165" s="398"/>
      <c r="CB165" s="398"/>
      <c r="CC165" s="398"/>
      <c r="CD165" s="398"/>
      <c r="CE165" s="398"/>
      <c r="CF165" s="398"/>
      <c r="CG165" s="398"/>
      <c r="CH165" s="398"/>
      <c r="CI165" s="398"/>
      <c r="CJ165" s="398"/>
      <c r="CK165" s="398"/>
      <c r="CL165" s="398"/>
      <c r="CM165" s="398"/>
      <c r="CN165" s="398"/>
      <c r="CO165" s="398"/>
      <c r="CP165" s="398"/>
      <c r="CQ165" s="398"/>
      <c r="CR165" s="398"/>
      <c r="CS165" s="398"/>
      <c r="CT165" s="398"/>
      <c r="CU165" s="398"/>
      <c r="CV165" s="398"/>
      <c r="CW165" s="398"/>
      <c r="CX165" s="398"/>
      <c r="CY165" s="398"/>
      <c r="CZ165" s="398"/>
      <c r="DA165" s="398"/>
      <c r="DB165" s="398"/>
      <c r="DC165" s="398"/>
      <c r="DD165" s="398"/>
      <c r="DE165" s="398"/>
      <c r="DF165" s="398"/>
      <c r="DG165" s="398"/>
      <c r="DH165" s="398"/>
      <c r="DI165" s="398"/>
    </row>
    <row r="166" spans="1:113" ht="15.75" thickBot="1" x14ac:dyDescent="0.3">
      <c r="A166" s="409"/>
      <c r="B166" s="168">
        <v>1</v>
      </c>
      <c r="C166" s="168">
        <v>2</v>
      </c>
      <c r="D166" s="168">
        <v>3</v>
      </c>
      <c r="E166" s="70">
        <v>4</v>
      </c>
      <c r="F166" s="70">
        <f>+E166+1</f>
        <v>5</v>
      </c>
      <c r="G166" s="70" t="s">
        <v>652</v>
      </c>
      <c r="H166" s="70">
        <v>7</v>
      </c>
      <c r="I166" s="71" t="s">
        <v>651</v>
      </c>
      <c r="J166" s="42" t="s">
        <v>650</v>
      </c>
      <c r="K166" s="42" t="s">
        <v>653</v>
      </c>
      <c r="L166"/>
      <c r="M166" s="402"/>
      <c r="N166" s="402"/>
      <c r="O166" s="402"/>
      <c r="P166" s="402"/>
      <c r="Q166" s="402"/>
      <c r="R166" s="402"/>
      <c r="S166" s="399"/>
      <c r="T166" s="399"/>
      <c r="U166" s="399"/>
      <c r="V166" s="399"/>
      <c r="W166" s="399"/>
      <c r="X166" s="399"/>
      <c r="Y166" s="399"/>
      <c r="Z166" s="399"/>
      <c r="AA166" s="399"/>
      <c r="AB166" s="399"/>
      <c r="AC166" s="399"/>
      <c r="AD166" s="399"/>
      <c r="AE166" s="399"/>
      <c r="AF166" s="399"/>
      <c r="AG166" s="399"/>
      <c r="AH166" s="399"/>
      <c r="AI166" s="399"/>
      <c r="AJ166" s="399"/>
      <c r="AK166" s="399"/>
      <c r="AL166" s="399"/>
      <c r="AM166" s="399"/>
      <c r="AN166" s="399"/>
      <c r="AO166" s="399"/>
      <c r="AP166" s="399"/>
      <c r="AQ166" s="399"/>
      <c r="AR166" s="399"/>
      <c r="AS166" s="399"/>
      <c r="AT166" s="399"/>
      <c r="AU166" s="399"/>
      <c r="AV166" s="399"/>
      <c r="AW166" s="399"/>
      <c r="AX166" s="399"/>
      <c r="AY166" s="399"/>
      <c r="AZ166" s="399"/>
      <c r="BA166" s="399"/>
      <c r="BB166" s="399"/>
      <c r="BC166" s="399"/>
      <c r="BD166" s="399"/>
      <c r="BE166" s="399"/>
      <c r="BF166" s="399"/>
      <c r="BG166" s="399"/>
      <c r="BH166" s="399"/>
      <c r="BI166" s="399"/>
      <c r="BJ166" s="399"/>
      <c r="BK166" s="399"/>
      <c r="BL166" s="399"/>
      <c r="BM166" s="399"/>
      <c r="BN166" s="399"/>
      <c r="BO166" s="399"/>
      <c r="BP166" s="399"/>
      <c r="BQ166" s="399"/>
      <c r="BR166" s="399"/>
      <c r="BS166" s="399"/>
      <c r="BT166" s="399"/>
      <c r="BU166" s="399"/>
      <c r="BV166" s="399"/>
      <c r="BW166" s="399"/>
      <c r="BX166" s="399"/>
      <c r="BY166" s="399"/>
      <c r="BZ166" s="399"/>
      <c r="CA166" s="399"/>
      <c r="CB166" s="399"/>
      <c r="CC166" s="399"/>
      <c r="CD166" s="399"/>
      <c r="CE166" s="399"/>
      <c r="CF166" s="399"/>
      <c r="CG166" s="399"/>
      <c r="CH166" s="399"/>
      <c r="CI166" s="399"/>
      <c r="CJ166" s="399"/>
      <c r="CK166" s="399"/>
      <c r="CL166" s="399"/>
      <c r="CM166" s="399"/>
      <c r="CN166" s="399"/>
      <c r="CO166" s="399"/>
      <c r="CP166" s="399"/>
      <c r="CQ166" s="399"/>
      <c r="CR166" s="399"/>
      <c r="CS166" s="399"/>
      <c r="CT166" s="399"/>
      <c r="CU166" s="399"/>
      <c r="CV166" s="399"/>
      <c r="CW166" s="399"/>
      <c r="CX166" s="399"/>
      <c r="CY166" s="399"/>
      <c r="CZ166" s="399"/>
      <c r="DA166" s="399"/>
      <c r="DB166" s="399"/>
      <c r="DC166" s="399"/>
      <c r="DD166" s="399"/>
      <c r="DE166" s="399"/>
      <c r="DF166" s="399"/>
      <c r="DG166" s="399"/>
      <c r="DH166" s="399"/>
      <c r="DI166" s="399"/>
    </row>
    <row r="167" spans="1:113" x14ac:dyDescent="0.25">
      <c r="A167" s="160"/>
      <c r="B167" s="72" t="s">
        <v>710</v>
      </c>
      <c r="C167" s="54"/>
      <c r="D167" s="54"/>
      <c r="E167" s="54"/>
      <c r="F167" s="54"/>
      <c r="G167" s="54"/>
      <c r="H167" s="54"/>
      <c r="I167" s="54"/>
      <c r="J167" s="54"/>
      <c r="K167" s="54"/>
      <c r="L167"/>
      <c r="M167" s="314">
        <f t="shared" ref="M167:M171" si="89">SUM(N167:DJ167)</f>
        <v>0</v>
      </c>
      <c r="N167" s="310"/>
      <c r="O167" s="315"/>
      <c r="P167" s="315"/>
      <c r="Q167" s="315"/>
      <c r="R167" s="315"/>
      <c r="S167" s="55"/>
      <c r="T167" s="55"/>
      <c r="U167" s="55"/>
      <c r="V167" s="55"/>
      <c r="W167" s="55"/>
      <c r="X167" s="55"/>
      <c r="Y167" s="55"/>
      <c r="Z167" s="55"/>
      <c r="AA167" s="55"/>
      <c r="AB167" s="55"/>
      <c r="AC167" s="55"/>
      <c r="AD167" s="55"/>
      <c r="AE167" s="55"/>
      <c r="AF167" s="55"/>
      <c r="AG167" s="55"/>
      <c r="AH167" s="55"/>
      <c r="AI167" s="55"/>
      <c r="AJ167" s="55"/>
      <c r="AK167" s="55"/>
      <c r="AL167" s="55"/>
      <c r="AM167" s="55"/>
      <c r="AN167" s="55"/>
      <c r="AO167" s="55"/>
      <c r="AP167" s="55"/>
      <c r="AQ167" s="55"/>
      <c r="AR167" s="55"/>
      <c r="AS167" s="55"/>
      <c r="AT167" s="55"/>
      <c r="AU167" s="55"/>
      <c r="AV167" s="55"/>
      <c r="AW167" s="55"/>
      <c r="AX167" s="55"/>
      <c r="AY167" s="55"/>
      <c r="AZ167" s="55"/>
      <c r="BA167" s="55"/>
      <c r="BB167" s="55"/>
      <c r="BC167" s="55"/>
      <c r="BD167" s="55"/>
      <c r="BE167" s="55"/>
      <c r="BF167" s="55"/>
      <c r="BG167" s="55"/>
      <c r="BH167" s="55"/>
      <c r="BI167" s="55"/>
      <c r="BJ167" s="55"/>
      <c r="BK167" s="55"/>
      <c r="BL167" s="55"/>
      <c r="BM167" s="55"/>
      <c r="BN167" s="55"/>
      <c r="BO167" s="55"/>
      <c r="BP167" s="55"/>
      <c r="BQ167" s="55"/>
      <c r="BR167" s="55"/>
      <c r="BS167" s="55"/>
      <c r="BT167" s="55"/>
      <c r="BU167" s="55"/>
      <c r="BV167" s="55"/>
      <c r="BW167" s="55"/>
      <c r="BX167" s="55"/>
      <c r="BY167" s="55"/>
      <c r="BZ167" s="55"/>
      <c r="CA167" s="55"/>
      <c r="CB167" s="55"/>
      <c r="CC167" s="55"/>
      <c r="CD167" s="55"/>
      <c r="CE167" s="55"/>
      <c r="CF167" s="55"/>
      <c r="CG167" s="55"/>
      <c r="CH167" s="55"/>
      <c r="CI167" s="55"/>
      <c r="CJ167" s="55"/>
      <c r="CK167" s="55"/>
      <c r="CL167" s="55"/>
      <c r="CM167" s="55"/>
      <c r="CN167" s="55"/>
      <c r="CO167" s="55"/>
      <c r="CP167" s="55"/>
      <c r="CQ167" s="55"/>
      <c r="CR167" s="55"/>
      <c r="CS167" s="55"/>
      <c r="CT167" s="55"/>
      <c r="CU167" s="55"/>
      <c r="CV167" s="55"/>
      <c r="CW167" s="55"/>
      <c r="CX167" s="55"/>
      <c r="CY167" s="55"/>
      <c r="CZ167" s="55"/>
      <c r="DA167" s="55"/>
      <c r="DB167" s="55"/>
      <c r="DC167" s="55"/>
      <c r="DD167" s="55"/>
      <c r="DE167" s="55"/>
      <c r="DF167" s="55"/>
      <c r="DG167" s="55"/>
      <c r="DH167" s="55"/>
      <c r="DI167" s="55"/>
    </row>
    <row r="168" spans="1:113" x14ac:dyDescent="0.25">
      <c r="A168" s="152">
        <v>1</v>
      </c>
      <c r="B168" s="79" t="s">
        <v>199</v>
      </c>
      <c r="C168" s="80">
        <v>15000</v>
      </c>
      <c r="D168" s="142">
        <v>1187.75</v>
      </c>
      <c r="E168" s="43">
        <v>0</v>
      </c>
      <c r="F168" s="60"/>
      <c r="G168" s="139">
        <f t="shared" ref="G168:G182" si="90">+E168+F168</f>
        <v>0</v>
      </c>
      <c r="H168" s="55">
        <f>3700-3700</f>
        <v>0</v>
      </c>
      <c r="I168" s="56">
        <f t="shared" ref="I168:I182" si="91">+G168-H168</f>
        <v>0</v>
      </c>
      <c r="J168" s="56">
        <f t="shared" ref="J168:J182" si="92">I168*C168</f>
        <v>0</v>
      </c>
      <c r="K168" s="57">
        <f t="shared" ref="K168:K182" si="93">+D168*I168</f>
        <v>0</v>
      </c>
      <c r="L168"/>
      <c r="M168" s="314">
        <f t="shared" si="89"/>
        <v>0</v>
      </c>
      <c r="N168" s="310"/>
      <c r="O168" s="315"/>
      <c r="P168" s="315"/>
      <c r="Q168" s="315"/>
      <c r="R168" s="315"/>
      <c r="S168" s="55"/>
      <c r="T168" s="55"/>
      <c r="U168" s="55"/>
      <c r="V168" s="55"/>
      <c r="W168" s="55"/>
      <c r="X168" s="55"/>
      <c r="Y168" s="55"/>
      <c r="Z168" s="55"/>
      <c r="AA168" s="55"/>
      <c r="AB168" s="55"/>
      <c r="AC168" s="55"/>
      <c r="AD168" s="55"/>
      <c r="AE168" s="55"/>
      <c r="AF168" s="55"/>
      <c r="AG168" s="55"/>
      <c r="AH168" s="55"/>
      <c r="AI168" s="55"/>
      <c r="AJ168" s="55"/>
      <c r="AK168" s="55"/>
      <c r="AL168" s="55"/>
      <c r="AM168" s="55"/>
      <c r="AN168" s="55"/>
      <c r="AO168" s="55"/>
      <c r="AP168" s="55"/>
      <c r="AQ168" s="55"/>
      <c r="AR168" s="55"/>
      <c r="AS168" s="55"/>
      <c r="AT168" s="55"/>
      <c r="AU168" s="55"/>
      <c r="AV168" s="55"/>
      <c r="AW168" s="55"/>
      <c r="AX168" s="55"/>
      <c r="AY168" s="55"/>
      <c r="AZ168" s="55"/>
      <c r="BA168" s="55"/>
      <c r="BB168" s="55"/>
      <c r="BC168" s="55"/>
      <c r="BD168" s="55"/>
      <c r="BE168" s="55"/>
      <c r="BF168" s="55"/>
      <c r="BG168" s="55"/>
      <c r="BH168" s="55"/>
      <c r="BI168" s="55"/>
      <c r="BJ168" s="55"/>
      <c r="BK168" s="55"/>
      <c r="BL168" s="55"/>
      <c r="BM168" s="55"/>
      <c r="BN168" s="55"/>
      <c r="BO168" s="55"/>
      <c r="BP168" s="55"/>
      <c r="BQ168" s="55"/>
      <c r="BR168" s="55"/>
      <c r="BS168" s="55"/>
      <c r="BT168" s="55"/>
      <c r="BU168" s="55"/>
      <c r="BV168" s="55"/>
      <c r="BW168" s="55"/>
      <c r="BX168" s="55"/>
      <c r="BY168" s="55"/>
      <c r="BZ168" s="55"/>
      <c r="CA168" s="55"/>
      <c r="CB168" s="55"/>
      <c r="CC168" s="55"/>
      <c r="CD168" s="55"/>
      <c r="CE168" s="55"/>
      <c r="CF168" s="55"/>
      <c r="CG168" s="55"/>
      <c r="CH168" s="55"/>
      <c r="CI168" s="55"/>
      <c r="CJ168" s="55"/>
      <c r="CK168" s="55"/>
      <c r="CL168" s="55"/>
      <c r="CM168" s="55"/>
      <c r="CN168" s="55"/>
      <c r="CO168" s="55"/>
      <c r="CP168" s="55"/>
      <c r="CQ168" s="55"/>
      <c r="CR168" s="55"/>
      <c r="CS168" s="55"/>
      <c r="CT168" s="55"/>
      <c r="CU168" s="55"/>
      <c r="CV168" s="55"/>
      <c r="CW168" s="55"/>
      <c r="CX168" s="55"/>
      <c r="CY168" s="55"/>
      <c r="CZ168" s="55"/>
      <c r="DA168" s="55"/>
      <c r="DB168" s="55"/>
      <c r="DC168" s="55"/>
      <c r="DD168" s="55"/>
      <c r="DE168" s="55"/>
      <c r="DF168" s="55"/>
      <c r="DG168" s="55"/>
      <c r="DH168" s="55"/>
      <c r="DI168" s="55"/>
    </row>
    <row r="169" spans="1:113" x14ac:dyDescent="0.25">
      <c r="A169" s="152">
        <v>2</v>
      </c>
      <c r="B169" s="79" t="s">
        <v>853</v>
      </c>
      <c r="C169" s="80">
        <v>20000</v>
      </c>
      <c r="D169" s="142">
        <v>1221.53</v>
      </c>
      <c r="E169" s="43">
        <v>0</v>
      </c>
      <c r="F169" s="60"/>
      <c r="G169" s="139">
        <f t="shared" si="90"/>
        <v>0</v>
      </c>
      <c r="H169" s="55">
        <f>800-800</f>
        <v>0</v>
      </c>
      <c r="I169" s="56">
        <f t="shared" si="91"/>
        <v>0</v>
      </c>
      <c r="J169" s="56">
        <f t="shared" si="92"/>
        <v>0</v>
      </c>
      <c r="K169" s="57">
        <f t="shared" si="93"/>
        <v>0</v>
      </c>
      <c r="L169"/>
      <c r="M169" s="314">
        <f t="shared" si="89"/>
        <v>0</v>
      </c>
      <c r="N169" s="310"/>
      <c r="O169" s="315"/>
      <c r="P169" s="315"/>
      <c r="Q169" s="315"/>
      <c r="R169" s="31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5"/>
      <c r="AP169" s="55"/>
      <c r="AQ169" s="55"/>
      <c r="AR169" s="55"/>
      <c r="AS169" s="55"/>
      <c r="AT169" s="55"/>
      <c r="AU169" s="55"/>
      <c r="AV169" s="55"/>
      <c r="AW169" s="55"/>
      <c r="AX169" s="55"/>
      <c r="AY169" s="55"/>
      <c r="AZ169" s="55"/>
      <c r="BA169" s="55"/>
      <c r="BB169" s="55"/>
      <c r="BC169" s="55"/>
      <c r="BD169" s="55"/>
      <c r="BE169" s="55"/>
      <c r="BF169" s="55"/>
      <c r="BG169" s="55"/>
      <c r="BH169" s="55"/>
      <c r="BI169" s="55"/>
      <c r="BJ169" s="55"/>
      <c r="BK169" s="55"/>
      <c r="BL169" s="55"/>
      <c r="BM169" s="55"/>
      <c r="BN169" s="55"/>
      <c r="BO169" s="55"/>
      <c r="BP169" s="55"/>
      <c r="BQ169" s="55"/>
      <c r="BR169" s="55"/>
      <c r="BS169" s="55"/>
      <c r="BT169" s="55"/>
      <c r="BU169" s="55"/>
      <c r="BV169" s="55"/>
      <c r="BW169" s="55"/>
      <c r="BX169" s="55"/>
      <c r="BY169" s="55"/>
      <c r="BZ169" s="55"/>
      <c r="CA169" s="55"/>
      <c r="CB169" s="55"/>
      <c r="CC169" s="55"/>
      <c r="CD169" s="55"/>
      <c r="CE169" s="55"/>
      <c r="CF169" s="55"/>
      <c r="CG169" s="55"/>
      <c r="CH169" s="55"/>
      <c r="CI169" s="55"/>
      <c r="CJ169" s="55"/>
      <c r="CK169" s="55"/>
      <c r="CL169" s="55"/>
      <c r="CM169" s="55"/>
      <c r="CN169" s="55"/>
      <c r="CO169" s="55"/>
      <c r="CP169" s="55"/>
      <c r="CQ169" s="55"/>
      <c r="CR169" s="55"/>
      <c r="CS169" s="55"/>
      <c r="CT169" s="55"/>
      <c r="CU169" s="55"/>
      <c r="CV169" s="55"/>
      <c r="CW169" s="55"/>
      <c r="CX169" s="55"/>
      <c r="CY169" s="55"/>
      <c r="CZ169" s="55"/>
      <c r="DA169" s="55"/>
      <c r="DB169" s="55"/>
      <c r="DC169" s="55"/>
      <c r="DD169" s="55"/>
      <c r="DE169" s="55"/>
      <c r="DF169" s="55"/>
      <c r="DG169" s="55"/>
      <c r="DH169" s="55"/>
      <c r="DI169" s="55"/>
    </row>
    <row r="170" spans="1:113" x14ac:dyDescent="0.25">
      <c r="A170" s="152">
        <v>3</v>
      </c>
      <c r="B170" s="79" t="s">
        <v>854</v>
      </c>
      <c r="C170" s="80">
        <v>2500</v>
      </c>
      <c r="D170" s="142">
        <v>1221.53</v>
      </c>
      <c r="E170" s="43">
        <v>0</v>
      </c>
      <c r="F170" s="60"/>
      <c r="G170" s="139">
        <f t="shared" si="90"/>
        <v>0</v>
      </c>
      <c r="H170" s="55">
        <f>1300-1300</f>
        <v>0</v>
      </c>
      <c r="I170" s="56">
        <f t="shared" si="91"/>
        <v>0</v>
      </c>
      <c r="J170" s="56">
        <f t="shared" si="92"/>
        <v>0</v>
      </c>
      <c r="K170" s="57">
        <f t="shared" si="93"/>
        <v>0</v>
      </c>
      <c r="L170"/>
      <c r="M170" s="314">
        <f t="shared" si="89"/>
        <v>0</v>
      </c>
      <c r="N170" s="310"/>
      <c r="O170" s="315"/>
      <c r="P170" s="315"/>
      <c r="Q170" s="315"/>
      <c r="R170" s="315"/>
      <c r="S170" s="55"/>
      <c r="T170" s="55"/>
      <c r="U170" s="55"/>
      <c r="V170" s="55"/>
      <c r="W170" s="55"/>
      <c r="X170" s="55"/>
      <c r="Y170" s="55"/>
      <c r="Z170" s="55"/>
      <c r="AA170" s="55"/>
      <c r="AB170" s="55"/>
      <c r="AC170" s="55"/>
      <c r="AD170" s="55"/>
      <c r="AE170" s="55"/>
      <c r="AF170" s="55"/>
      <c r="AG170" s="55"/>
      <c r="AH170" s="55"/>
      <c r="AI170" s="55"/>
      <c r="AJ170" s="55"/>
      <c r="AK170" s="55"/>
      <c r="AL170" s="55"/>
      <c r="AM170" s="55"/>
      <c r="AN170" s="55"/>
      <c r="AO170" s="55"/>
      <c r="AP170" s="55"/>
      <c r="AQ170" s="55"/>
      <c r="AR170" s="55"/>
      <c r="AS170" s="55"/>
      <c r="AT170" s="55"/>
      <c r="AU170" s="55"/>
      <c r="AV170" s="55"/>
      <c r="AW170" s="55"/>
      <c r="AX170" s="55"/>
      <c r="AY170" s="55"/>
      <c r="AZ170" s="55"/>
      <c r="BA170" s="55"/>
      <c r="BB170" s="55"/>
      <c r="BC170" s="55"/>
      <c r="BD170" s="55"/>
      <c r="BE170" s="55"/>
      <c r="BF170" s="55"/>
      <c r="BG170" s="55"/>
      <c r="BH170" s="55"/>
      <c r="BI170" s="55"/>
      <c r="BJ170" s="55"/>
      <c r="BK170" s="55"/>
      <c r="BL170" s="55"/>
      <c r="BM170" s="55"/>
      <c r="BN170" s="55"/>
      <c r="BO170" s="55"/>
      <c r="BP170" s="55"/>
      <c r="BQ170" s="55"/>
      <c r="BR170" s="55"/>
      <c r="BS170" s="55"/>
      <c r="BT170" s="55"/>
      <c r="BU170" s="55"/>
      <c r="BV170" s="55"/>
      <c r="BW170" s="55"/>
      <c r="BX170" s="55"/>
      <c r="BY170" s="55"/>
      <c r="BZ170" s="55"/>
      <c r="CA170" s="55"/>
      <c r="CB170" s="55"/>
      <c r="CC170" s="55"/>
      <c r="CD170" s="55"/>
      <c r="CE170" s="55"/>
      <c r="CF170" s="55"/>
      <c r="CG170" s="55"/>
      <c r="CH170" s="55"/>
      <c r="CI170" s="55"/>
      <c r="CJ170" s="55"/>
      <c r="CK170" s="55"/>
      <c r="CL170" s="55"/>
      <c r="CM170" s="55"/>
      <c r="CN170" s="55"/>
      <c r="CO170" s="55"/>
      <c r="CP170" s="55"/>
      <c r="CQ170" s="55"/>
      <c r="CR170" s="55"/>
      <c r="CS170" s="55"/>
      <c r="CT170" s="55"/>
      <c r="CU170" s="55"/>
      <c r="CV170" s="55"/>
      <c r="CW170" s="55"/>
      <c r="CX170" s="55"/>
      <c r="CY170" s="55"/>
      <c r="CZ170" s="55"/>
      <c r="DA170" s="55"/>
      <c r="DB170" s="55"/>
      <c r="DC170" s="55"/>
      <c r="DD170" s="55"/>
      <c r="DE170" s="55"/>
      <c r="DF170" s="55"/>
      <c r="DG170" s="55"/>
      <c r="DH170" s="55"/>
      <c r="DI170" s="55"/>
    </row>
    <row r="171" spans="1:113" x14ac:dyDescent="0.25">
      <c r="A171" s="152">
        <v>4</v>
      </c>
      <c r="B171" s="79" t="s">
        <v>200</v>
      </c>
      <c r="C171" s="80">
        <v>5000</v>
      </c>
      <c r="D171" s="142">
        <v>1009.13</v>
      </c>
      <c r="E171" s="43">
        <v>0</v>
      </c>
      <c r="F171" s="60"/>
      <c r="G171" s="139">
        <f t="shared" si="90"/>
        <v>0</v>
      </c>
      <c r="H171" s="55">
        <f t="shared" ref="H171:H177" si="94">2400-2400</f>
        <v>0</v>
      </c>
      <c r="I171" s="56">
        <f t="shared" si="91"/>
        <v>0</v>
      </c>
      <c r="J171" s="56">
        <f t="shared" si="92"/>
        <v>0</v>
      </c>
      <c r="K171" s="57">
        <f t="shared" si="93"/>
        <v>0</v>
      </c>
      <c r="L171"/>
      <c r="M171" s="321">
        <f t="shared" si="89"/>
        <v>0</v>
      </c>
      <c r="N171" s="312"/>
      <c r="O171" s="318"/>
      <c r="P171" s="318"/>
      <c r="Q171" s="318"/>
      <c r="R171" s="318"/>
      <c r="S171" s="108"/>
      <c r="T171" s="108"/>
      <c r="U171" s="108"/>
      <c r="V171" s="108"/>
      <c r="W171" s="108"/>
      <c r="X171" s="108"/>
      <c r="Y171" s="108"/>
      <c r="Z171" s="108"/>
      <c r="AA171" s="108"/>
      <c r="AB171" s="108"/>
      <c r="AC171" s="108"/>
      <c r="AD171" s="108"/>
      <c r="AE171" s="108"/>
      <c r="AF171" s="108"/>
      <c r="AG171" s="108"/>
      <c r="AH171" s="108"/>
      <c r="AI171" s="108"/>
      <c r="AJ171" s="108"/>
      <c r="AK171" s="108"/>
      <c r="AL171" s="108"/>
      <c r="AM171" s="108"/>
      <c r="AN171" s="108"/>
      <c r="AO171" s="108"/>
      <c r="AP171" s="108"/>
      <c r="AQ171" s="108"/>
      <c r="AR171" s="108"/>
      <c r="AS171" s="108"/>
      <c r="AT171" s="108"/>
      <c r="AU171" s="108"/>
      <c r="AV171" s="108"/>
      <c r="AW171" s="108"/>
      <c r="AX171" s="108"/>
      <c r="AY171" s="108"/>
      <c r="AZ171" s="108"/>
      <c r="BA171" s="108"/>
      <c r="BB171" s="108"/>
      <c r="BC171" s="108"/>
      <c r="BD171" s="108"/>
      <c r="BE171" s="108"/>
      <c r="BF171" s="108"/>
      <c r="BG171" s="108"/>
      <c r="BH171" s="108"/>
      <c r="BI171" s="108"/>
      <c r="BJ171" s="108"/>
      <c r="BK171" s="108"/>
      <c r="BL171" s="108"/>
      <c r="BM171" s="108"/>
      <c r="BN171" s="108"/>
      <c r="BO171" s="108"/>
      <c r="BP171" s="108"/>
      <c r="BQ171" s="108"/>
      <c r="BR171" s="108"/>
      <c r="BS171" s="108"/>
      <c r="BT171" s="108"/>
      <c r="BU171" s="108"/>
      <c r="BV171" s="108"/>
      <c r="BW171" s="108"/>
      <c r="BX171" s="108"/>
      <c r="BY171" s="108"/>
      <c r="BZ171" s="108"/>
      <c r="CA171" s="108"/>
      <c r="CB171" s="108"/>
      <c r="CC171" s="108"/>
      <c r="CD171" s="108"/>
      <c r="CE171" s="108"/>
      <c r="CF171" s="108"/>
      <c r="CG171" s="108"/>
      <c r="CH171" s="108"/>
      <c r="CI171" s="108"/>
      <c r="CJ171" s="108"/>
      <c r="CK171" s="108"/>
      <c r="CL171" s="108"/>
      <c r="CM171" s="108"/>
      <c r="CN171" s="108"/>
      <c r="CO171" s="108"/>
      <c r="CP171" s="108"/>
      <c r="CQ171" s="108"/>
      <c r="CR171" s="108"/>
      <c r="CS171" s="108"/>
      <c r="CT171" s="108"/>
      <c r="CU171" s="108"/>
      <c r="CV171" s="108"/>
      <c r="CW171" s="108"/>
      <c r="CX171" s="108"/>
      <c r="CY171" s="108"/>
      <c r="CZ171" s="108"/>
      <c r="DA171" s="108"/>
      <c r="DB171" s="108"/>
      <c r="DC171" s="108"/>
      <c r="DD171" s="108"/>
      <c r="DE171" s="108"/>
      <c r="DF171" s="108"/>
      <c r="DG171" s="108"/>
      <c r="DH171" s="108"/>
      <c r="DI171" s="108"/>
    </row>
    <row r="172" spans="1:113" x14ac:dyDescent="0.25">
      <c r="A172" s="152">
        <v>5</v>
      </c>
      <c r="B172" s="79" t="s">
        <v>201</v>
      </c>
      <c r="C172" s="80">
        <v>5000</v>
      </c>
      <c r="D172" s="142">
        <v>1009.13</v>
      </c>
      <c r="E172" s="43">
        <v>0</v>
      </c>
      <c r="F172" s="60"/>
      <c r="G172" s="139">
        <f t="shared" si="90"/>
        <v>0</v>
      </c>
      <c r="H172" s="55">
        <f t="shared" si="94"/>
        <v>0</v>
      </c>
      <c r="I172" s="56">
        <f t="shared" si="91"/>
        <v>0</v>
      </c>
      <c r="J172" s="56">
        <f t="shared" si="92"/>
        <v>0</v>
      </c>
      <c r="K172" s="57">
        <f t="shared" si="93"/>
        <v>0</v>
      </c>
      <c r="L172"/>
      <c r="M172" s="314">
        <f t="shared" ref="M172:M180" si="95">SUM(N172:DJ172)</f>
        <v>0</v>
      </c>
      <c r="N172" s="310"/>
      <c r="O172" s="315"/>
      <c r="P172" s="315"/>
      <c r="Q172" s="315"/>
      <c r="R172" s="315"/>
      <c r="S172" s="55"/>
      <c r="T172" s="55"/>
      <c r="U172" s="55"/>
      <c r="V172" s="55"/>
      <c r="W172" s="55"/>
      <c r="X172" s="55"/>
      <c r="Y172" s="55"/>
      <c r="Z172" s="55"/>
      <c r="AA172" s="55"/>
      <c r="AB172" s="55"/>
      <c r="AC172" s="55"/>
      <c r="AD172" s="55"/>
      <c r="AE172" s="55"/>
      <c r="AF172" s="55"/>
      <c r="AG172" s="55"/>
      <c r="AH172" s="55"/>
      <c r="AI172" s="55"/>
      <c r="AJ172" s="55"/>
      <c r="AK172" s="55"/>
      <c r="AL172" s="55"/>
      <c r="AM172" s="55"/>
      <c r="AN172" s="55"/>
      <c r="AO172" s="55"/>
      <c r="AP172" s="55"/>
      <c r="AQ172" s="55"/>
      <c r="AR172" s="55"/>
      <c r="AS172" s="55"/>
      <c r="AT172" s="55"/>
      <c r="AU172" s="55"/>
      <c r="AV172" s="55"/>
      <c r="AW172" s="55"/>
      <c r="AX172" s="55"/>
      <c r="AY172" s="55"/>
      <c r="AZ172" s="55"/>
      <c r="BA172" s="55"/>
      <c r="BB172" s="55"/>
      <c r="BC172" s="55"/>
      <c r="BD172" s="55"/>
      <c r="BE172" s="55"/>
      <c r="BF172" s="55"/>
      <c r="BG172" s="55"/>
      <c r="BH172" s="55"/>
      <c r="BI172" s="55"/>
      <c r="BJ172" s="55"/>
      <c r="BK172" s="55"/>
      <c r="BL172" s="55"/>
      <c r="BM172" s="55"/>
      <c r="BN172" s="55"/>
      <c r="BO172" s="55"/>
      <c r="BP172" s="55"/>
      <c r="BQ172" s="55"/>
      <c r="BR172" s="55"/>
      <c r="BS172" s="55"/>
      <c r="BT172" s="55"/>
      <c r="BU172" s="55"/>
      <c r="BV172" s="55"/>
      <c r="BW172" s="55"/>
      <c r="BX172" s="55"/>
      <c r="BY172" s="55"/>
      <c r="BZ172" s="55"/>
      <c r="CA172" s="55"/>
      <c r="CB172" s="55"/>
      <c r="CC172" s="55"/>
      <c r="CD172" s="55"/>
      <c r="CE172" s="55"/>
      <c r="CF172" s="55"/>
      <c r="CG172" s="55"/>
      <c r="CH172" s="55"/>
      <c r="CI172" s="55"/>
      <c r="CJ172" s="55"/>
      <c r="CK172" s="55"/>
      <c r="CL172" s="55"/>
      <c r="CM172" s="55"/>
      <c r="CN172" s="55"/>
      <c r="CO172" s="55"/>
      <c r="CP172" s="55"/>
      <c r="CQ172" s="55"/>
      <c r="CR172" s="55"/>
      <c r="CS172" s="55"/>
      <c r="CT172" s="55"/>
      <c r="CU172" s="55"/>
      <c r="CV172" s="55"/>
      <c r="CW172" s="55"/>
      <c r="CX172" s="55"/>
      <c r="CY172" s="55"/>
      <c r="CZ172" s="55"/>
      <c r="DA172" s="55"/>
      <c r="DB172" s="55"/>
      <c r="DC172" s="55"/>
      <c r="DD172" s="55"/>
      <c r="DE172" s="55"/>
      <c r="DF172" s="55"/>
      <c r="DG172" s="55"/>
      <c r="DH172" s="55"/>
      <c r="DI172" s="55"/>
    </row>
    <row r="173" spans="1:113" x14ac:dyDescent="0.25">
      <c r="A173" s="152">
        <v>6</v>
      </c>
      <c r="B173" s="79" t="s">
        <v>202</v>
      </c>
      <c r="C173" s="80">
        <v>5000</v>
      </c>
      <c r="D173" s="142">
        <v>1009.13</v>
      </c>
      <c r="E173" s="43">
        <v>0</v>
      </c>
      <c r="F173" s="60"/>
      <c r="G173" s="139">
        <f t="shared" si="90"/>
        <v>0</v>
      </c>
      <c r="H173" s="55">
        <f t="shared" si="94"/>
        <v>0</v>
      </c>
      <c r="I173" s="56">
        <f t="shared" si="91"/>
        <v>0</v>
      </c>
      <c r="J173" s="56">
        <f t="shared" si="92"/>
        <v>0</v>
      </c>
      <c r="K173" s="57">
        <f t="shared" si="93"/>
        <v>0</v>
      </c>
      <c r="L173"/>
      <c r="M173" s="314">
        <f t="shared" si="95"/>
        <v>0</v>
      </c>
      <c r="N173" s="310"/>
      <c r="O173" s="315"/>
      <c r="P173" s="315"/>
      <c r="Q173" s="315"/>
      <c r="R173" s="315"/>
      <c r="S173" s="55"/>
      <c r="T173" s="55"/>
      <c r="U173" s="55"/>
      <c r="V173" s="55"/>
      <c r="W173" s="55"/>
      <c r="X173" s="55"/>
      <c r="Y173" s="55"/>
      <c r="Z173" s="55"/>
      <c r="AA173" s="55"/>
      <c r="AB173" s="55"/>
      <c r="AC173" s="55"/>
      <c r="AD173" s="55"/>
      <c r="AE173" s="55"/>
      <c r="AF173" s="55"/>
      <c r="AG173" s="55"/>
      <c r="AH173" s="55"/>
      <c r="AI173" s="55"/>
      <c r="AJ173" s="55"/>
      <c r="AK173" s="55"/>
      <c r="AL173" s="55"/>
      <c r="AM173" s="55"/>
      <c r="AN173" s="55"/>
      <c r="AO173" s="55"/>
      <c r="AP173" s="55"/>
      <c r="AQ173" s="55"/>
      <c r="AR173" s="55"/>
      <c r="AS173" s="55"/>
      <c r="AT173" s="55"/>
      <c r="AU173" s="55"/>
      <c r="AV173" s="55"/>
      <c r="AW173" s="55"/>
      <c r="AX173" s="55"/>
      <c r="AY173" s="55"/>
      <c r="AZ173" s="55"/>
      <c r="BA173" s="55"/>
      <c r="BB173" s="55"/>
      <c r="BC173" s="55"/>
      <c r="BD173" s="55"/>
      <c r="BE173" s="55"/>
      <c r="BF173" s="55"/>
      <c r="BG173" s="55"/>
      <c r="BH173" s="55"/>
      <c r="BI173" s="55"/>
      <c r="BJ173" s="55"/>
      <c r="BK173" s="55"/>
      <c r="BL173" s="55"/>
      <c r="BM173" s="55"/>
      <c r="BN173" s="55"/>
      <c r="BO173" s="55"/>
      <c r="BP173" s="55"/>
      <c r="BQ173" s="55"/>
      <c r="BR173" s="55"/>
      <c r="BS173" s="55"/>
      <c r="BT173" s="55"/>
      <c r="BU173" s="55"/>
      <c r="BV173" s="55"/>
      <c r="BW173" s="55"/>
      <c r="BX173" s="55"/>
      <c r="BY173" s="55"/>
      <c r="BZ173" s="55"/>
      <c r="CA173" s="55"/>
      <c r="CB173" s="55"/>
      <c r="CC173" s="55"/>
      <c r="CD173" s="55"/>
      <c r="CE173" s="55"/>
      <c r="CF173" s="55"/>
      <c r="CG173" s="55"/>
      <c r="CH173" s="55"/>
      <c r="CI173" s="55"/>
      <c r="CJ173" s="55"/>
      <c r="CK173" s="55"/>
      <c r="CL173" s="55"/>
      <c r="CM173" s="55"/>
      <c r="CN173" s="55"/>
      <c r="CO173" s="55"/>
      <c r="CP173" s="55"/>
      <c r="CQ173" s="55"/>
      <c r="CR173" s="55"/>
      <c r="CS173" s="55"/>
      <c r="CT173" s="55"/>
      <c r="CU173" s="55"/>
      <c r="CV173" s="55"/>
      <c r="CW173" s="55"/>
      <c r="CX173" s="55"/>
      <c r="CY173" s="55"/>
      <c r="CZ173" s="55"/>
      <c r="DA173" s="55"/>
      <c r="DB173" s="55"/>
      <c r="DC173" s="55"/>
      <c r="DD173" s="55"/>
      <c r="DE173" s="55"/>
      <c r="DF173" s="55"/>
      <c r="DG173" s="55"/>
      <c r="DH173" s="55"/>
      <c r="DI173" s="55"/>
    </row>
    <row r="174" spans="1:113" x14ac:dyDescent="0.25">
      <c r="A174" s="152">
        <v>7</v>
      </c>
      <c r="B174" s="79" t="s">
        <v>203</v>
      </c>
      <c r="C174" s="80">
        <v>5000</v>
      </c>
      <c r="D174" s="142">
        <v>1009.13</v>
      </c>
      <c r="E174" s="43">
        <v>0</v>
      </c>
      <c r="F174" s="60"/>
      <c r="G174" s="139">
        <f t="shared" si="90"/>
        <v>0</v>
      </c>
      <c r="H174" s="55">
        <f t="shared" si="94"/>
        <v>0</v>
      </c>
      <c r="I174" s="56">
        <f t="shared" si="91"/>
        <v>0</v>
      </c>
      <c r="J174" s="56">
        <f t="shared" si="92"/>
        <v>0</v>
      </c>
      <c r="K174" s="57">
        <f t="shared" si="93"/>
        <v>0</v>
      </c>
      <c r="L174"/>
      <c r="M174" s="321">
        <f t="shared" si="95"/>
        <v>0</v>
      </c>
      <c r="N174" s="312"/>
      <c r="O174" s="318"/>
      <c r="P174" s="318"/>
      <c r="Q174" s="318"/>
      <c r="R174" s="318"/>
      <c r="S174" s="108"/>
      <c r="T174" s="108"/>
      <c r="U174" s="108"/>
      <c r="V174" s="108"/>
      <c r="W174" s="108"/>
      <c r="X174" s="108"/>
      <c r="Y174" s="108"/>
      <c r="Z174" s="108"/>
      <c r="AA174" s="108"/>
      <c r="AB174" s="108"/>
      <c r="AC174" s="108"/>
      <c r="AD174" s="108"/>
      <c r="AE174" s="108"/>
      <c r="AF174" s="108"/>
      <c r="AG174" s="108"/>
      <c r="AH174" s="108"/>
      <c r="AI174" s="108"/>
      <c r="AJ174" s="108"/>
      <c r="AK174" s="108"/>
      <c r="AL174" s="108"/>
      <c r="AM174" s="108"/>
      <c r="AN174" s="108"/>
      <c r="AO174" s="108"/>
      <c r="AP174" s="108"/>
      <c r="AQ174" s="108"/>
      <c r="AR174" s="108"/>
      <c r="AS174" s="108"/>
      <c r="AT174" s="108"/>
      <c r="AU174" s="108"/>
      <c r="AV174" s="108"/>
      <c r="AW174" s="108"/>
      <c r="AX174" s="108"/>
      <c r="AY174" s="108"/>
      <c r="AZ174" s="108"/>
      <c r="BA174" s="108"/>
      <c r="BB174" s="108"/>
      <c r="BC174" s="108"/>
      <c r="BD174" s="108"/>
      <c r="BE174" s="108"/>
      <c r="BF174" s="108"/>
      <c r="BG174" s="108"/>
      <c r="BH174" s="108"/>
      <c r="BI174" s="108"/>
      <c r="BJ174" s="108"/>
      <c r="BK174" s="108"/>
      <c r="BL174" s="108"/>
      <c r="BM174" s="108"/>
      <c r="BN174" s="108"/>
      <c r="BO174" s="108"/>
      <c r="BP174" s="108"/>
      <c r="BQ174" s="108"/>
      <c r="BR174" s="108"/>
      <c r="BS174" s="108"/>
      <c r="BT174" s="108"/>
      <c r="BU174" s="108"/>
      <c r="BV174" s="108"/>
      <c r="BW174" s="108"/>
      <c r="BX174" s="108"/>
      <c r="BY174" s="108"/>
      <c r="BZ174" s="108"/>
      <c r="CA174" s="108"/>
      <c r="CB174" s="108"/>
      <c r="CC174" s="108"/>
      <c r="CD174" s="108"/>
      <c r="CE174" s="108"/>
      <c r="CF174" s="108"/>
      <c r="CG174" s="108"/>
      <c r="CH174" s="108"/>
      <c r="CI174" s="108"/>
      <c r="CJ174" s="108"/>
      <c r="CK174" s="108"/>
      <c r="CL174" s="108"/>
      <c r="CM174" s="108"/>
      <c r="CN174" s="108"/>
      <c r="CO174" s="108"/>
      <c r="CP174" s="108"/>
      <c r="CQ174" s="108"/>
      <c r="CR174" s="108"/>
      <c r="CS174" s="108"/>
      <c r="CT174" s="108"/>
      <c r="CU174" s="108"/>
      <c r="CV174" s="108"/>
      <c r="CW174" s="108"/>
      <c r="CX174" s="108"/>
      <c r="CY174" s="108"/>
      <c r="CZ174" s="108"/>
      <c r="DA174" s="108"/>
      <c r="DB174" s="108"/>
      <c r="DC174" s="108"/>
      <c r="DD174" s="108"/>
      <c r="DE174" s="108"/>
      <c r="DF174" s="108"/>
      <c r="DG174" s="108"/>
      <c r="DH174" s="108"/>
      <c r="DI174" s="108"/>
    </row>
    <row r="175" spans="1:113" x14ac:dyDescent="0.25">
      <c r="A175" s="152">
        <v>8</v>
      </c>
      <c r="B175" s="79" t="s">
        <v>204</v>
      </c>
      <c r="C175" s="80">
        <v>5000</v>
      </c>
      <c r="D175" s="142">
        <v>1009.13</v>
      </c>
      <c r="E175" s="43">
        <v>0</v>
      </c>
      <c r="F175" s="60"/>
      <c r="G175" s="139">
        <f t="shared" si="90"/>
        <v>0</v>
      </c>
      <c r="H175" s="55">
        <f t="shared" si="94"/>
        <v>0</v>
      </c>
      <c r="I175" s="56">
        <f t="shared" si="91"/>
        <v>0</v>
      </c>
      <c r="J175" s="56">
        <f t="shared" si="92"/>
        <v>0</v>
      </c>
      <c r="K175" s="57">
        <f t="shared" si="93"/>
        <v>0</v>
      </c>
      <c r="L175"/>
      <c r="M175" s="314">
        <f t="shared" si="95"/>
        <v>0</v>
      </c>
      <c r="N175" s="310"/>
      <c r="O175" s="315"/>
      <c r="P175" s="315"/>
      <c r="Q175" s="315"/>
      <c r="R175" s="315"/>
      <c r="S175" s="55"/>
      <c r="T175" s="55"/>
      <c r="U175" s="55"/>
      <c r="V175" s="55"/>
      <c r="W175" s="55"/>
      <c r="X175" s="55"/>
      <c r="Y175" s="55"/>
      <c r="Z175" s="55"/>
      <c r="AA175" s="55"/>
      <c r="AB175" s="55"/>
      <c r="AC175" s="55"/>
      <c r="AD175" s="55"/>
      <c r="AE175" s="55"/>
      <c r="AF175" s="55"/>
      <c r="AG175" s="55"/>
      <c r="AH175" s="55"/>
      <c r="AI175" s="55"/>
      <c r="AJ175" s="55"/>
      <c r="AK175" s="55"/>
      <c r="AL175" s="55"/>
      <c r="AM175" s="55"/>
      <c r="AN175" s="55"/>
      <c r="AO175" s="55"/>
      <c r="AP175" s="55"/>
      <c r="AQ175" s="55"/>
      <c r="AR175" s="55"/>
      <c r="AS175" s="55"/>
      <c r="AT175" s="55"/>
      <c r="AU175" s="55"/>
      <c r="AV175" s="55"/>
      <c r="AW175" s="55"/>
      <c r="AX175" s="55"/>
      <c r="AY175" s="55"/>
      <c r="AZ175" s="55"/>
      <c r="BA175" s="55"/>
      <c r="BB175" s="55"/>
      <c r="BC175" s="55"/>
      <c r="BD175" s="55"/>
      <c r="BE175" s="55"/>
      <c r="BF175" s="55"/>
      <c r="BG175" s="55"/>
      <c r="BH175" s="55"/>
      <c r="BI175" s="55"/>
      <c r="BJ175" s="55"/>
      <c r="BK175" s="55"/>
      <c r="BL175" s="55"/>
      <c r="BM175" s="55"/>
      <c r="BN175" s="55"/>
      <c r="BO175" s="55"/>
      <c r="BP175" s="55"/>
      <c r="BQ175" s="55"/>
      <c r="BR175" s="55"/>
      <c r="BS175" s="55"/>
      <c r="BT175" s="55"/>
      <c r="BU175" s="55"/>
      <c r="BV175" s="55"/>
      <c r="BW175" s="55"/>
      <c r="BX175" s="55"/>
      <c r="BY175" s="55"/>
      <c r="BZ175" s="55"/>
      <c r="CA175" s="55"/>
      <c r="CB175" s="55"/>
      <c r="CC175" s="55"/>
      <c r="CD175" s="55"/>
      <c r="CE175" s="55"/>
      <c r="CF175" s="55"/>
      <c r="CG175" s="55"/>
      <c r="CH175" s="55"/>
      <c r="CI175" s="55"/>
      <c r="CJ175" s="55"/>
      <c r="CK175" s="55"/>
      <c r="CL175" s="55"/>
      <c r="CM175" s="55"/>
      <c r="CN175" s="55"/>
      <c r="CO175" s="55"/>
      <c r="CP175" s="55"/>
      <c r="CQ175" s="55"/>
      <c r="CR175" s="55"/>
      <c r="CS175" s="55"/>
      <c r="CT175" s="55"/>
      <c r="CU175" s="55"/>
      <c r="CV175" s="55"/>
      <c r="CW175" s="55"/>
      <c r="CX175" s="55"/>
      <c r="CY175" s="55"/>
      <c r="CZ175" s="55"/>
      <c r="DA175" s="55"/>
      <c r="DB175" s="55"/>
      <c r="DC175" s="55"/>
      <c r="DD175" s="55"/>
      <c r="DE175" s="55"/>
      <c r="DF175" s="55"/>
      <c r="DG175" s="55"/>
      <c r="DH175" s="55"/>
      <c r="DI175" s="55"/>
    </row>
    <row r="176" spans="1:113" x14ac:dyDescent="0.25">
      <c r="A176" s="152">
        <v>9</v>
      </c>
      <c r="B176" s="79" t="s">
        <v>205</v>
      </c>
      <c r="C176" s="80">
        <v>5000</v>
      </c>
      <c r="D176" s="142">
        <v>1009.13</v>
      </c>
      <c r="E176" s="43">
        <v>0</v>
      </c>
      <c r="F176" s="60"/>
      <c r="G176" s="139">
        <f t="shared" si="90"/>
        <v>0</v>
      </c>
      <c r="H176" s="55">
        <f t="shared" si="94"/>
        <v>0</v>
      </c>
      <c r="I176" s="56">
        <f t="shared" si="91"/>
        <v>0</v>
      </c>
      <c r="J176" s="56">
        <f t="shared" si="92"/>
        <v>0</v>
      </c>
      <c r="K176" s="57">
        <f t="shared" si="93"/>
        <v>0</v>
      </c>
      <c r="L176"/>
      <c r="M176" s="314">
        <f t="shared" si="95"/>
        <v>0</v>
      </c>
      <c r="N176" s="310"/>
      <c r="O176" s="315"/>
      <c r="P176" s="315"/>
      <c r="Q176" s="315"/>
      <c r="R176" s="315"/>
      <c r="S176" s="55"/>
      <c r="T176" s="55"/>
      <c r="U176" s="55"/>
      <c r="V176" s="55"/>
      <c r="W176" s="55"/>
      <c r="X176" s="55"/>
      <c r="Y176" s="55"/>
      <c r="Z176" s="55"/>
      <c r="AA176" s="55"/>
      <c r="AB176" s="55"/>
      <c r="AC176" s="55"/>
      <c r="AD176" s="55"/>
      <c r="AE176" s="55"/>
      <c r="AF176" s="55"/>
      <c r="AG176" s="55"/>
      <c r="AH176" s="55"/>
      <c r="AI176" s="55"/>
      <c r="AJ176" s="55"/>
      <c r="AK176" s="55"/>
      <c r="AL176" s="55"/>
      <c r="AM176" s="55"/>
      <c r="AN176" s="55"/>
      <c r="AO176" s="55"/>
      <c r="AP176" s="55"/>
      <c r="AQ176" s="55"/>
      <c r="AR176" s="55"/>
      <c r="AS176" s="55"/>
      <c r="AT176" s="55"/>
      <c r="AU176" s="55"/>
      <c r="AV176" s="55"/>
      <c r="AW176" s="55"/>
      <c r="AX176" s="55"/>
      <c r="AY176" s="55"/>
      <c r="AZ176" s="55"/>
      <c r="BA176" s="55"/>
      <c r="BB176" s="55"/>
      <c r="BC176" s="55"/>
      <c r="BD176" s="55"/>
      <c r="BE176" s="55"/>
      <c r="BF176" s="55"/>
      <c r="BG176" s="55"/>
      <c r="BH176" s="55"/>
      <c r="BI176" s="55"/>
      <c r="BJ176" s="55"/>
      <c r="BK176" s="55"/>
      <c r="BL176" s="55"/>
      <c r="BM176" s="55"/>
      <c r="BN176" s="55"/>
      <c r="BO176" s="55"/>
      <c r="BP176" s="55"/>
      <c r="BQ176" s="55"/>
      <c r="BR176" s="55"/>
      <c r="BS176" s="55"/>
      <c r="BT176" s="55"/>
      <c r="BU176" s="55"/>
      <c r="BV176" s="55"/>
      <c r="BW176" s="55"/>
      <c r="BX176" s="55"/>
      <c r="BY176" s="55"/>
      <c r="BZ176" s="55"/>
      <c r="CA176" s="55"/>
      <c r="CB176" s="55"/>
      <c r="CC176" s="55"/>
      <c r="CD176" s="55"/>
      <c r="CE176" s="55"/>
      <c r="CF176" s="55"/>
      <c r="CG176" s="55"/>
      <c r="CH176" s="55"/>
      <c r="CI176" s="55"/>
      <c r="CJ176" s="55"/>
      <c r="CK176" s="55"/>
      <c r="CL176" s="55"/>
      <c r="CM176" s="55"/>
      <c r="CN176" s="55"/>
      <c r="CO176" s="55"/>
      <c r="CP176" s="55"/>
      <c r="CQ176" s="55"/>
      <c r="CR176" s="55"/>
      <c r="CS176" s="55"/>
      <c r="CT176" s="55"/>
      <c r="CU176" s="55"/>
      <c r="CV176" s="55"/>
      <c r="CW176" s="55"/>
      <c r="CX176" s="55"/>
      <c r="CY176" s="55"/>
      <c r="CZ176" s="55"/>
      <c r="DA176" s="55"/>
      <c r="DB176" s="55"/>
      <c r="DC176" s="55"/>
      <c r="DD176" s="55"/>
      <c r="DE176" s="55"/>
      <c r="DF176" s="55"/>
      <c r="DG176" s="55"/>
      <c r="DH176" s="55"/>
      <c r="DI176" s="55"/>
    </row>
    <row r="177" spans="1:113" x14ac:dyDescent="0.25">
      <c r="A177" s="152">
        <v>10</v>
      </c>
      <c r="B177" s="79" t="s">
        <v>206</v>
      </c>
      <c r="C177" s="80">
        <v>5000</v>
      </c>
      <c r="D177" s="142">
        <v>1009.13</v>
      </c>
      <c r="E177" s="43">
        <v>0</v>
      </c>
      <c r="F177" s="60"/>
      <c r="G177" s="139">
        <f t="shared" si="90"/>
        <v>0</v>
      </c>
      <c r="H177" s="55">
        <f t="shared" si="94"/>
        <v>0</v>
      </c>
      <c r="I177" s="56">
        <f t="shared" si="91"/>
        <v>0</v>
      </c>
      <c r="J177" s="56">
        <f t="shared" si="92"/>
        <v>0</v>
      </c>
      <c r="K177" s="57">
        <f t="shared" si="93"/>
        <v>0</v>
      </c>
      <c r="L177"/>
      <c r="M177" s="314">
        <f t="shared" si="95"/>
        <v>0</v>
      </c>
      <c r="N177" s="310"/>
      <c r="O177" s="315"/>
      <c r="P177" s="315"/>
      <c r="Q177" s="315"/>
      <c r="R177" s="315"/>
      <c r="S177" s="55"/>
      <c r="T177" s="55"/>
      <c r="U177" s="55"/>
      <c r="V177" s="55"/>
      <c r="W177" s="55"/>
      <c r="X177" s="55"/>
      <c r="Y177" s="55"/>
      <c r="Z177" s="55"/>
      <c r="AA177" s="55"/>
      <c r="AB177" s="55"/>
      <c r="AC177" s="55"/>
      <c r="AD177" s="55"/>
      <c r="AE177" s="55"/>
      <c r="AF177" s="55"/>
      <c r="AG177" s="55"/>
      <c r="AH177" s="55"/>
      <c r="AI177" s="55"/>
      <c r="AJ177" s="55"/>
      <c r="AK177" s="55"/>
      <c r="AL177" s="55"/>
      <c r="AM177" s="55"/>
      <c r="AN177" s="55"/>
      <c r="AO177" s="55"/>
      <c r="AP177" s="55"/>
      <c r="AQ177" s="55"/>
      <c r="AR177" s="55"/>
      <c r="AS177" s="55"/>
      <c r="AT177" s="55"/>
      <c r="AU177" s="55"/>
      <c r="AV177" s="55"/>
      <c r="AW177" s="55"/>
      <c r="AX177" s="55"/>
      <c r="AY177" s="55"/>
      <c r="AZ177" s="55"/>
      <c r="BA177" s="55"/>
      <c r="BB177" s="55"/>
      <c r="BC177" s="55"/>
      <c r="BD177" s="55"/>
      <c r="BE177" s="55"/>
      <c r="BF177" s="55"/>
      <c r="BG177" s="55"/>
      <c r="BH177" s="55"/>
      <c r="BI177" s="55"/>
      <c r="BJ177" s="55"/>
      <c r="BK177" s="55"/>
      <c r="BL177" s="55"/>
      <c r="BM177" s="55"/>
      <c r="BN177" s="55"/>
      <c r="BO177" s="55"/>
      <c r="BP177" s="55"/>
      <c r="BQ177" s="55"/>
      <c r="BR177" s="55"/>
      <c r="BS177" s="55"/>
      <c r="BT177" s="55"/>
      <c r="BU177" s="55"/>
      <c r="BV177" s="55"/>
      <c r="BW177" s="55"/>
      <c r="BX177" s="55"/>
      <c r="BY177" s="55"/>
      <c r="BZ177" s="55"/>
      <c r="CA177" s="55"/>
      <c r="CB177" s="55"/>
      <c r="CC177" s="55"/>
      <c r="CD177" s="55"/>
      <c r="CE177" s="55"/>
      <c r="CF177" s="55"/>
      <c r="CG177" s="55"/>
      <c r="CH177" s="55"/>
      <c r="CI177" s="55"/>
      <c r="CJ177" s="55"/>
      <c r="CK177" s="55"/>
      <c r="CL177" s="55"/>
      <c r="CM177" s="55"/>
      <c r="CN177" s="55"/>
      <c r="CO177" s="55"/>
      <c r="CP177" s="55"/>
      <c r="CQ177" s="55"/>
      <c r="CR177" s="55"/>
      <c r="CS177" s="55"/>
      <c r="CT177" s="55"/>
      <c r="CU177" s="55"/>
      <c r="CV177" s="55"/>
      <c r="CW177" s="55"/>
      <c r="CX177" s="55"/>
      <c r="CY177" s="55"/>
      <c r="CZ177" s="55"/>
      <c r="DA177" s="55"/>
      <c r="DB177" s="55"/>
      <c r="DC177" s="55"/>
      <c r="DD177" s="55"/>
      <c r="DE177" s="55"/>
      <c r="DF177" s="55"/>
      <c r="DG177" s="55"/>
      <c r="DH177" s="55"/>
      <c r="DI177" s="55"/>
    </row>
    <row r="178" spans="1:113" x14ac:dyDescent="0.25">
      <c r="A178" s="152">
        <v>11</v>
      </c>
      <c r="B178" s="79" t="s">
        <v>207</v>
      </c>
      <c r="C178" s="238">
        <v>2500</v>
      </c>
      <c r="D178" s="142">
        <v>1018.33</v>
      </c>
      <c r="E178" s="43">
        <v>0</v>
      </c>
      <c r="F178" s="60">
        <f>1800-1800</f>
        <v>0</v>
      </c>
      <c r="G178" s="139">
        <f t="shared" si="90"/>
        <v>0</v>
      </c>
      <c r="H178" s="55">
        <f>400-400</f>
        <v>0</v>
      </c>
      <c r="I178" s="56">
        <f t="shared" si="91"/>
        <v>0</v>
      </c>
      <c r="J178" s="56">
        <f t="shared" si="92"/>
        <v>0</v>
      </c>
      <c r="K178" s="57">
        <f t="shared" si="93"/>
        <v>0</v>
      </c>
      <c r="L178"/>
      <c r="M178" s="314">
        <f t="shared" si="95"/>
        <v>0</v>
      </c>
      <c r="N178" s="310"/>
      <c r="O178" s="315"/>
      <c r="P178" s="315"/>
      <c r="Q178" s="315"/>
      <c r="R178" s="315"/>
      <c r="S178" s="55"/>
      <c r="T178" s="55"/>
      <c r="U178" s="55"/>
      <c r="V178" s="55"/>
      <c r="W178" s="55"/>
      <c r="X178" s="55"/>
      <c r="Y178" s="55"/>
      <c r="Z178" s="55"/>
      <c r="AA178" s="55"/>
      <c r="AB178" s="55"/>
      <c r="AC178" s="55"/>
      <c r="AD178" s="55"/>
      <c r="AE178" s="55"/>
      <c r="AF178" s="55"/>
      <c r="AG178" s="55"/>
      <c r="AH178" s="55"/>
      <c r="AI178" s="55"/>
      <c r="AJ178" s="55"/>
      <c r="AK178" s="55"/>
      <c r="AL178" s="55"/>
      <c r="AM178" s="55"/>
      <c r="AN178" s="55"/>
      <c r="AO178" s="55"/>
      <c r="AP178" s="55"/>
      <c r="AQ178" s="55"/>
      <c r="AR178" s="55"/>
      <c r="AS178" s="55"/>
      <c r="AT178" s="55"/>
      <c r="AU178" s="55"/>
      <c r="AV178" s="55"/>
      <c r="AW178" s="55"/>
      <c r="AX178" s="55"/>
      <c r="AY178" s="55"/>
      <c r="AZ178" s="55"/>
      <c r="BA178" s="55"/>
      <c r="BB178" s="55"/>
      <c r="BC178" s="55"/>
      <c r="BD178" s="55"/>
      <c r="BE178" s="55"/>
      <c r="BF178" s="55"/>
      <c r="BG178" s="55"/>
      <c r="BH178" s="55"/>
      <c r="BI178" s="55"/>
      <c r="BJ178" s="55"/>
      <c r="BK178" s="55"/>
      <c r="BL178" s="55"/>
      <c r="BM178" s="55"/>
      <c r="BN178" s="55"/>
      <c r="BO178" s="55"/>
      <c r="BP178" s="55"/>
      <c r="BQ178" s="55"/>
      <c r="BR178" s="55"/>
      <c r="BS178" s="55"/>
      <c r="BT178" s="55"/>
      <c r="BU178" s="55"/>
      <c r="BV178" s="55"/>
      <c r="BW178" s="55"/>
      <c r="BX178" s="55"/>
      <c r="BY178" s="55"/>
      <c r="BZ178" s="55"/>
      <c r="CA178" s="55"/>
      <c r="CB178" s="55"/>
      <c r="CC178" s="55"/>
      <c r="CD178" s="55"/>
      <c r="CE178" s="55"/>
      <c r="CF178" s="55"/>
      <c r="CG178" s="55"/>
      <c r="CH178" s="55"/>
      <c r="CI178" s="55"/>
      <c r="CJ178" s="55"/>
      <c r="CK178" s="55"/>
      <c r="CL178" s="55"/>
      <c r="CM178" s="55"/>
      <c r="CN178" s="55"/>
      <c r="CO178" s="55"/>
      <c r="CP178" s="55"/>
      <c r="CQ178" s="55"/>
      <c r="CR178" s="55"/>
      <c r="CS178" s="55"/>
      <c r="CT178" s="55"/>
      <c r="CU178" s="55"/>
      <c r="CV178" s="55"/>
      <c r="CW178" s="55"/>
      <c r="CX178" s="55"/>
      <c r="CY178" s="55"/>
      <c r="CZ178" s="55"/>
      <c r="DA178" s="55"/>
      <c r="DB178" s="55"/>
      <c r="DC178" s="55"/>
      <c r="DD178" s="55"/>
      <c r="DE178" s="55"/>
      <c r="DF178" s="55"/>
      <c r="DG178" s="55"/>
      <c r="DH178" s="55"/>
      <c r="DI178" s="55"/>
    </row>
    <row r="179" spans="1:113" x14ac:dyDescent="0.25">
      <c r="A179" s="152">
        <v>12</v>
      </c>
      <c r="B179" s="79" t="s">
        <v>776</v>
      </c>
      <c r="C179" s="80">
        <v>5000</v>
      </c>
      <c r="D179" s="142">
        <v>1221.53</v>
      </c>
      <c r="E179" s="43">
        <v>0</v>
      </c>
      <c r="F179" s="60"/>
      <c r="G179" s="139">
        <f t="shared" si="90"/>
        <v>0</v>
      </c>
      <c r="H179" s="55">
        <f>800-800</f>
        <v>0</v>
      </c>
      <c r="I179" s="56">
        <f t="shared" si="91"/>
        <v>0</v>
      </c>
      <c r="J179" s="56">
        <f t="shared" si="92"/>
        <v>0</v>
      </c>
      <c r="K179" s="57">
        <f t="shared" si="93"/>
        <v>0</v>
      </c>
      <c r="L179"/>
      <c r="M179" s="314">
        <f t="shared" si="95"/>
        <v>0</v>
      </c>
      <c r="N179" s="310"/>
      <c r="O179" s="315"/>
      <c r="P179" s="315"/>
      <c r="Q179" s="315"/>
      <c r="R179" s="315"/>
      <c r="S179" s="55"/>
      <c r="T179" s="55"/>
      <c r="U179" s="55"/>
      <c r="V179" s="55"/>
      <c r="W179" s="55"/>
      <c r="X179" s="55"/>
      <c r="Y179" s="55"/>
      <c r="Z179" s="55"/>
      <c r="AA179" s="55"/>
      <c r="AB179" s="55"/>
      <c r="AC179" s="55"/>
      <c r="AD179" s="55"/>
      <c r="AE179" s="55"/>
      <c r="AF179" s="55"/>
      <c r="AG179" s="55"/>
      <c r="AH179" s="55"/>
      <c r="AI179" s="55"/>
      <c r="AJ179" s="55"/>
      <c r="AK179" s="55"/>
      <c r="AL179" s="55"/>
      <c r="AM179" s="55"/>
      <c r="AN179" s="55"/>
      <c r="AO179" s="55"/>
      <c r="AP179" s="55"/>
      <c r="AQ179" s="55"/>
      <c r="AR179" s="55"/>
      <c r="AS179" s="55"/>
      <c r="AT179" s="55"/>
      <c r="AU179" s="55"/>
      <c r="AV179" s="55"/>
      <c r="AW179" s="55"/>
      <c r="AX179" s="55"/>
      <c r="AY179" s="55"/>
      <c r="AZ179" s="55"/>
      <c r="BA179" s="55"/>
      <c r="BB179" s="55"/>
      <c r="BC179" s="55"/>
      <c r="BD179" s="55"/>
      <c r="BE179" s="55"/>
      <c r="BF179" s="55"/>
      <c r="BG179" s="55"/>
      <c r="BH179" s="55"/>
      <c r="BI179" s="55"/>
      <c r="BJ179" s="55"/>
      <c r="BK179" s="55"/>
      <c r="BL179" s="55"/>
      <c r="BM179" s="55"/>
      <c r="BN179" s="55"/>
      <c r="BO179" s="55"/>
      <c r="BP179" s="55"/>
      <c r="BQ179" s="55"/>
      <c r="BR179" s="55"/>
      <c r="BS179" s="55"/>
      <c r="BT179" s="55"/>
      <c r="BU179" s="55"/>
      <c r="BV179" s="55"/>
      <c r="BW179" s="55"/>
      <c r="BX179" s="55"/>
      <c r="BY179" s="55"/>
      <c r="BZ179" s="55"/>
      <c r="CA179" s="55"/>
      <c r="CB179" s="55"/>
      <c r="CC179" s="55"/>
      <c r="CD179" s="55"/>
      <c r="CE179" s="55"/>
      <c r="CF179" s="55"/>
      <c r="CG179" s="55"/>
      <c r="CH179" s="55"/>
      <c r="CI179" s="55"/>
      <c r="CJ179" s="55"/>
      <c r="CK179" s="55"/>
      <c r="CL179" s="55"/>
      <c r="CM179" s="55"/>
      <c r="CN179" s="55"/>
      <c r="CO179" s="55"/>
      <c r="CP179" s="55"/>
      <c r="CQ179" s="55"/>
      <c r="CR179" s="55"/>
      <c r="CS179" s="55"/>
      <c r="CT179" s="55"/>
      <c r="CU179" s="55"/>
      <c r="CV179" s="55"/>
      <c r="CW179" s="55"/>
      <c r="CX179" s="55"/>
      <c r="CY179" s="55"/>
      <c r="CZ179" s="55"/>
      <c r="DA179" s="55"/>
      <c r="DB179" s="55"/>
      <c r="DC179" s="55"/>
      <c r="DD179" s="55"/>
      <c r="DE179" s="55"/>
      <c r="DF179" s="55"/>
      <c r="DG179" s="55"/>
      <c r="DH179" s="55"/>
      <c r="DI179" s="55"/>
    </row>
    <row r="180" spans="1:113" x14ac:dyDescent="0.25">
      <c r="A180" s="152">
        <v>13</v>
      </c>
      <c r="B180" s="79" t="s">
        <v>208</v>
      </c>
      <c r="C180" s="80">
        <v>5000</v>
      </c>
      <c r="D180" s="142">
        <v>2009.13</v>
      </c>
      <c r="E180" s="43">
        <v>0</v>
      </c>
      <c r="F180" s="60"/>
      <c r="G180" s="139">
        <f t="shared" si="90"/>
        <v>0</v>
      </c>
      <c r="H180" s="55">
        <f>995-995</f>
        <v>0</v>
      </c>
      <c r="I180" s="56">
        <f t="shared" si="91"/>
        <v>0</v>
      </c>
      <c r="J180" s="56">
        <f t="shared" si="92"/>
        <v>0</v>
      </c>
      <c r="K180" s="57">
        <f t="shared" si="93"/>
        <v>0</v>
      </c>
      <c r="L180"/>
      <c r="M180" s="314">
        <f t="shared" si="95"/>
        <v>0</v>
      </c>
      <c r="N180" s="310"/>
      <c r="O180" s="315"/>
      <c r="P180" s="315"/>
      <c r="Q180" s="315"/>
      <c r="R180" s="315"/>
      <c r="S180" s="55"/>
      <c r="T180" s="55"/>
      <c r="U180" s="55"/>
      <c r="V180" s="55"/>
      <c r="W180" s="55"/>
      <c r="X180" s="55"/>
      <c r="Y180" s="55"/>
      <c r="Z180" s="55"/>
      <c r="AA180" s="55"/>
      <c r="AB180" s="55"/>
      <c r="AC180" s="55"/>
      <c r="AD180" s="55"/>
      <c r="AE180" s="55"/>
      <c r="AF180" s="55"/>
      <c r="AG180" s="55"/>
      <c r="AH180" s="55"/>
      <c r="AI180" s="55"/>
      <c r="AJ180" s="55"/>
      <c r="AK180" s="55"/>
      <c r="AL180" s="55"/>
      <c r="AM180" s="55"/>
      <c r="AN180" s="55"/>
      <c r="AO180" s="55"/>
      <c r="AP180" s="55"/>
      <c r="AQ180" s="55"/>
      <c r="AR180" s="55"/>
      <c r="AS180" s="55"/>
      <c r="AT180" s="55"/>
      <c r="AU180" s="55"/>
      <c r="AV180" s="55"/>
      <c r="AW180" s="55"/>
      <c r="AX180" s="55"/>
      <c r="AY180" s="55"/>
      <c r="AZ180" s="55"/>
      <c r="BA180" s="55"/>
      <c r="BB180" s="55"/>
      <c r="BC180" s="55"/>
      <c r="BD180" s="55"/>
      <c r="BE180" s="55"/>
      <c r="BF180" s="55"/>
      <c r="BG180" s="55"/>
      <c r="BH180" s="55"/>
      <c r="BI180" s="55"/>
      <c r="BJ180" s="55"/>
      <c r="BK180" s="55"/>
      <c r="BL180" s="55"/>
      <c r="BM180" s="55"/>
      <c r="BN180" s="55"/>
      <c r="BO180" s="55"/>
      <c r="BP180" s="55"/>
      <c r="BQ180" s="55"/>
      <c r="BR180" s="55"/>
      <c r="BS180" s="55"/>
      <c r="BT180" s="55"/>
      <c r="BU180" s="55"/>
      <c r="BV180" s="55"/>
      <c r="BW180" s="55"/>
      <c r="BX180" s="55"/>
      <c r="BY180" s="55"/>
      <c r="BZ180" s="55"/>
      <c r="CA180" s="55"/>
      <c r="CB180" s="55"/>
      <c r="CC180" s="55"/>
      <c r="CD180" s="55"/>
      <c r="CE180" s="55"/>
      <c r="CF180" s="55"/>
      <c r="CG180" s="55"/>
      <c r="CH180" s="55"/>
      <c r="CI180" s="55"/>
      <c r="CJ180" s="55"/>
      <c r="CK180" s="55"/>
      <c r="CL180" s="55"/>
      <c r="CM180" s="55"/>
      <c r="CN180" s="55"/>
      <c r="CO180" s="55"/>
      <c r="CP180" s="55"/>
      <c r="CQ180" s="55"/>
      <c r="CR180" s="55"/>
      <c r="CS180" s="55"/>
      <c r="CT180" s="55"/>
      <c r="CU180" s="55"/>
      <c r="CV180" s="55"/>
      <c r="CW180" s="55"/>
      <c r="CX180" s="55"/>
      <c r="CY180" s="55"/>
      <c r="CZ180" s="55"/>
      <c r="DA180" s="55"/>
      <c r="DB180" s="55"/>
      <c r="DC180" s="55"/>
      <c r="DD180" s="55"/>
      <c r="DE180" s="55"/>
      <c r="DF180" s="55"/>
      <c r="DG180" s="55"/>
      <c r="DH180" s="55"/>
      <c r="DI180" s="55"/>
    </row>
    <row r="181" spans="1:113" x14ac:dyDescent="0.25">
      <c r="A181" s="152">
        <v>14</v>
      </c>
      <c r="B181" s="79" t="s">
        <v>888</v>
      </c>
      <c r="C181" s="80">
        <v>10000</v>
      </c>
      <c r="D181" s="142">
        <v>956.88</v>
      </c>
      <c r="E181" s="43">
        <v>200</v>
      </c>
      <c r="F181" s="60"/>
      <c r="G181" s="139">
        <f t="shared" si="90"/>
        <v>200</v>
      </c>
      <c r="H181" s="55">
        <f>1200/2-600</f>
        <v>0</v>
      </c>
      <c r="I181" s="56">
        <f t="shared" si="91"/>
        <v>200</v>
      </c>
      <c r="J181" s="56">
        <f t="shared" si="92"/>
        <v>2000000</v>
      </c>
      <c r="K181" s="57">
        <f t="shared" si="93"/>
        <v>191376</v>
      </c>
      <c r="L181"/>
      <c r="M181" s="314">
        <f t="shared" ref="M181:M183" si="96">SUM(N181:DJ181)</f>
        <v>0</v>
      </c>
      <c r="N181" s="310"/>
      <c r="O181" s="315"/>
      <c r="P181" s="315"/>
      <c r="Q181" s="315"/>
      <c r="R181" s="315"/>
      <c r="S181" s="55"/>
      <c r="T181" s="55"/>
      <c r="U181" s="55"/>
      <c r="V181" s="55"/>
      <c r="W181" s="55"/>
      <c r="X181" s="55"/>
      <c r="Y181" s="55"/>
      <c r="Z181" s="55"/>
      <c r="AA181" s="55"/>
      <c r="AB181" s="55"/>
      <c r="AC181" s="55"/>
      <c r="AD181" s="55"/>
      <c r="AE181" s="55"/>
      <c r="AF181" s="55"/>
      <c r="AG181" s="55"/>
      <c r="AH181" s="55"/>
      <c r="AI181" s="55"/>
      <c r="AJ181" s="55"/>
      <c r="AK181" s="55"/>
      <c r="AL181" s="55"/>
      <c r="AM181" s="55"/>
      <c r="AN181" s="55"/>
      <c r="AO181" s="55"/>
      <c r="AP181" s="55"/>
      <c r="AQ181" s="55"/>
      <c r="AR181" s="55"/>
      <c r="AS181" s="55"/>
      <c r="AT181" s="55"/>
      <c r="AU181" s="55"/>
      <c r="AV181" s="55"/>
      <c r="AW181" s="55"/>
      <c r="AX181" s="55"/>
      <c r="AY181" s="55"/>
      <c r="AZ181" s="55"/>
      <c r="BA181" s="55"/>
      <c r="BB181" s="55"/>
      <c r="BC181" s="55"/>
      <c r="BD181" s="55"/>
      <c r="BE181" s="55"/>
      <c r="BF181" s="55"/>
      <c r="BG181" s="55"/>
      <c r="BH181" s="55"/>
      <c r="BI181" s="55"/>
      <c r="BJ181" s="55"/>
      <c r="BK181" s="55"/>
      <c r="BL181" s="55"/>
      <c r="BM181" s="55"/>
      <c r="BN181" s="55"/>
      <c r="BO181" s="55"/>
      <c r="BP181" s="55"/>
      <c r="BQ181" s="55"/>
      <c r="BR181" s="55"/>
      <c r="BS181" s="55"/>
      <c r="BT181" s="55"/>
      <c r="BU181" s="55"/>
      <c r="BV181" s="55"/>
      <c r="BW181" s="55"/>
      <c r="BX181" s="55"/>
      <c r="BY181" s="55"/>
      <c r="BZ181" s="55"/>
      <c r="CA181" s="55"/>
      <c r="CB181" s="55"/>
      <c r="CC181" s="55"/>
      <c r="CD181" s="55"/>
      <c r="CE181" s="55"/>
      <c r="CF181" s="55"/>
      <c r="CG181" s="55"/>
      <c r="CH181" s="55"/>
      <c r="CI181" s="55"/>
      <c r="CJ181" s="55"/>
      <c r="CK181" s="55"/>
      <c r="CL181" s="55"/>
      <c r="CM181" s="55"/>
      <c r="CN181" s="55"/>
      <c r="CO181" s="55"/>
      <c r="CP181" s="55"/>
      <c r="CQ181" s="55"/>
      <c r="CR181" s="55"/>
      <c r="CS181" s="55"/>
      <c r="CT181" s="55"/>
      <c r="CU181" s="55"/>
      <c r="CV181" s="55"/>
      <c r="CW181" s="55"/>
      <c r="CX181" s="55"/>
      <c r="CY181" s="55"/>
      <c r="CZ181" s="55"/>
      <c r="DA181" s="55"/>
      <c r="DB181" s="55"/>
      <c r="DC181" s="55"/>
      <c r="DD181" s="55"/>
      <c r="DE181" s="55"/>
      <c r="DF181" s="55"/>
      <c r="DG181" s="55"/>
      <c r="DH181" s="55"/>
      <c r="DI181" s="55"/>
    </row>
    <row r="182" spans="1:113" ht="15.75" thickBot="1" x14ac:dyDescent="0.3">
      <c r="A182" s="153">
        <v>15</v>
      </c>
      <c r="B182" s="144" t="s">
        <v>210</v>
      </c>
      <c r="C182" s="82">
        <f>+'[4]KEL B'!$FA$5</f>
        <v>5000</v>
      </c>
      <c r="D182" s="145">
        <v>1009.13</v>
      </c>
      <c r="E182" s="154">
        <v>0</v>
      </c>
      <c r="F182" s="156"/>
      <c r="G182" s="147">
        <f t="shared" si="90"/>
        <v>0</v>
      </c>
      <c r="H182" s="58">
        <f>1000-1000</f>
        <v>0</v>
      </c>
      <c r="I182" s="64">
        <f t="shared" si="91"/>
        <v>0</v>
      </c>
      <c r="J182" s="64">
        <f t="shared" si="92"/>
        <v>0</v>
      </c>
      <c r="K182" s="65">
        <f t="shared" si="93"/>
        <v>0</v>
      </c>
      <c r="L182"/>
      <c r="M182" s="314">
        <f t="shared" si="96"/>
        <v>0</v>
      </c>
      <c r="N182" s="310"/>
      <c r="O182" s="315"/>
      <c r="P182" s="315"/>
      <c r="Q182" s="315"/>
      <c r="R182" s="315"/>
      <c r="S182" s="55"/>
      <c r="T182" s="55"/>
      <c r="U182" s="55"/>
      <c r="V182" s="55"/>
      <c r="W182" s="55"/>
      <c r="X182" s="55"/>
      <c r="Y182" s="55"/>
      <c r="Z182" s="55"/>
      <c r="AA182" s="55"/>
      <c r="AB182" s="55"/>
      <c r="AC182" s="55"/>
      <c r="AD182" s="55"/>
      <c r="AE182" s="55"/>
      <c r="AF182" s="55"/>
      <c r="AG182" s="55"/>
      <c r="AH182" s="55"/>
      <c r="AI182" s="55"/>
      <c r="AJ182" s="55"/>
      <c r="AK182" s="55"/>
      <c r="AL182" s="55"/>
      <c r="AM182" s="55"/>
      <c r="AN182" s="55"/>
      <c r="AO182" s="55"/>
      <c r="AP182" s="55"/>
      <c r="AQ182" s="55"/>
      <c r="AR182" s="55"/>
      <c r="AS182" s="55"/>
      <c r="AT182" s="55"/>
      <c r="AU182" s="55"/>
      <c r="AV182" s="55"/>
      <c r="AW182" s="55"/>
      <c r="AX182" s="55"/>
      <c r="AY182" s="55"/>
      <c r="AZ182" s="55"/>
      <c r="BA182" s="55"/>
      <c r="BB182" s="55"/>
      <c r="BC182" s="55"/>
      <c r="BD182" s="55"/>
      <c r="BE182" s="55"/>
      <c r="BF182" s="55"/>
      <c r="BG182" s="55"/>
      <c r="BH182" s="55"/>
      <c r="BI182" s="55"/>
      <c r="BJ182" s="55"/>
      <c r="BK182" s="55"/>
      <c r="BL182" s="55"/>
      <c r="BM182" s="55"/>
      <c r="BN182" s="55"/>
      <c r="BO182" s="55"/>
      <c r="BP182" s="55"/>
      <c r="BQ182" s="55"/>
      <c r="BR182" s="55"/>
      <c r="BS182" s="55"/>
      <c r="BT182" s="55"/>
      <c r="BU182" s="55"/>
      <c r="BV182" s="55"/>
      <c r="BW182" s="55"/>
      <c r="BX182" s="55"/>
      <c r="BY182" s="55"/>
      <c r="BZ182" s="55"/>
      <c r="CA182" s="55"/>
      <c r="CB182" s="55"/>
      <c r="CC182" s="55"/>
      <c r="CD182" s="55"/>
      <c r="CE182" s="55"/>
      <c r="CF182" s="55"/>
      <c r="CG182" s="55"/>
      <c r="CH182" s="55"/>
      <c r="CI182" s="55"/>
      <c r="CJ182" s="55"/>
      <c r="CK182" s="55"/>
      <c r="CL182" s="55"/>
      <c r="CM182" s="55"/>
      <c r="CN182" s="55"/>
      <c r="CO182" s="55"/>
      <c r="CP182" s="55"/>
      <c r="CQ182" s="55"/>
      <c r="CR182" s="55"/>
      <c r="CS182" s="55"/>
      <c r="CT182" s="55"/>
      <c r="CU182" s="55"/>
      <c r="CV182" s="55"/>
      <c r="CW182" s="55"/>
      <c r="CX182" s="55"/>
      <c r="CY182" s="55"/>
      <c r="CZ182" s="55"/>
      <c r="DA182" s="55"/>
      <c r="DB182" s="55"/>
      <c r="DC182" s="55"/>
      <c r="DD182" s="55"/>
      <c r="DE182" s="55"/>
      <c r="DF182" s="55"/>
      <c r="DG182" s="55"/>
      <c r="DH182" s="55"/>
      <c r="DI182" s="55"/>
    </row>
    <row r="183" spans="1:113" ht="15.75" thickBot="1" x14ac:dyDescent="0.3">
      <c r="A183" s="128"/>
      <c r="B183" s="119" t="s">
        <v>676</v>
      </c>
      <c r="C183" s="36"/>
      <c r="D183" s="29"/>
      <c r="E183" s="29">
        <f>SUM(E168:E182)</f>
        <v>200</v>
      </c>
      <c r="F183" s="29">
        <f>SUM(F168:F182)</f>
        <v>0</v>
      </c>
      <c r="G183" s="29">
        <f>SUM(G168:G182)</f>
        <v>200</v>
      </c>
      <c r="H183" s="29">
        <f>SUM(H168:H182)</f>
        <v>0</v>
      </c>
      <c r="I183" s="29">
        <f>SUM(I168:I182)</f>
        <v>200</v>
      </c>
      <c r="J183" s="29">
        <f t="shared" ref="J183:K183" si="97">SUM(J168:J182)</f>
        <v>2000000</v>
      </c>
      <c r="K183" s="47">
        <f t="shared" si="97"/>
        <v>191376</v>
      </c>
      <c r="L183"/>
      <c r="M183" s="322">
        <f t="shared" si="96"/>
        <v>0</v>
      </c>
      <c r="N183" s="325"/>
      <c r="O183" s="325"/>
      <c r="P183" s="325"/>
      <c r="Q183" s="325"/>
      <c r="R183" s="325"/>
      <c r="S183" s="324"/>
      <c r="T183" s="324"/>
      <c r="U183" s="324"/>
      <c r="V183" s="324"/>
      <c r="W183" s="324"/>
      <c r="X183" s="324"/>
      <c r="Y183" s="324"/>
      <c r="Z183" s="324"/>
      <c r="AA183" s="324"/>
      <c r="AB183" s="324"/>
      <c r="AC183" s="324"/>
      <c r="AD183" s="324"/>
      <c r="AE183" s="324"/>
      <c r="AF183" s="324"/>
      <c r="AG183" s="324"/>
      <c r="AH183" s="324"/>
      <c r="AI183" s="324"/>
      <c r="AJ183" s="324"/>
      <c r="AK183" s="324"/>
      <c r="AL183" s="324"/>
      <c r="AM183" s="324"/>
      <c r="AN183" s="324"/>
      <c r="AO183" s="324"/>
      <c r="AP183" s="324"/>
      <c r="AQ183" s="324"/>
      <c r="AR183" s="324"/>
      <c r="AS183" s="324"/>
      <c r="AT183" s="324"/>
      <c r="AU183" s="324"/>
      <c r="AV183" s="324"/>
      <c r="AW183" s="324"/>
      <c r="AX183" s="324"/>
      <c r="AY183" s="324"/>
      <c r="AZ183" s="324"/>
      <c r="BA183" s="324"/>
      <c r="BB183" s="324"/>
      <c r="BC183" s="324"/>
      <c r="BD183" s="324"/>
      <c r="BE183" s="324"/>
      <c r="BF183" s="324"/>
      <c r="BG183" s="324"/>
      <c r="BH183" s="324"/>
      <c r="BI183" s="324"/>
      <c r="BJ183" s="324"/>
      <c r="BK183" s="324"/>
      <c r="BL183" s="324"/>
      <c r="BM183" s="324"/>
      <c r="BN183" s="324"/>
      <c r="BO183" s="324"/>
      <c r="BP183" s="324"/>
      <c r="BQ183" s="324"/>
      <c r="BR183" s="324"/>
      <c r="BS183" s="324"/>
      <c r="BT183" s="324"/>
      <c r="BU183" s="324"/>
      <c r="BV183" s="324"/>
      <c r="BW183" s="324"/>
      <c r="BX183" s="324"/>
      <c r="BY183" s="324"/>
      <c r="BZ183" s="324"/>
      <c r="CA183" s="324"/>
      <c r="CB183" s="324"/>
      <c r="CC183" s="324"/>
      <c r="CD183" s="324"/>
      <c r="CE183" s="324"/>
      <c r="CF183" s="324"/>
      <c r="CG183" s="324"/>
      <c r="CH183" s="324"/>
      <c r="CI183" s="324"/>
      <c r="CJ183" s="324"/>
      <c r="CK183" s="324"/>
      <c r="CL183" s="324"/>
      <c r="CM183" s="324"/>
      <c r="CN183" s="324"/>
      <c r="CO183" s="324"/>
      <c r="CP183" s="324"/>
      <c r="CQ183" s="324"/>
      <c r="CR183" s="324"/>
      <c r="CS183" s="324"/>
      <c r="CT183" s="324"/>
      <c r="CU183" s="324"/>
      <c r="CV183" s="324"/>
      <c r="CW183" s="324"/>
      <c r="CX183" s="324"/>
      <c r="CY183" s="324"/>
      <c r="CZ183" s="324"/>
      <c r="DA183" s="324"/>
      <c r="DB183" s="324"/>
      <c r="DC183" s="324"/>
      <c r="DD183" s="324"/>
      <c r="DE183" s="324"/>
      <c r="DF183" s="324"/>
      <c r="DG183" s="324"/>
      <c r="DH183" s="324"/>
      <c r="DI183" s="324"/>
    </row>
    <row r="184" spans="1:113" customFormat="1" ht="15.75" thickBot="1" x14ac:dyDescent="0.3"/>
    <row r="185" spans="1:113" ht="15.75" thickBot="1" x14ac:dyDescent="0.3">
      <c r="A185" s="407" t="s">
        <v>657</v>
      </c>
      <c r="B185" s="414" t="s">
        <v>708</v>
      </c>
      <c r="C185" s="414" t="s">
        <v>1</v>
      </c>
      <c r="D185" s="415" t="s">
        <v>649</v>
      </c>
      <c r="E185" s="416" t="s">
        <v>19</v>
      </c>
      <c r="F185" s="416"/>
      <c r="G185" s="416"/>
      <c r="H185" s="416"/>
      <c r="I185" s="416"/>
      <c r="J185" s="410" t="s">
        <v>21</v>
      </c>
      <c r="K185" s="417" t="s">
        <v>602</v>
      </c>
      <c r="L185"/>
      <c r="M185" s="400" t="s">
        <v>601</v>
      </c>
      <c r="N185" s="404" t="s">
        <v>924</v>
      </c>
      <c r="O185" s="405"/>
      <c r="P185" s="405"/>
      <c r="Q185" s="405"/>
      <c r="R185" s="405"/>
      <c r="S185" s="405"/>
      <c r="T185" s="405"/>
      <c r="U185" s="405"/>
      <c r="V185" s="405"/>
      <c r="W185" s="405"/>
      <c r="X185" s="405"/>
      <c r="Y185" s="405"/>
      <c r="Z185" s="405"/>
      <c r="AA185" s="405"/>
      <c r="AB185" s="405"/>
      <c r="AC185" s="405"/>
      <c r="AD185" s="405"/>
      <c r="AE185" s="405"/>
      <c r="AF185" s="405"/>
      <c r="AG185" s="405"/>
      <c r="AH185" s="405"/>
      <c r="AI185" s="405"/>
      <c r="AJ185" s="405"/>
      <c r="AK185" s="405"/>
      <c r="AL185" s="405"/>
      <c r="AM185" s="405"/>
      <c r="AN185" s="405"/>
      <c r="AO185" s="405"/>
      <c r="AP185" s="405"/>
      <c r="AQ185" s="405"/>
      <c r="AR185" s="405"/>
      <c r="AS185" s="405"/>
      <c r="AT185" s="405"/>
      <c r="AU185" s="405"/>
      <c r="AV185" s="405"/>
      <c r="AW185" s="405"/>
      <c r="AX185" s="405"/>
      <c r="AY185" s="405"/>
      <c r="AZ185" s="405"/>
      <c r="BA185" s="405"/>
      <c r="BB185" s="405"/>
      <c r="BC185" s="405"/>
      <c r="BD185" s="405"/>
      <c r="BE185" s="405"/>
      <c r="BF185" s="405"/>
      <c r="BG185" s="405"/>
      <c r="BH185" s="405"/>
      <c r="BI185" s="405"/>
      <c r="BJ185" s="405"/>
      <c r="BK185" s="405"/>
      <c r="BL185" s="405"/>
      <c r="BM185" s="405"/>
      <c r="BN185" s="405"/>
      <c r="BO185" s="405"/>
      <c r="BP185" s="405"/>
      <c r="BQ185" s="405"/>
      <c r="BR185" s="405"/>
      <c r="BS185" s="405"/>
      <c r="BT185" s="405"/>
      <c r="BU185" s="405"/>
      <c r="BV185" s="405"/>
      <c r="BW185" s="405"/>
      <c r="BX185" s="405"/>
      <c r="BY185" s="405"/>
      <c r="BZ185" s="405"/>
      <c r="CA185" s="405"/>
      <c r="CB185" s="405"/>
      <c r="CC185" s="405"/>
      <c r="CD185" s="405"/>
      <c r="CE185" s="405"/>
      <c r="CF185" s="405"/>
      <c r="CG185" s="405"/>
      <c r="CH185" s="405"/>
      <c r="CI185" s="405"/>
      <c r="CJ185" s="405"/>
      <c r="CK185" s="405"/>
      <c r="CL185" s="405"/>
      <c r="CM185" s="405"/>
      <c r="CN185" s="405"/>
      <c r="CO185" s="405"/>
      <c r="CP185" s="405"/>
      <c r="CQ185" s="405"/>
      <c r="CR185" s="405"/>
      <c r="CS185" s="405"/>
      <c r="CT185" s="405"/>
      <c r="CU185" s="405"/>
      <c r="CV185" s="405"/>
      <c r="CW185" s="405"/>
      <c r="CX185" s="405"/>
      <c r="CY185" s="405"/>
      <c r="CZ185" s="405"/>
      <c r="DA185" s="405"/>
      <c r="DB185" s="405"/>
      <c r="DC185" s="405"/>
      <c r="DD185" s="405"/>
      <c r="DE185" s="405"/>
      <c r="DF185" s="405"/>
      <c r="DG185" s="405"/>
      <c r="DH185" s="405"/>
      <c r="DI185" s="406"/>
    </row>
    <row r="186" spans="1:113" ht="15.75" thickBot="1" x14ac:dyDescent="0.3">
      <c r="A186" s="408"/>
      <c r="B186" s="414"/>
      <c r="C186" s="414"/>
      <c r="D186" s="415"/>
      <c r="E186" s="68" t="s">
        <v>22</v>
      </c>
      <c r="F186" s="68" t="s">
        <v>600</v>
      </c>
      <c r="G186" s="68" t="s">
        <v>601</v>
      </c>
      <c r="H186" s="68" t="s">
        <v>589</v>
      </c>
      <c r="I186" s="68" t="s">
        <v>601</v>
      </c>
      <c r="J186" s="411"/>
      <c r="K186" s="418"/>
      <c r="L186"/>
      <c r="M186" s="401"/>
      <c r="N186" s="400" t="s">
        <v>925</v>
      </c>
      <c r="O186" s="400" t="s">
        <v>926</v>
      </c>
      <c r="P186" s="400"/>
      <c r="Q186" s="400"/>
      <c r="R186" s="400"/>
      <c r="S186" s="398"/>
      <c r="T186" s="398"/>
      <c r="U186" s="398"/>
      <c r="V186" s="398"/>
      <c r="W186" s="398"/>
      <c r="X186" s="398"/>
      <c r="Y186" s="398"/>
      <c r="Z186" s="398"/>
      <c r="AA186" s="398"/>
      <c r="AB186" s="398"/>
      <c r="AC186" s="398"/>
      <c r="AD186" s="398"/>
      <c r="AE186" s="398"/>
      <c r="AF186" s="398"/>
      <c r="AG186" s="398"/>
      <c r="AH186" s="398"/>
      <c r="AI186" s="398"/>
      <c r="AJ186" s="398"/>
      <c r="AK186" s="398"/>
      <c r="AL186" s="398"/>
      <c r="AM186" s="398"/>
      <c r="AN186" s="398"/>
      <c r="AO186" s="398"/>
      <c r="AP186" s="398"/>
      <c r="AQ186" s="398"/>
      <c r="AR186" s="398"/>
      <c r="AS186" s="398"/>
      <c r="AT186" s="398"/>
      <c r="AU186" s="398"/>
      <c r="AV186" s="398"/>
      <c r="AW186" s="398"/>
      <c r="AX186" s="398"/>
      <c r="AY186" s="398"/>
      <c r="AZ186" s="398"/>
      <c r="BA186" s="398"/>
      <c r="BB186" s="398"/>
      <c r="BC186" s="398"/>
      <c r="BD186" s="398"/>
      <c r="BE186" s="398"/>
      <c r="BF186" s="398"/>
      <c r="BG186" s="398"/>
      <c r="BH186" s="398"/>
      <c r="BI186" s="398"/>
      <c r="BJ186" s="398"/>
      <c r="BK186" s="398"/>
      <c r="BL186" s="398"/>
      <c r="BM186" s="398"/>
      <c r="BN186" s="398"/>
      <c r="BO186" s="398"/>
      <c r="BP186" s="398"/>
      <c r="BQ186" s="398"/>
      <c r="BR186" s="398"/>
      <c r="BS186" s="398"/>
      <c r="BT186" s="398"/>
      <c r="BU186" s="398"/>
      <c r="BV186" s="398"/>
      <c r="BW186" s="398"/>
      <c r="BX186" s="398"/>
      <c r="BY186" s="398"/>
      <c r="BZ186" s="398"/>
      <c r="CA186" s="398"/>
      <c r="CB186" s="398"/>
      <c r="CC186" s="398"/>
      <c r="CD186" s="398"/>
      <c r="CE186" s="398"/>
      <c r="CF186" s="398"/>
      <c r="CG186" s="398"/>
      <c r="CH186" s="398"/>
      <c r="CI186" s="398"/>
      <c r="CJ186" s="398"/>
      <c r="CK186" s="398"/>
      <c r="CL186" s="398"/>
      <c r="CM186" s="398"/>
      <c r="CN186" s="398"/>
      <c r="CO186" s="398"/>
      <c r="CP186" s="398"/>
      <c r="CQ186" s="398"/>
      <c r="CR186" s="398"/>
      <c r="CS186" s="398"/>
      <c r="CT186" s="398"/>
      <c r="CU186" s="398"/>
      <c r="CV186" s="398"/>
      <c r="CW186" s="398"/>
      <c r="CX186" s="398"/>
      <c r="CY186" s="398"/>
      <c r="CZ186" s="398"/>
      <c r="DA186" s="398"/>
      <c r="DB186" s="398"/>
      <c r="DC186" s="398"/>
      <c r="DD186" s="398"/>
      <c r="DE186" s="398"/>
      <c r="DF186" s="398"/>
      <c r="DG186" s="398"/>
      <c r="DH186" s="398"/>
      <c r="DI186" s="398"/>
    </row>
    <row r="187" spans="1:113" ht="15.75" thickBot="1" x14ac:dyDescent="0.3">
      <c r="A187" s="409"/>
      <c r="B187" s="168">
        <v>1</v>
      </c>
      <c r="C187" s="168">
        <v>2</v>
      </c>
      <c r="D187" s="168">
        <v>3</v>
      </c>
      <c r="E187" s="70">
        <v>4</v>
      </c>
      <c r="F187" s="70">
        <f>+E187+1</f>
        <v>5</v>
      </c>
      <c r="G187" s="70" t="s">
        <v>652</v>
      </c>
      <c r="H187" s="70">
        <v>7</v>
      </c>
      <c r="I187" s="71" t="s">
        <v>651</v>
      </c>
      <c r="J187" s="42" t="s">
        <v>650</v>
      </c>
      <c r="K187" s="42" t="s">
        <v>653</v>
      </c>
      <c r="L187"/>
      <c r="M187" s="402"/>
      <c r="N187" s="402"/>
      <c r="O187" s="402"/>
      <c r="P187" s="402"/>
      <c r="Q187" s="402"/>
      <c r="R187" s="402"/>
      <c r="S187" s="399"/>
      <c r="T187" s="399"/>
      <c r="U187" s="399"/>
      <c r="V187" s="399"/>
      <c r="W187" s="399"/>
      <c r="X187" s="399"/>
      <c r="Y187" s="399"/>
      <c r="Z187" s="399"/>
      <c r="AA187" s="399"/>
      <c r="AB187" s="399"/>
      <c r="AC187" s="399"/>
      <c r="AD187" s="399"/>
      <c r="AE187" s="399"/>
      <c r="AF187" s="399"/>
      <c r="AG187" s="399"/>
      <c r="AH187" s="399"/>
      <c r="AI187" s="399"/>
      <c r="AJ187" s="399"/>
      <c r="AK187" s="399"/>
      <c r="AL187" s="399"/>
      <c r="AM187" s="399"/>
      <c r="AN187" s="399"/>
      <c r="AO187" s="399"/>
      <c r="AP187" s="399"/>
      <c r="AQ187" s="399"/>
      <c r="AR187" s="399"/>
      <c r="AS187" s="399"/>
      <c r="AT187" s="399"/>
      <c r="AU187" s="399"/>
      <c r="AV187" s="399"/>
      <c r="AW187" s="399"/>
      <c r="AX187" s="399"/>
      <c r="AY187" s="399"/>
      <c r="AZ187" s="399"/>
      <c r="BA187" s="399"/>
      <c r="BB187" s="399"/>
      <c r="BC187" s="399"/>
      <c r="BD187" s="399"/>
      <c r="BE187" s="399"/>
      <c r="BF187" s="399"/>
      <c r="BG187" s="399"/>
      <c r="BH187" s="399"/>
      <c r="BI187" s="399"/>
      <c r="BJ187" s="399"/>
      <c r="BK187" s="399"/>
      <c r="BL187" s="399"/>
      <c r="BM187" s="399"/>
      <c r="BN187" s="399"/>
      <c r="BO187" s="399"/>
      <c r="BP187" s="399"/>
      <c r="BQ187" s="399"/>
      <c r="BR187" s="399"/>
      <c r="BS187" s="399"/>
      <c r="BT187" s="399"/>
      <c r="BU187" s="399"/>
      <c r="BV187" s="399"/>
      <c r="BW187" s="399"/>
      <c r="BX187" s="399"/>
      <c r="BY187" s="399"/>
      <c r="BZ187" s="399"/>
      <c r="CA187" s="399"/>
      <c r="CB187" s="399"/>
      <c r="CC187" s="399"/>
      <c r="CD187" s="399"/>
      <c r="CE187" s="399"/>
      <c r="CF187" s="399"/>
      <c r="CG187" s="399"/>
      <c r="CH187" s="399"/>
      <c r="CI187" s="399"/>
      <c r="CJ187" s="399"/>
      <c r="CK187" s="399"/>
      <c r="CL187" s="399"/>
      <c r="CM187" s="399"/>
      <c r="CN187" s="399"/>
      <c r="CO187" s="399"/>
      <c r="CP187" s="399"/>
      <c r="CQ187" s="399"/>
      <c r="CR187" s="399"/>
      <c r="CS187" s="399"/>
      <c r="CT187" s="399"/>
      <c r="CU187" s="399"/>
      <c r="CV187" s="399"/>
      <c r="CW187" s="399"/>
      <c r="CX187" s="399"/>
      <c r="CY187" s="399"/>
      <c r="CZ187" s="399"/>
      <c r="DA187" s="399"/>
      <c r="DB187" s="399"/>
      <c r="DC187" s="399"/>
      <c r="DD187" s="399"/>
      <c r="DE187" s="399"/>
      <c r="DF187" s="399"/>
      <c r="DG187" s="399"/>
      <c r="DH187" s="399"/>
      <c r="DI187" s="399"/>
    </row>
    <row r="188" spans="1:113" x14ac:dyDescent="0.25">
      <c r="A188" s="160"/>
      <c r="B188" s="72" t="s">
        <v>711</v>
      </c>
      <c r="C188" s="54"/>
      <c r="D188" s="54"/>
      <c r="E188" s="54"/>
      <c r="F188" s="54"/>
      <c r="G188" s="54"/>
      <c r="H188" s="54"/>
      <c r="I188" s="54"/>
      <c r="J188" s="54"/>
      <c r="K188" s="54"/>
      <c r="L188"/>
      <c r="M188" s="314">
        <f t="shared" ref="M188:M191" si="98">SUM(N188:DJ188)</f>
        <v>0</v>
      </c>
      <c r="N188" s="310"/>
      <c r="O188" s="315"/>
      <c r="P188" s="315"/>
      <c r="Q188" s="315"/>
      <c r="R188" s="315"/>
      <c r="S188" s="55"/>
      <c r="T188" s="55"/>
      <c r="U188" s="55"/>
      <c r="V188" s="55"/>
      <c r="W188" s="55"/>
      <c r="X188" s="55"/>
      <c r="Y188" s="55"/>
      <c r="Z188" s="55"/>
      <c r="AA188" s="55"/>
      <c r="AB188" s="55"/>
      <c r="AC188" s="55"/>
      <c r="AD188" s="55"/>
      <c r="AE188" s="55"/>
      <c r="AF188" s="55"/>
      <c r="AG188" s="55"/>
      <c r="AH188" s="55"/>
      <c r="AI188" s="55"/>
      <c r="AJ188" s="55"/>
      <c r="AK188" s="55"/>
      <c r="AL188" s="55"/>
      <c r="AM188" s="55"/>
      <c r="AN188" s="55"/>
      <c r="AO188" s="55"/>
      <c r="AP188" s="55"/>
      <c r="AQ188" s="55"/>
      <c r="AR188" s="55"/>
      <c r="AS188" s="55"/>
      <c r="AT188" s="55"/>
      <c r="AU188" s="55"/>
      <c r="AV188" s="55"/>
      <c r="AW188" s="55"/>
      <c r="AX188" s="55"/>
      <c r="AY188" s="55"/>
      <c r="AZ188" s="55"/>
      <c r="BA188" s="55"/>
      <c r="BB188" s="55"/>
      <c r="BC188" s="55"/>
      <c r="BD188" s="55"/>
      <c r="BE188" s="55"/>
      <c r="BF188" s="55"/>
      <c r="BG188" s="55"/>
      <c r="BH188" s="55"/>
      <c r="BI188" s="55"/>
      <c r="BJ188" s="55"/>
      <c r="BK188" s="55"/>
      <c r="BL188" s="55"/>
      <c r="BM188" s="55"/>
      <c r="BN188" s="55"/>
      <c r="BO188" s="55"/>
      <c r="BP188" s="55"/>
      <c r="BQ188" s="55"/>
      <c r="BR188" s="55"/>
      <c r="BS188" s="55"/>
      <c r="BT188" s="55"/>
      <c r="BU188" s="55"/>
      <c r="BV188" s="55"/>
      <c r="BW188" s="55"/>
      <c r="BX188" s="55"/>
      <c r="BY188" s="55"/>
      <c r="BZ188" s="55"/>
      <c r="CA188" s="55"/>
      <c r="CB188" s="55"/>
      <c r="CC188" s="55"/>
      <c r="CD188" s="55"/>
      <c r="CE188" s="55"/>
      <c r="CF188" s="55"/>
      <c r="CG188" s="55"/>
      <c r="CH188" s="55"/>
      <c r="CI188" s="55"/>
      <c r="CJ188" s="55"/>
      <c r="CK188" s="55"/>
      <c r="CL188" s="55"/>
      <c r="CM188" s="55"/>
      <c r="CN188" s="55"/>
      <c r="CO188" s="55"/>
      <c r="CP188" s="55"/>
      <c r="CQ188" s="55"/>
      <c r="CR188" s="55"/>
      <c r="CS188" s="55"/>
      <c r="CT188" s="55"/>
      <c r="CU188" s="55"/>
      <c r="CV188" s="55"/>
      <c r="CW188" s="55"/>
      <c r="CX188" s="55"/>
      <c r="CY188" s="55"/>
      <c r="CZ188" s="55"/>
      <c r="DA188" s="55"/>
      <c r="DB188" s="55"/>
      <c r="DC188" s="55"/>
      <c r="DD188" s="55"/>
      <c r="DE188" s="55"/>
      <c r="DF188" s="55"/>
      <c r="DG188" s="55"/>
      <c r="DH188" s="55"/>
      <c r="DI188" s="55"/>
    </row>
    <row r="189" spans="1:113" x14ac:dyDescent="0.25">
      <c r="A189" s="152">
        <v>1</v>
      </c>
      <c r="B189" s="79" t="s">
        <v>760</v>
      </c>
      <c r="C189" s="80">
        <v>10000</v>
      </c>
      <c r="D189" s="142">
        <v>896</v>
      </c>
      <c r="E189" s="43">
        <v>10798</v>
      </c>
      <c r="F189" s="60"/>
      <c r="G189" s="139">
        <f t="shared" ref="G189:G195" si="99">+E189+F189</f>
        <v>10798</v>
      </c>
      <c r="H189" s="55">
        <f>5000-5000</f>
        <v>0</v>
      </c>
      <c r="I189" s="56">
        <f t="shared" ref="I189:I195" si="100">+G189-H189</f>
        <v>10798</v>
      </c>
      <c r="J189" s="56">
        <f t="shared" ref="J189:J195" si="101">I189*C189</f>
        <v>107980000</v>
      </c>
      <c r="K189" s="57">
        <f t="shared" ref="K189:K195" si="102">+D189*I189</f>
        <v>9675008</v>
      </c>
      <c r="L189"/>
      <c r="M189" s="314">
        <f t="shared" si="98"/>
        <v>0</v>
      </c>
      <c r="N189" s="310"/>
      <c r="O189" s="315"/>
      <c r="P189" s="315"/>
      <c r="Q189" s="315"/>
      <c r="R189" s="315"/>
      <c r="S189" s="55"/>
      <c r="T189" s="55"/>
      <c r="U189" s="55"/>
      <c r="V189" s="55"/>
      <c r="W189" s="55"/>
      <c r="X189" s="55"/>
      <c r="Y189" s="55"/>
      <c r="Z189" s="55"/>
      <c r="AA189" s="55"/>
      <c r="AB189" s="55"/>
      <c r="AC189" s="55"/>
      <c r="AD189" s="55"/>
      <c r="AE189" s="55"/>
      <c r="AF189" s="55"/>
      <c r="AG189" s="55"/>
      <c r="AH189" s="55"/>
      <c r="AI189" s="55"/>
      <c r="AJ189" s="55"/>
      <c r="AK189" s="55"/>
      <c r="AL189" s="55"/>
      <c r="AM189" s="55"/>
      <c r="AN189" s="55"/>
      <c r="AO189" s="55"/>
      <c r="AP189" s="55"/>
      <c r="AQ189" s="55"/>
      <c r="AR189" s="55"/>
      <c r="AS189" s="55"/>
      <c r="AT189" s="55"/>
      <c r="AU189" s="55"/>
      <c r="AV189" s="55"/>
      <c r="AW189" s="55"/>
      <c r="AX189" s="55"/>
      <c r="AY189" s="55"/>
      <c r="AZ189" s="55"/>
      <c r="BA189" s="55"/>
      <c r="BB189" s="55"/>
      <c r="BC189" s="55"/>
      <c r="BD189" s="55"/>
      <c r="BE189" s="55"/>
      <c r="BF189" s="55"/>
      <c r="BG189" s="55"/>
      <c r="BH189" s="55"/>
      <c r="BI189" s="55"/>
      <c r="BJ189" s="55"/>
      <c r="BK189" s="55"/>
      <c r="BL189" s="55"/>
      <c r="BM189" s="55"/>
      <c r="BN189" s="55"/>
      <c r="BO189" s="55"/>
      <c r="BP189" s="55"/>
      <c r="BQ189" s="55"/>
      <c r="BR189" s="55"/>
      <c r="BS189" s="55"/>
      <c r="BT189" s="55"/>
      <c r="BU189" s="55"/>
      <c r="BV189" s="55"/>
      <c r="BW189" s="55"/>
      <c r="BX189" s="55"/>
      <c r="BY189" s="55"/>
      <c r="BZ189" s="55"/>
      <c r="CA189" s="55"/>
      <c r="CB189" s="55"/>
      <c r="CC189" s="55"/>
      <c r="CD189" s="55"/>
      <c r="CE189" s="55"/>
      <c r="CF189" s="55"/>
      <c r="CG189" s="55"/>
      <c r="CH189" s="55"/>
      <c r="CI189" s="55"/>
      <c r="CJ189" s="55"/>
      <c r="CK189" s="55"/>
      <c r="CL189" s="55"/>
      <c r="CM189" s="55"/>
      <c r="CN189" s="55"/>
      <c r="CO189" s="55"/>
      <c r="CP189" s="55"/>
      <c r="CQ189" s="55"/>
      <c r="CR189" s="55"/>
      <c r="CS189" s="55"/>
      <c r="CT189" s="55"/>
      <c r="CU189" s="55"/>
      <c r="CV189" s="55"/>
      <c r="CW189" s="55"/>
      <c r="CX189" s="55"/>
      <c r="CY189" s="55"/>
      <c r="CZ189" s="55"/>
      <c r="DA189" s="55"/>
      <c r="DB189" s="55"/>
      <c r="DC189" s="55"/>
      <c r="DD189" s="55"/>
      <c r="DE189" s="55"/>
      <c r="DF189" s="55"/>
      <c r="DG189" s="55"/>
      <c r="DH189" s="55"/>
      <c r="DI189" s="55"/>
    </row>
    <row r="190" spans="1:113" x14ac:dyDescent="0.25">
      <c r="A190" s="152">
        <v>2</v>
      </c>
      <c r="B190" s="79" t="s">
        <v>761</v>
      </c>
      <c r="C190" s="80">
        <v>30000</v>
      </c>
      <c r="D190" s="142">
        <v>1344.75</v>
      </c>
      <c r="E190" s="43">
        <v>5798</v>
      </c>
      <c r="F190" s="60"/>
      <c r="G190" s="139">
        <f t="shared" si="99"/>
        <v>5798</v>
      </c>
      <c r="H190" s="55">
        <v>5000</v>
      </c>
      <c r="I190" s="56">
        <f t="shared" si="100"/>
        <v>798</v>
      </c>
      <c r="J190" s="56">
        <f t="shared" si="101"/>
        <v>23940000</v>
      </c>
      <c r="K190" s="57">
        <f t="shared" si="102"/>
        <v>1073110.5</v>
      </c>
      <c r="L190"/>
      <c r="M190" s="314">
        <f t="shared" si="98"/>
        <v>0</v>
      </c>
      <c r="N190" s="310"/>
      <c r="O190" s="315"/>
      <c r="P190" s="315"/>
      <c r="Q190" s="315"/>
      <c r="R190" s="315"/>
      <c r="S190" s="55"/>
      <c r="T190" s="55"/>
      <c r="U190" s="55"/>
      <c r="V190" s="55"/>
      <c r="W190" s="55"/>
      <c r="X190" s="55"/>
      <c r="Y190" s="55"/>
      <c r="Z190" s="55"/>
      <c r="AA190" s="55"/>
      <c r="AB190" s="55"/>
      <c r="AC190" s="55"/>
      <c r="AD190" s="55"/>
      <c r="AE190" s="55"/>
      <c r="AF190" s="55"/>
      <c r="AG190" s="55"/>
      <c r="AH190" s="55"/>
      <c r="AI190" s="55"/>
      <c r="AJ190" s="55"/>
      <c r="AK190" s="55"/>
      <c r="AL190" s="55"/>
      <c r="AM190" s="55"/>
      <c r="AN190" s="55"/>
      <c r="AO190" s="55"/>
      <c r="AP190" s="55"/>
      <c r="AQ190" s="55"/>
      <c r="AR190" s="55"/>
      <c r="AS190" s="55"/>
      <c r="AT190" s="55"/>
      <c r="AU190" s="55"/>
      <c r="AV190" s="55"/>
      <c r="AW190" s="55"/>
      <c r="AX190" s="55"/>
      <c r="AY190" s="55"/>
      <c r="AZ190" s="55"/>
      <c r="BA190" s="55"/>
      <c r="BB190" s="55"/>
      <c r="BC190" s="55"/>
      <c r="BD190" s="55"/>
      <c r="BE190" s="55"/>
      <c r="BF190" s="55"/>
      <c r="BG190" s="55"/>
      <c r="BH190" s="55"/>
      <c r="BI190" s="55"/>
      <c r="BJ190" s="55"/>
      <c r="BK190" s="55"/>
      <c r="BL190" s="55"/>
      <c r="BM190" s="55"/>
      <c r="BN190" s="55"/>
      <c r="BO190" s="55"/>
      <c r="BP190" s="55"/>
      <c r="BQ190" s="55"/>
      <c r="BR190" s="55"/>
      <c r="BS190" s="55"/>
      <c r="BT190" s="55"/>
      <c r="BU190" s="55"/>
      <c r="BV190" s="55"/>
      <c r="BW190" s="55"/>
      <c r="BX190" s="55"/>
      <c r="BY190" s="55"/>
      <c r="BZ190" s="55"/>
      <c r="CA190" s="55"/>
      <c r="CB190" s="55"/>
      <c r="CC190" s="55"/>
      <c r="CD190" s="55"/>
      <c r="CE190" s="55"/>
      <c r="CF190" s="55"/>
      <c r="CG190" s="55"/>
      <c r="CH190" s="55"/>
      <c r="CI190" s="55"/>
      <c r="CJ190" s="55"/>
      <c r="CK190" s="55"/>
      <c r="CL190" s="55"/>
      <c r="CM190" s="55"/>
      <c r="CN190" s="55"/>
      <c r="CO190" s="55"/>
      <c r="CP190" s="55"/>
      <c r="CQ190" s="55"/>
      <c r="CR190" s="55"/>
      <c r="CS190" s="55"/>
      <c r="CT190" s="55"/>
      <c r="CU190" s="55"/>
      <c r="CV190" s="55"/>
      <c r="CW190" s="55"/>
      <c r="CX190" s="55"/>
      <c r="CY190" s="55"/>
      <c r="CZ190" s="55"/>
      <c r="DA190" s="55"/>
      <c r="DB190" s="55"/>
      <c r="DC190" s="55"/>
      <c r="DD190" s="55"/>
      <c r="DE190" s="55"/>
      <c r="DF190" s="55"/>
      <c r="DG190" s="55"/>
      <c r="DH190" s="55"/>
      <c r="DI190" s="55"/>
    </row>
    <row r="191" spans="1:113" x14ac:dyDescent="0.25">
      <c r="A191" s="152">
        <v>3</v>
      </c>
      <c r="B191" s="79" t="s">
        <v>762</v>
      </c>
      <c r="C191" s="80">
        <f>+'[5]KEL B'!$FG$5</f>
        <v>10000</v>
      </c>
      <c r="D191" s="142">
        <v>962</v>
      </c>
      <c r="E191" s="43">
        <v>11600</v>
      </c>
      <c r="F191" s="60"/>
      <c r="G191" s="139">
        <f t="shared" si="99"/>
        <v>11600</v>
      </c>
      <c r="H191" s="55">
        <v>5000</v>
      </c>
      <c r="I191" s="56">
        <f t="shared" si="100"/>
        <v>6600</v>
      </c>
      <c r="J191" s="56">
        <f t="shared" si="101"/>
        <v>66000000</v>
      </c>
      <c r="K191" s="57">
        <f t="shared" si="102"/>
        <v>6349200</v>
      </c>
      <c r="L191"/>
      <c r="M191" s="314">
        <f t="shared" si="98"/>
        <v>0</v>
      </c>
      <c r="N191" s="310"/>
      <c r="O191" s="315"/>
      <c r="P191" s="315"/>
      <c r="Q191" s="315"/>
      <c r="R191" s="315"/>
      <c r="S191" s="55"/>
      <c r="T191" s="55"/>
      <c r="U191" s="55"/>
      <c r="V191" s="55"/>
      <c r="W191" s="55"/>
      <c r="X191" s="55"/>
      <c r="Y191" s="55"/>
      <c r="Z191" s="55"/>
      <c r="AA191" s="55"/>
      <c r="AB191" s="55"/>
      <c r="AC191" s="55"/>
      <c r="AD191" s="55"/>
      <c r="AE191" s="55"/>
      <c r="AF191" s="55"/>
      <c r="AG191" s="55"/>
      <c r="AH191" s="55"/>
      <c r="AI191" s="55"/>
      <c r="AJ191" s="55"/>
      <c r="AK191" s="55"/>
      <c r="AL191" s="55"/>
      <c r="AM191" s="55"/>
      <c r="AN191" s="55"/>
      <c r="AO191" s="55"/>
      <c r="AP191" s="55"/>
      <c r="AQ191" s="55"/>
      <c r="AR191" s="55"/>
      <c r="AS191" s="55"/>
      <c r="AT191" s="55"/>
      <c r="AU191" s="55"/>
      <c r="AV191" s="55"/>
      <c r="AW191" s="55"/>
      <c r="AX191" s="55"/>
      <c r="AY191" s="55"/>
      <c r="AZ191" s="55"/>
      <c r="BA191" s="55"/>
      <c r="BB191" s="55"/>
      <c r="BC191" s="55"/>
      <c r="BD191" s="55"/>
      <c r="BE191" s="55"/>
      <c r="BF191" s="55"/>
      <c r="BG191" s="55"/>
      <c r="BH191" s="55"/>
      <c r="BI191" s="55"/>
      <c r="BJ191" s="55"/>
      <c r="BK191" s="55"/>
      <c r="BL191" s="55"/>
      <c r="BM191" s="55"/>
      <c r="BN191" s="55"/>
      <c r="BO191" s="55"/>
      <c r="BP191" s="55"/>
      <c r="BQ191" s="55"/>
      <c r="BR191" s="55"/>
      <c r="BS191" s="55"/>
      <c r="BT191" s="55"/>
      <c r="BU191" s="55"/>
      <c r="BV191" s="55"/>
      <c r="BW191" s="55"/>
      <c r="BX191" s="55"/>
      <c r="BY191" s="55"/>
      <c r="BZ191" s="55"/>
      <c r="CA191" s="55"/>
      <c r="CB191" s="55"/>
      <c r="CC191" s="55"/>
      <c r="CD191" s="55"/>
      <c r="CE191" s="55"/>
      <c r="CF191" s="55"/>
      <c r="CG191" s="55"/>
      <c r="CH191" s="55"/>
      <c r="CI191" s="55"/>
      <c r="CJ191" s="55"/>
      <c r="CK191" s="55"/>
      <c r="CL191" s="55"/>
      <c r="CM191" s="55"/>
      <c r="CN191" s="55"/>
      <c r="CO191" s="55"/>
      <c r="CP191" s="55"/>
      <c r="CQ191" s="55"/>
      <c r="CR191" s="55"/>
      <c r="CS191" s="55"/>
      <c r="CT191" s="55"/>
      <c r="CU191" s="55"/>
      <c r="CV191" s="55"/>
      <c r="CW191" s="55"/>
      <c r="CX191" s="55"/>
      <c r="CY191" s="55"/>
      <c r="CZ191" s="55"/>
      <c r="DA191" s="55"/>
      <c r="DB191" s="55"/>
      <c r="DC191" s="55"/>
      <c r="DD191" s="55"/>
      <c r="DE191" s="55"/>
      <c r="DF191" s="55"/>
      <c r="DG191" s="55"/>
      <c r="DH191" s="55"/>
      <c r="DI191" s="55"/>
    </row>
    <row r="192" spans="1:113" x14ac:dyDescent="0.25">
      <c r="A192" s="152">
        <v>4</v>
      </c>
      <c r="B192" s="79" t="s">
        <v>763</v>
      </c>
      <c r="C192" s="80">
        <f>+'[5]KEL B'!$FE$5</f>
        <v>5000</v>
      </c>
      <c r="D192" s="142">
        <v>896</v>
      </c>
      <c r="E192" s="43">
        <v>1000</v>
      </c>
      <c r="F192" s="60"/>
      <c r="G192" s="139">
        <f t="shared" si="99"/>
        <v>1000</v>
      </c>
      <c r="H192" s="55">
        <v>1000</v>
      </c>
      <c r="I192" s="56">
        <f t="shared" si="100"/>
        <v>0</v>
      </c>
      <c r="J192" s="56">
        <f t="shared" si="101"/>
        <v>0</v>
      </c>
      <c r="K192" s="57">
        <f t="shared" si="102"/>
        <v>0</v>
      </c>
      <c r="L192"/>
      <c r="M192" s="314">
        <f t="shared" ref="M192:M211" si="103">SUM(N192:DJ192)</f>
        <v>0</v>
      </c>
      <c r="N192" s="310"/>
      <c r="O192" s="315"/>
      <c r="P192" s="315"/>
      <c r="Q192" s="315"/>
      <c r="R192" s="315"/>
      <c r="S192" s="55"/>
      <c r="T192" s="55"/>
      <c r="U192" s="55"/>
      <c r="V192" s="55"/>
      <c r="W192" s="55"/>
      <c r="X192" s="55"/>
      <c r="Y192" s="55"/>
      <c r="Z192" s="55"/>
      <c r="AA192" s="55"/>
      <c r="AB192" s="55"/>
      <c r="AC192" s="55"/>
      <c r="AD192" s="55"/>
      <c r="AE192" s="55"/>
      <c r="AF192" s="55"/>
      <c r="AG192" s="55"/>
      <c r="AH192" s="55"/>
      <c r="AI192" s="55"/>
      <c r="AJ192" s="55"/>
      <c r="AK192" s="55"/>
      <c r="AL192" s="55"/>
      <c r="AM192" s="55"/>
      <c r="AN192" s="55"/>
      <c r="AO192" s="55"/>
      <c r="AP192" s="55"/>
      <c r="AQ192" s="55"/>
      <c r="AR192" s="55"/>
      <c r="AS192" s="55"/>
      <c r="AT192" s="55"/>
      <c r="AU192" s="55"/>
      <c r="AV192" s="55"/>
      <c r="AW192" s="55"/>
      <c r="AX192" s="55"/>
      <c r="AY192" s="55"/>
      <c r="AZ192" s="55"/>
      <c r="BA192" s="55"/>
      <c r="BB192" s="55"/>
      <c r="BC192" s="55"/>
      <c r="BD192" s="55"/>
      <c r="BE192" s="55"/>
      <c r="BF192" s="55"/>
      <c r="BG192" s="55"/>
      <c r="BH192" s="55"/>
      <c r="BI192" s="55"/>
      <c r="BJ192" s="55"/>
      <c r="BK192" s="55"/>
      <c r="BL192" s="55"/>
      <c r="BM192" s="55"/>
      <c r="BN192" s="55"/>
      <c r="BO192" s="55"/>
      <c r="BP192" s="55"/>
      <c r="BQ192" s="55"/>
      <c r="BR192" s="55"/>
      <c r="BS192" s="55"/>
      <c r="BT192" s="55"/>
      <c r="BU192" s="55"/>
      <c r="BV192" s="55"/>
      <c r="BW192" s="55"/>
      <c r="BX192" s="55"/>
      <c r="BY192" s="55"/>
      <c r="BZ192" s="55"/>
      <c r="CA192" s="55"/>
      <c r="CB192" s="55"/>
      <c r="CC192" s="55"/>
      <c r="CD192" s="55"/>
      <c r="CE192" s="55"/>
      <c r="CF192" s="55"/>
      <c r="CG192" s="55"/>
      <c r="CH192" s="55"/>
      <c r="CI192" s="55"/>
      <c r="CJ192" s="55"/>
      <c r="CK192" s="55"/>
      <c r="CL192" s="55"/>
      <c r="CM192" s="55"/>
      <c r="CN192" s="55"/>
      <c r="CO192" s="55"/>
      <c r="CP192" s="55"/>
      <c r="CQ192" s="55"/>
      <c r="CR192" s="55"/>
      <c r="CS192" s="55"/>
      <c r="CT192" s="55"/>
      <c r="CU192" s="55"/>
      <c r="CV192" s="55"/>
      <c r="CW192" s="55"/>
      <c r="CX192" s="55"/>
      <c r="CY192" s="55"/>
      <c r="CZ192" s="55"/>
      <c r="DA192" s="55"/>
      <c r="DB192" s="55"/>
      <c r="DC192" s="55"/>
      <c r="DD192" s="55"/>
      <c r="DE192" s="55"/>
      <c r="DF192" s="55"/>
      <c r="DG192" s="55"/>
      <c r="DH192" s="55"/>
      <c r="DI192" s="55"/>
    </row>
    <row r="193" spans="1:113" x14ac:dyDescent="0.25">
      <c r="A193" s="152">
        <v>5</v>
      </c>
      <c r="B193" s="79" t="s">
        <v>764</v>
      </c>
      <c r="C193" s="80">
        <f>+'[5]KEL B'!$FF$5</f>
        <v>10000</v>
      </c>
      <c r="D193" s="142">
        <v>896</v>
      </c>
      <c r="E193" s="43">
        <v>800</v>
      </c>
      <c r="F193" s="60"/>
      <c r="G193" s="139">
        <f t="shared" si="99"/>
        <v>800</v>
      </c>
      <c r="H193" s="55">
        <v>500</v>
      </c>
      <c r="I193" s="56">
        <f t="shared" si="100"/>
        <v>300</v>
      </c>
      <c r="J193" s="56">
        <f t="shared" si="101"/>
        <v>3000000</v>
      </c>
      <c r="K193" s="57">
        <f t="shared" si="102"/>
        <v>268800</v>
      </c>
      <c r="L193"/>
      <c r="M193" s="314">
        <f t="shared" si="103"/>
        <v>0</v>
      </c>
      <c r="N193" s="310"/>
      <c r="O193" s="315"/>
      <c r="P193" s="315"/>
      <c r="Q193" s="315"/>
      <c r="R193" s="315"/>
      <c r="S193" s="55"/>
      <c r="T193" s="55"/>
      <c r="U193" s="55"/>
      <c r="V193" s="55"/>
      <c r="W193" s="55"/>
      <c r="X193" s="55"/>
      <c r="Y193" s="55"/>
      <c r="Z193" s="55"/>
      <c r="AA193" s="55"/>
      <c r="AB193" s="55"/>
      <c r="AC193" s="55"/>
      <c r="AD193" s="55"/>
      <c r="AE193" s="55"/>
      <c r="AF193" s="55"/>
      <c r="AG193" s="55"/>
      <c r="AH193" s="55"/>
      <c r="AI193" s="55"/>
      <c r="AJ193" s="55"/>
      <c r="AK193" s="55"/>
      <c r="AL193" s="55"/>
      <c r="AM193" s="55"/>
      <c r="AN193" s="55"/>
      <c r="AO193" s="55"/>
      <c r="AP193" s="55"/>
      <c r="AQ193" s="55"/>
      <c r="AR193" s="55"/>
      <c r="AS193" s="55"/>
      <c r="AT193" s="55"/>
      <c r="AU193" s="55"/>
      <c r="AV193" s="55"/>
      <c r="AW193" s="55"/>
      <c r="AX193" s="55"/>
      <c r="AY193" s="55"/>
      <c r="AZ193" s="55"/>
      <c r="BA193" s="55"/>
      <c r="BB193" s="55"/>
      <c r="BC193" s="55"/>
      <c r="BD193" s="55"/>
      <c r="BE193" s="55"/>
      <c r="BF193" s="55"/>
      <c r="BG193" s="55"/>
      <c r="BH193" s="55"/>
      <c r="BI193" s="55"/>
      <c r="BJ193" s="55"/>
      <c r="BK193" s="55"/>
      <c r="BL193" s="55"/>
      <c r="BM193" s="55"/>
      <c r="BN193" s="55"/>
      <c r="BO193" s="55"/>
      <c r="BP193" s="55"/>
      <c r="BQ193" s="55"/>
      <c r="BR193" s="55"/>
      <c r="BS193" s="55"/>
      <c r="BT193" s="55"/>
      <c r="BU193" s="55"/>
      <c r="BV193" s="55"/>
      <c r="BW193" s="55"/>
      <c r="BX193" s="55"/>
      <c r="BY193" s="55"/>
      <c r="BZ193" s="55"/>
      <c r="CA193" s="55"/>
      <c r="CB193" s="55"/>
      <c r="CC193" s="55"/>
      <c r="CD193" s="55"/>
      <c r="CE193" s="55"/>
      <c r="CF193" s="55"/>
      <c r="CG193" s="55"/>
      <c r="CH193" s="55"/>
      <c r="CI193" s="55"/>
      <c r="CJ193" s="55"/>
      <c r="CK193" s="55"/>
      <c r="CL193" s="55"/>
      <c r="CM193" s="55"/>
      <c r="CN193" s="55"/>
      <c r="CO193" s="55"/>
      <c r="CP193" s="55"/>
      <c r="CQ193" s="55"/>
      <c r="CR193" s="55"/>
      <c r="CS193" s="55"/>
      <c r="CT193" s="55"/>
      <c r="CU193" s="55"/>
      <c r="CV193" s="55"/>
      <c r="CW193" s="55"/>
      <c r="CX193" s="55"/>
      <c r="CY193" s="55"/>
      <c r="CZ193" s="55"/>
      <c r="DA193" s="55"/>
      <c r="DB193" s="55"/>
      <c r="DC193" s="55"/>
      <c r="DD193" s="55"/>
      <c r="DE193" s="55"/>
      <c r="DF193" s="55"/>
      <c r="DG193" s="55"/>
      <c r="DH193" s="55"/>
      <c r="DI193" s="55"/>
    </row>
    <row r="194" spans="1:113" x14ac:dyDescent="0.25">
      <c r="A194" s="152">
        <v>6</v>
      </c>
      <c r="B194" s="79" t="s">
        <v>765</v>
      </c>
      <c r="C194" s="80">
        <f>+'[6]KEL B'!$FH$5</f>
        <v>10000</v>
      </c>
      <c r="D194" s="34">
        <v>670</v>
      </c>
      <c r="E194" s="43">
        <v>800</v>
      </c>
      <c r="F194" s="60"/>
      <c r="G194" s="139">
        <f t="shared" si="99"/>
        <v>800</v>
      </c>
      <c r="H194" s="55">
        <v>500</v>
      </c>
      <c r="I194" s="56">
        <f t="shared" si="100"/>
        <v>300</v>
      </c>
      <c r="J194" s="56">
        <f t="shared" si="101"/>
        <v>3000000</v>
      </c>
      <c r="K194" s="57">
        <f t="shared" si="102"/>
        <v>201000</v>
      </c>
      <c r="L194"/>
      <c r="M194" s="314">
        <f t="shared" si="103"/>
        <v>0</v>
      </c>
      <c r="N194" s="310"/>
      <c r="O194" s="315"/>
      <c r="P194" s="315"/>
      <c r="Q194" s="315"/>
      <c r="R194" s="315"/>
      <c r="S194" s="55"/>
      <c r="T194" s="55"/>
      <c r="U194" s="55"/>
      <c r="V194" s="55"/>
      <c r="W194" s="55"/>
      <c r="X194" s="55"/>
      <c r="Y194" s="55"/>
      <c r="Z194" s="55"/>
      <c r="AA194" s="55"/>
      <c r="AB194" s="55"/>
      <c r="AC194" s="55"/>
      <c r="AD194" s="55"/>
      <c r="AE194" s="55"/>
      <c r="AF194" s="55"/>
      <c r="AG194" s="55"/>
      <c r="AH194" s="55"/>
      <c r="AI194" s="55"/>
      <c r="AJ194" s="55"/>
      <c r="AK194" s="55"/>
      <c r="AL194" s="55"/>
      <c r="AM194" s="55"/>
      <c r="AN194" s="55"/>
      <c r="AO194" s="55"/>
      <c r="AP194" s="55"/>
      <c r="AQ194" s="55"/>
      <c r="AR194" s="55"/>
      <c r="AS194" s="55"/>
      <c r="AT194" s="55"/>
      <c r="AU194" s="55"/>
      <c r="AV194" s="55"/>
      <c r="AW194" s="55"/>
      <c r="AX194" s="55"/>
      <c r="AY194" s="55"/>
      <c r="AZ194" s="55"/>
      <c r="BA194" s="55"/>
      <c r="BB194" s="55"/>
      <c r="BC194" s="55"/>
      <c r="BD194" s="55"/>
      <c r="BE194" s="55"/>
      <c r="BF194" s="55"/>
      <c r="BG194" s="55"/>
      <c r="BH194" s="55"/>
      <c r="BI194" s="55"/>
      <c r="BJ194" s="55"/>
      <c r="BK194" s="55"/>
      <c r="BL194" s="55"/>
      <c r="BM194" s="55"/>
      <c r="BN194" s="55"/>
      <c r="BO194" s="55"/>
      <c r="BP194" s="55"/>
      <c r="BQ194" s="55"/>
      <c r="BR194" s="55"/>
      <c r="BS194" s="55"/>
      <c r="BT194" s="55"/>
      <c r="BU194" s="55"/>
      <c r="BV194" s="55"/>
      <c r="BW194" s="55"/>
      <c r="BX194" s="55"/>
      <c r="BY194" s="55"/>
      <c r="BZ194" s="55"/>
      <c r="CA194" s="55"/>
      <c r="CB194" s="55"/>
      <c r="CC194" s="55"/>
      <c r="CD194" s="55"/>
      <c r="CE194" s="55"/>
      <c r="CF194" s="55"/>
      <c r="CG194" s="55"/>
      <c r="CH194" s="55"/>
      <c r="CI194" s="55"/>
      <c r="CJ194" s="55"/>
      <c r="CK194" s="55"/>
      <c r="CL194" s="55"/>
      <c r="CM194" s="55"/>
      <c r="CN194" s="55"/>
      <c r="CO194" s="55"/>
      <c r="CP194" s="55"/>
      <c r="CQ194" s="55"/>
      <c r="CR194" s="55"/>
      <c r="CS194" s="55"/>
      <c r="CT194" s="55"/>
      <c r="CU194" s="55"/>
      <c r="CV194" s="55"/>
      <c r="CW194" s="55"/>
      <c r="CX194" s="55"/>
      <c r="CY194" s="55"/>
      <c r="CZ194" s="55"/>
      <c r="DA194" s="55"/>
      <c r="DB194" s="55"/>
      <c r="DC194" s="55"/>
      <c r="DD194" s="55"/>
      <c r="DE194" s="55"/>
      <c r="DF194" s="55"/>
      <c r="DG194" s="55"/>
      <c r="DH194" s="55"/>
      <c r="DI194" s="55"/>
    </row>
    <row r="195" spans="1:113" ht="15.75" thickBot="1" x14ac:dyDescent="0.3">
      <c r="A195" s="153">
        <v>7</v>
      </c>
      <c r="B195" s="156" t="s">
        <v>209</v>
      </c>
      <c r="C195" s="82">
        <f>+'[6]KEL B'!$FH$5</f>
        <v>10000</v>
      </c>
      <c r="D195" s="171">
        <v>970.67</v>
      </c>
      <c r="E195" s="154">
        <v>800</v>
      </c>
      <c r="F195" s="156">
        <f>100-100</f>
        <v>0</v>
      </c>
      <c r="G195" s="147">
        <f t="shared" si="99"/>
        <v>800</v>
      </c>
      <c r="H195" s="55">
        <v>500</v>
      </c>
      <c r="I195" s="64">
        <f t="shared" si="100"/>
        <v>300</v>
      </c>
      <c r="J195" s="64">
        <f t="shared" si="101"/>
        <v>3000000</v>
      </c>
      <c r="K195" s="65">
        <f t="shared" si="102"/>
        <v>291201</v>
      </c>
      <c r="L195"/>
      <c r="M195" s="314">
        <f t="shared" si="103"/>
        <v>0</v>
      </c>
      <c r="N195" s="310"/>
      <c r="O195" s="315"/>
      <c r="P195" s="315"/>
      <c r="Q195" s="315"/>
      <c r="R195" s="315"/>
      <c r="S195" s="55"/>
      <c r="T195" s="55"/>
      <c r="U195" s="55"/>
      <c r="V195" s="55"/>
      <c r="W195" s="55"/>
      <c r="X195" s="55"/>
      <c r="Y195" s="55"/>
      <c r="Z195" s="55"/>
      <c r="AA195" s="55"/>
      <c r="AB195" s="55"/>
      <c r="AC195" s="55"/>
      <c r="AD195" s="55"/>
      <c r="AE195" s="55"/>
      <c r="AF195" s="55"/>
      <c r="AG195" s="55"/>
      <c r="AH195" s="55"/>
      <c r="AI195" s="55"/>
      <c r="AJ195" s="55"/>
      <c r="AK195" s="55"/>
      <c r="AL195" s="55"/>
      <c r="AM195" s="55"/>
      <c r="AN195" s="55"/>
      <c r="AO195" s="55"/>
      <c r="AP195" s="55"/>
      <c r="AQ195" s="55"/>
      <c r="AR195" s="55"/>
      <c r="AS195" s="55"/>
      <c r="AT195" s="55"/>
      <c r="AU195" s="55"/>
      <c r="AV195" s="55"/>
      <c r="AW195" s="55"/>
      <c r="AX195" s="55"/>
      <c r="AY195" s="55"/>
      <c r="AZ195" s="55"/>
      <c r="BA195" s="55"/>
      <c r="BB195" s="55"/>
      <c r="BC195" s="55"/>
      <c r="BD195" s="55"/>
      <c r="BE195" s="55"/>
      <c r="BF195" s="55"/>
      <c r="BG195" s="55"/>
      <c r="BH195" s="55"/>
      <c r="BI195" s="55"/>
      <c r="BJ195" s="55"/>
      <c r="BK195" s="55"/>
      <c r="BL195" s="55"/>
      <c r="BM195" s="55"/>
      <c r="BN195" s="55"/>
      <c r="BO195" s="55"/>
      <c r="BP195" s="55"/>
      <c r="BQ195" s="55"/>
      <c r="BR195" s="55"/>
      <c r="BS195" s="55"/>
      <c r="BT195" s="55"/>
      <c r="BU195" s="55"/>
      <c r="BV195" s="55"/>
      <c r="BW195" s="55"/>
      <c r="BX195" s="55"/>
      <c r="BY195" s="55"/>
      <c r="BZ195" s="55"/>
      <c r="CA195" s="55"/>
      <c r="CB195" s="55"/>
      <c r="CC195" s="55"/>
      <c r="CD195" s="55"/>
      <c r="CE195" s="55"/>
      <c r="CF195" s="55"/>
      <c r="CG195" s="55"/>
      <c r="CH195" s="55"/>
      <c r="CI195" s="55"/>
      <c r="CJ195" s="55"/>
      <c r="CK195" s="55"/>
      <c r="CL195" s="55"/>
      <c r="CM195" s="55"/>
      <c r="CN195" s="55"/>
      <c r="CO195" s="55"/>
      <c r="CP195" s="55"/>
      <c r="CQ195" s="55"/>
      <c r="CR195" s="55"/>
      <c r="CS195" s="55"/>
      <c r="CT195" s="55"/>
      <c r="CU195" s="55"/>
      <c r="CV195" s="55"/>
      <c r="CW195" s="55"/>
      <c r="CX195" s="55"/>
      <c r="CY195" s="55"/>
      <c r="CZ195" s="55"/>
      <c r="DA195" s="55"/>
      <c r="DB195" s="55"/>
      <c r="DC195" s="55"/>
      <c r="DD195" s="55"/>
      <c r="DE195" s="55"/>
      <c r="DF195" s="55"/>
      <c r="DG195" s="55"/>
      <c r="DH195" s="55"/>
      <c r="DI195" s="55"/>
    </row>
    <row r="196" spans="1:113" ht="15.75" thickBot="1" x14ac:dyDescent="0.3">
      <c r="A196" s="128"/>
      <c r="B196" s="119" t="s">
        <v>684</v>
      </c>
      <c r="C196" s="36"/>
      <c r="D196" s="29"/>
      <c r="E196" s="29">
        <f>SUM(E189:E195)</f>
        <v>31596</v>
      </c>
      <c r="F196" s="29">
        <f t="shared" ref="F196:H196" si="104">SUM(F189:F195)</f>
        <v>0</v>
      </c>
      <c r="G196" s="29">
        <f t="shared" si="104"/>
        <v>31596</v>
      </c>
      <c r="H196" s="29">
        <f t="shared" si="104"/>
        <v>12500</v>
      </c>
      <c r="I196" s="29">
        <f>SUM(I189:I195)</f>
        <v>19096</v>
      </c>
      <c r="J196" s="29">
        <f t="shared" ref="J196:K196" si="105">SUM(J189:J195)</f>
        <v>206920000</v>
      </c>
      <c r="K196" s="47">
        <f t="shared" si="105"/>
        <v>17858319.5</v>
      </c>
      <c r="L196"/>
      <c r="M196" s="322">
        <f t="shared" si="103"/>
        <v>0</v>
      </c>
      <c r="N196" s="325"/>
      <c r="O196" s="325"/>
      <c r="P196" s="325"/>
      <c r="Q196" s="325"/>
      <c r="R196" s="325"/>
      <c r="S196" s="324"/>
      <c r="T196" s="324"/>
      <c r="U196" s="324"/>
      <c r="V196" s="324"/>
      <c r="W196" s="324"/>
      <c r="X196" s="324"/>
      <c r="Y196" s="324"/>
      <c r="Z196" s="324"/>
      <c r="AA196" s="324"/>
      <c r="AB196" s="324"/>
      <c r="AC196" s="324"/>
      <c r="AD196" s="324"/>
      <c r="AE196" s="324"/>
      <c r="AF196" s="324"/>
      <c r="AG196" s="324"/>
      <c r="AH196" s="324"/>
      <c r="AI196" s="324"/>
      <c r="AJ196" s="324"/>
      <c r="AK196" s="324"/>
      <c r="AL196" s="324"/>
      <c r="AM196" s="324"/>
      <c r="AN196" s="324"/>
      <c r="AO196" s="324"/>
      <c r="AP196" s="324"/>
      <c r="AQ196" s="324"/>
      <c r="AR196" s="324"/>
      <c r="AS196" s="324"/>
      <c r="AT196" s="324"/>
      <c r="AU196" s="324"/>
      <c r="AV196" s="324"/>
      <c r="AW196" s="324"/>
      <c r="AX196" s="324"/>
      <c r="AY196" s="324"/>
      <c r="AZ196" s="324"/>
      <c r="BA196" s="324"/>
      <c r="BB196" s="324"/>
      <c r="BC196" s="324"/>
      <c r="BD196" s="324"/>
      <c r="BE196" s="324"/>
      <c r="BF196" s="324"/>
      <c r="BG196" s="324"/>
      <c r="BH196" s="324"/>
      <c r="BI196" s="324"/>
      <c r="BJ196" s="324"/>
      <c r="BK196" s="324"/>
      <c r="BL196" s="324"/>
      <c r="BM196" s="324"/>
      <c r="BN196" s="324"/>
      <c r="BO196" s="324"/>
      <c r="BP196" s="324"/>
      <c r="BQ196" s="324"/>
      <c r="BR196" s="324"/>
      <c r="BS196" s="324"/>
      <c r="BT196" s="324"/>
      <c r="BU196" s="324"/>
      <c r="BV196" s="324"/>
      <c r="BW196" s="324"/>
      <c r="BX196" s="324"/>
      <c r="BY196" s="324"/>
      <c r="BZ196" s="324"/>
      <c r="CA196" s="324"/>
      <c r="CB196" s="324"/>
      <c r="CC196" s="324"/>
      <c r="CD196" s="324"/>
      <c r="CE196" s="324"/>
      <c r="CF196" s="324"/>
      <c r="CG196" s="324"/>
      <c r="CH196" s="324"/>
      <c r="CI196" s="324"/>
      <c r="CJ196" s="324"/>
      <c r="CK196" s="324"/>
      <c r="CL196" s="324"/>
      <c r="CM196" s="324"/>
      <c r="CN196" s="324"/>
      <c r="CO196" s="324"/>
      <c r="CP196" s="324"/>
      <c r="CQ196" s="324"/>
      <c r="CR196" s="324"/>
      <c r="CS196" s="324"/>
      <c r="CT196" s="324"/>
      <c r="CU196" s="324"/>
      <c r="CV196" s="324"/>
      <c r="CW196" s="324"/>
      <c r="CX196" s="324"/>
      <c r="CY196" s="324"/>
      <c r="CZ196" s="324"/>
      <c r="DA196" s="324"/>
      <c r="DB196" s="324"/>
      <c r="DC196" s="324"/>
      <c r="DD196" s="324"/>
      <c r="DE196" s="324"/>
      <c r="DF196" s="324"/>
      <c r="DG196" s="324"/>
      <c r="DH196" s="324"/>
      <c r="DI196" s="324"/>
    </row>
    <row r="197" spans="1:113" customFormat="1" ht="15.75" thickBot="1" x14ac:dyDescent="0.3"/>
    <row r="198" spans="1:113" ht="15.75" thickBot="1" x14ac:dyDescent="0.3">
      <c r="A198" s="407" t="s">
        <v>657</v>
      </c>
      <c r="B198" s="414" t="s">
        <v>708</v>
      </c>
      <c r="C198" s="414" t="s">
        <v>1</v>
      </c>
      <c r="D198" s="415" t="s">
        <v>649</v>
      </c>
      <c r="E198" s="416" t="s">
        <v>19</v>
      </c>
      <c r="F198" s="416"/>
      <c r="G198" s="416"/>
      <c r="H198" s="416"/>
      <c r="I198" s="416"/>
      <c r="J198" s="410" t="s">
        <v>21</v>
      </c>
      <c r="K198" s="417" t="s">
        <v>602</v>
      </c>
      <c r="L198"/>
      <c r="M198" s="400" t="s">
        <v>601</v>
      </c>
      <c r="N198" s="404" t="s">
        <v>924</v>
      </c>
      <c r="O198" s="405"/>
      <c r="P198" s="405"/>
      <c r="Q198" s="405"/>
      <c r="R198" s="405"/>
      <c r="S198" s="405"/>
      <c r="T198" s="405"/>
      <c r="U198" s="405"/>
      <c r="V198" s="405"/>
      <c r="W198" s="405"/>
      <c r="X198" s="405"/>
      <c r="Y198" s="405"/>
      <c r="Z198" s="405"/>
      <c r="AA198" s="405"/>
      <c r="AB198" s="405"/>
      <c r="AC198" s="405"/>
      <c r="AD198" s="405"/>
      <c r="AE198" s="405"/>
      <c r="AF198" s="405"/>
      <c r="AG198" s="405"/>
      <c r="AH198" s="405"/>
      <c r="AI198" s="405"/>
      <c r="AJ198" s="405"/>
      <c r="AK198" s="405"/>
      <c r="AL198" s="405"/>
      <c r="AM198" s="405"/>
      <c r="AN198" s="405"/>
      <c r="AO198" s="405"/>
      <c r="AP198" s="405"/>
      <c r="AQ198" s="405"/>
      <c r="AR198" s="405"/>
      <c r="AS198" s="405"/>
      <c r="AT198" s="405"/>
      <c r="AU198" s="405"/>
      <c r="AV198" s="405"/>
      <c r="AW198" s="405"/>
      <c r="AX198" s="405"/>
      <c r="AY198" s="405"/>
      <c r="AZ198" s="405"/>
      <c r="BA198" s="405"/>
      <c r="BB198" s="405"/>
      <c r="BC198" s="405"/>
      <c r="BD198" s="405"/>
      <c r="BE198" s="405"/>
      <c r="BF198" s="405"/>
      <c r="BG198" s="405"/>
      <c r="BH198" s="405"/>
      <c r="BI198" s="405"/>
      <c r="BJ198" s="405"/>
      <c r="BK198" s="405"/>
      <c r="BL198" s="405"/>
      <c r="BM198" s="405"/>
      <c r="BN198" s="405"/>
      <c r="BO198" s="405"/>
      <c r="BP198" s="405"/>
      <c r="BQ198" s="405"/>
      <c r="BR198" s="405"/>
      <c r="BS198" s="405"/>
      <c r="BT198" s="405"/>
      <c r="BU198" s="405"/>
      <c r="BV198" s="405"/>
      <c r="BW198" s="405"/>
      <c r="BX198" s="405"/>
      <c r="BY198" s="405"/>
      <c r="BZ198" s="405"/>
      <c r="CA198" s="405"/>
      <c r="CB198" s="405"/>
      <c r="CC198" s="405"/>
      <c r="CD198" s="405"/>
      <c r="CE198" s="405"/>
      <c r="CF198" s="405"/>
      <c r="CG198" s="405"/>
      <c r="CH198" s="405"/>
      <c r="CI198" s="405"/>
      <c r="CJ198" s="405"/>
      <c r="CK198" s="405"/>
      <c r="CL198" s="405"/>
      <c r="CM198" s="405"/>
      <c r="CN198" s="405"/>
      <c r="CO198" s="405"/>
      <c r="CP198" s="405"/>
      <c r="CQ198" s="405"/>
      <c r="CR198" s="405"/>
      <c r="CS198" s="405"/>
      <c r="CT198" s="405"/>
      <c r="CU198" s="405"/>
      <c r="CV198" s="405"/>
      <c r="CW198" s="405"/>
      <c r="CX198" s="405"/>
      <c r="CY198" s="405"/>
      <c r="CZ198" s="405"/>
      <c r="DA198" s="405"/>
      <c r="DB198" s="405"/>
      <c r="DC198" s="405"/>
      <c r="DD198" s="405"/>
      <c r="DE198" s="405"/>
      <c r="DF198" s="405"/>
      <c r="DG198" s="405"/>
      <c r="DH198" s="405"/>
      <c r="DI198" s="406"/>
    </row>
    <row r="199" spans="1:113" ht="15.75" thickBot="1" x14ac:dyDescent="0.3">
      <c r="A199" s="408"/>
      <c r="B199" s="414"/>
      <c r="C199" s="414"/>
      <c r="D199" s="415"/>
      <c r="E199" s="68" t="s">
        <v>22</v>
      </c>
      <c r="F199" s="68" t="s">
        <v>600</v>
      </c>
      <c r="G199" s="68" t="s">
        <v>601</v>
      </c>
      <c r="H199" s="68" t="s">
        <v>589</v>
      </c>
      <c r="I199" s="68" t="s">
        <v>601</v>
      </c>
      <c r="J199" s="411"/>
      <c r="K199" s="418"/>
      <c r="L199"/>
      <c r="M199" s="401"/>
      <c r="N199" s="400" t="s">
        <v>925</v>
      </c>
      <c r="O199" s="400" t="s">
        <v>926</v>
      </c>
      <c r="P199" s="400"/>
      <c r="Q199" s="400"/>
      <c r="R199" s="400"/>
      <c r="S199" s="398"/>
      <c r="T199" s="398"/>
      <c r="U199" s="398"/>
      <c r="V199" s="398"/>
      <c r="W199" s="398"/>
      <c r="X199" s="398"/>
      <c r="Y199" s="398"/>
      <c r="Z199" s="398"/>
      <c r="AA199" s="398"/>
      <c r="AB199" s="398"/>
      <c r="AC199" s="398"/>
      <c r="AD199" s="398"/>
      <c r="AE199" s="398"/>
      <c r="AF199" s="398"/>
      <c r="AG199" s="398"/>
      <c r="AH199" s="398"/>
      <c r="AI199" s="398"/>
      <c r="AJ199" s="398"/>
      <c r="AK199" s="398"/>
      <c r="AL199" s="398"/>
      <c r="AM199" s="398"/>
      <c r="AN199" s="398"/>
      <c r="AO199" s="398"/>
      <c r="AP199" s="398"/>
      <c r="AQ199" s="398"/>
      <c r="AR199" s="398"/>
      <c r="AS199" s="398"/>
      <c r="AT199" s="398"/>
      <c r="AU199" s="398"/>
      <c r="AV199" s="398"/>
      <c r="AW199" s="398"/>
      <c r="AX199" s="398"/>
      <c r="AY199" s="398"/>
      <c r="AZ199" s="398"/>
      <c r="BA199" s="398"/>
      <c r="BB199" s="398"/>
      <c r="BC199" s="398"/>
      <c r="BD199" s="398"/>
      <c r="BE199" s="398"/>
      <c r="BF199" s="398"/>
      <c r="BG199" s="398"/>
      <c r="BH199" s="398"/>
      <c r="BI199" s="398"/>
      <c r="BJ199" s="398"/>
      <c r="BK199" s="398"/>
      <c r="BL199" s="398"/>
      <c r="BM199" s="398"/>
      <c r="BN199" s="398"/>
      <c r="BO199" s="398"/>
      <c r="BP199" s="398"/>
      <c r="BQ199" s="398"/>
      <c r="BR199" s="398"/>
      <c r="BS199" s="398"/>
      <c r="BT199" s="398"/>
      <c r="BU199" s="398"/>
      <c r="BV199" s="398"/>
      <c r="BW199" s="398"/>
      <c r="BX199" s="398"/>
      <c r="BY199" s="398"/>
      <c r="BZ199" s="398"/>
      <c r="CA199" s="398"/>
      <c r="CB199" s="398"/>
      <c r="CC199" s="398"/>
      <c r="CD199" s="398"/>
      <c r="CE199" s="398"/>
      <c r="CF199" s="398"/>
      <c r="CG199" s="398"/>
      <c r="CH199" s="398"/>
      <c r="CI199" s="398"/>
      <c r="CJ199" s="398"/>
      <c r="CK199" s="398"/>
      <c r="CL199" s="398"/>
      <c r="CM199" s="398"/>
      <c r="CN199" s="398"/>
      <c r="CO199" s="398"/>
      <c r="CP199" s="398"/>
      <c r="CQ199" s="398"/>
      <c r="CR199" s="398"/>
      <c r="CS199" s="398"/>
      <c r="CT199" s="398"/>
      <c r="CU199" s="398"/>
      <c r="CV199" s="398"/>
      <c r="CW199" s="398"/>
      <c r="CX199" s="398"/>
      <c r="CY199" s="398"/>
      <c r="CZ199" s="398"/>
      <c r="DA199" s="398"/>
      <c r="DB199" s="398"/>
      <c r="DC199" s="398"/>
      <c r="DD199" s="398"/>
      <c r="DE199" s="398"/>
      <c r="DF199" s="398"/>
      <c r="DG199" s="398"/>
      <c r="DH199" s="398"/>
      <c r="DI199" s="398"/>
    </row>
    <row r="200" spans="1:113" ht="15.75" thickBot="1" x14ac:dyDescent="0.3">
      <c r="A200" s="409"/>
      <c r="B200" s="168">
        <v>1</v>
      </c>
      <c r="C200" s="168">
        <v>2</v>
      </c>
      <c r="D200" s="168">
        <v>3</v>
      </c>
      <c r="E200" s="70">
        <v>4</v>
      </c>
      <c r="F200" s="70">
        <f>+E200+1</f>
        <v>5</v>
      </c>
      <c r="G200" s="70" t="s">
        <v>652</v>
      </c>
      <c r="H200" s="70">
        <v>7</v>
      </c>
      <c r="I200" s="71" t="s">
        <v>651</v>
      </c>
      <c r="J200" s="42" t="s">
        <v>650</v>
      </c>
      <c r="K200" s="42" t="s">
        <v>653</v>
      </c>
      <c r="L200"/>
      <c r="M200" s="402"/>
      <c r="N200" s="402"/>
      <c r="O200" s="402"/>
      <c r="P200" s="402"/>
      <c r="Q200" s="402"/>
      <c r="R200" s="402"/>
      <c r="S200" s="399"/>
      <c r="T200" s="399"/>
      <c r="U200" s="399"/>
      <c r="V200" s="399"/>
      <c r="W200" s="399"/>
      <c r="X200" s="399"/>
      <c r="Y200" s="399"/>
      <c r="Z200" s="399"/>
      <c r="AA200" s="399"/>
      <c r="AB200" s="399"/>
      <c r="AC200" s="399"/>
      <c r="AD200" s="399"/>
      <c r="AE200" s="399"/>
      <c r="AF200" s="399"/>
      <c r="AG200" s="399"/>
      <c r="AH200" s="399"/>
      <c r="AI200" s="399"/>
      <c r="AJ200" s="399"/>
      <c r="AK200" s="399"/>
      <c r="AL200" s="399"/>
      <c r="AM200" s="399"/>
      <c r="AN200" s="399"/>
      <c r="AO200" s="399"/>
      <c r="AP200" s="399"/>
      <c r="AQ200" s="399"/>
      <c r="AR200" s="399"/>
      <c r="AS200" s="399"/>
      <c r="AT200" s="399"/>
      <c r="AU200" s="399"/>
      <c r="AV200" s="399"/>
      <c r="AW200" s="399"/>
      <c r="AX200" s="399"/>
      <c r="AY200" s="399"/>
      <c r="AZ200" s="399"/>
      <c r="BA200" s="399"/>
      <c r="BB200" s="399"/>
      <c r="BC200" s="399"/>
      <c r="BD200" s="399"/>
      <c r="BE200" s="399"/>
      <c r="BF200" s="399"/>
      <c r="BG200" s="399"/>
      <c r="BH200" s="399"/>
      <c r="BI200" s="399"/>
      <c r="BJ200" s="399"/>
      <c r="BK200" s="399"/>
      <c r="BL200" s="399"/>
      <c r="BM200" s="399"/>
      <c r="BN200" s="399"/>
      <c r="BO200" s="399"/>
      <c r="BP200" s="399"/>
      <c r="BQ200" s="399"/>
      <c r="BR200" s="399"/>
      <c r="BS200" s="399"/>
      <c r="BT200" s="399"/>
      <c r="BU200" s="399"/>
      <c r="BV200" s="399"/>
      <c r="BW200" s="399"/>
      <c r="BX200" s="399"/>
      <c r="BY200" s="399"/>
      <c r="BZ200" s="399"/>
      <c r="CA200" s="399"/>
      <c r="CB200" s="399"/>
      <c r="CC200" s="399"/>
      <c r="CD200" s="399"/>
      <c r="CE200" s="399"/>
      <c r="CF200" s="399"/>
      <c r="CG200" s="399"/>
      <c r="CH200" s="399"/>
      <c r="CI200" s="399"/>
      <c r="CJ200" s="399"/>
      <c r="CK200" s="399"/>
      <c r="CL200" s="399"/>
      <c r="CM200" s="399"/>
      <c r="CN200" s="399"/>
      <c r="CO200" s="399"/>
      <c r="CP200" s="399"/>
      <c r="CQ200" s="399"/>
      <c r="CR200" s="399"/>
      <c r="CS200" s="399"/>
      <c r="CT200" s="399"/>
      <c r="CU200" s="399"/>
      <c r="CV200" s="399"/>
      <c r="CW200" s="399"/>
      <c r="CX200" s="399"/>
      <c r="CY200" s="399"/>
      <c r="CZ200" s="399"/>
      <c r="DA200" s="399"/>
      <c r="DB200" s="399"/>
      <c r="DC200" s="399"/>
      <c r="DD200" s="399"/>
      <c r="DE200" s="399"/>
      <c r="DF200" s="399"/>
      <c r="DG200" s="399"/>
      <c r="DH200" s="399"/>
      <c r="DI200" s="399"/>
    </row>
    <row r="201" spans="1:113" x14ac:dyDescent="0.25">
      <c r="A201" s="160"/>
      <c r="B201" s="72" t="s">
        <v>712</v>
      </c>
      <c r="C201" s="54"/>
      <c r="D201" s="54"/>
      <c r="E201" s="54"/>
      <c r="F201" s="54"/>
      <c r="G201" s="54"/>
      <c r="H201" s="54"/>
      <c r="I201" s="54"/>
      <c r="J201" s="54"/>
      <c r="K201" s="54"/>
      <c r="L201"/>
      <c r="M201" s="314">
        <f t="shared" si="103"/>
        <v>0</v>
      </c>
      <c r="N201" s="310"/>
      <c r="O201" s="315"/>
      <c r="P201" s="315"/>
      <c r="Q201" s="315"/>
      <c r="R201" s="315"/>
      <c r="S201" s="55"/>
      <c r="T201" s="55"/>
      <c r="U201" s="55"/>
      <c r="V201" s="55"/>
      <c r="W201" s="55"/>
      <c r="X201" s="55"/>
      <c r="Y201" s="55"/>
      <c r="Z201" s="55"/>
      <c r="AA201" s="55"/>
      <c r="AB201" s="55"/>
      <c r="AC201" s="55"/>
      <c r="AD201" s="55"/>
      <c r="AE201" s="55"/>
      <c r="AF201" s="55"/>
      <c r="AG201" s="55"/>
      <c r="AH201" s="55"/>
      <c r="AI201" s="55"/>
      <c r="AJ201" s="55"/>
      <c r="AK201" s="55"/>
      <c r="AL201" s="55"/>
      <c r="AM201" s="55"/>
      <c r="AN201" s="55"/>
      <c r="AO201" s="55"/>
      <c r="AP201" s="55"/>
      <c r="AQ201" s="55"/>
      <c r="AR201" s="55"/>
      <c r="AS201" s="55"/>
      <c r="AT201" s="55"/>
      <c r="AU201" s="55"/>
      <c r="AV201" s="55"/>
      <c r="AW201" s="55"/>
      <c r="AX201" s="55"/>
      <c r="AY201" s="55"/>
      <c r="AZ201" s="55"/>
      <c r="BA201" s="55"/>
      <c r="BB201" s="55"/>
      <c r="BC201" s="55"/>
      <c r="BD201" s="55"/>
      <c r="BE201" s="55"/>
      <c r="BF201" s="55"/>
      <c r="BG201" s="55"/>
      <c r="BH201" s="55"/>
      <c r="BI201" s="55"/>
      <c r="BJ201" s="55"/>
      <c r="BK201" s="55"/>
      <c r="BL201" s="55"/>
      <c r="BM201" s="55"/>
      <c r="BN201" s="55"/>
      <c r="BO201" s="55"/>
      <c r="BP201" s="55"/>
      <c r="BQ201" s="55"/>
      <c r="BR201" s="55"/>
      <c r="BS201" s="55"/>
      <c r="BT201" s="55"/>
      <c r="BU201" s="55"/>
      <c r="BV201" s="55"/>
      <c r="BW201" s="55"/>
      <c r="BX201" s="55"/>
      <c r="BY201" s="55"/>
      <c r="BZ201" s="55"/>
      <c r="CA201" s="55"/>
      <c r="CB201" s="55"/>
      <c r="CC201" s="55"/>
      <c r="CD201" s="55"/>
      <c r="CE201" s="55"/>
      <c r="CF201" s="55"/>
      <c r="CG201" s="55"/>
      <c r="CH201" s="55"/>
      <c r="CI201" s="55"/>
      <c r="CJ201" s="55"/>
      <c r="CK201" s="55"/>
      <c r="CL201" s="55"/>
      <c r="CM201" s="55"/>
      <c r="CN201" s="55"/>
      <c r="CO201" s="55"/>
      <c r="CP201" s="55"/>
      <c r="CQ201" s="55"/>
      <c r="CR201" s="55"/>
      <c r="CS201" s="55"/>
      <c r="CT201" s="55"/>
      <c r="CU201" s="55"/>
      <c r="CV201" s="55"/>
      <c r="CW201" s="55"/>
      <c r="CX201" s="55"/>
      <c r="CY201" s="55"/>
      <c r="CZ201" s="55"/>
      <c r="DA201" s="55"/>
      <c r="DB201" s="55"/>
      <c r="DC201" s="55"/>
      <c r="DD201" s="55"/>
      <c r="DE201" s="55"/>
      <c r="DF201" s="55"/>
      <c r="DG201" s="55"/>
      <c r="DH201" s="55"/>
      <c r="DI201" s="55"/>
    </row>
    <row r="202" spans="1:113" x14ac:dyDescent="0.25">
      <c r="A202" s="152">
        <v>1</v>
      </c>
      <c r="B202" s="60" t="s">
        <v>211</v>
      </c>
      <c r="C202" s="173">
        <v>15000</v>
      </c>
      <c r="D202" s="174">
        <v>1457</v>
      </c>
      <c r="E202" s="43">
        <v>400</v>
      </c>
      <c r="F202" s="60"/>
      <c r="G202" s="139">
        <f t="shared" ref="G202" si="106">+E202+F202</f>
        <v>400</v>
      </c>
      <c r="H202" s="55"/>
      <c r="I202" s="56">
        <f t="shared" ref="I202" si="107">+G202-H202</f>
        <v>400</v>
      </c>
      <c r="J202" s="56">
        <f t="shared" ref="J202" si="108">I202*C202</f>
        <v>6000000</v>
      </c>
      <c r="K202" s="57">
        <f t="shared" ref="K202" si="109">+D202*I202</f>
        <v>582800</v>
      </c>
      <c r="L202"/>
      <c r="M202" s="314">
        <f t="shared" si="103"/>
        <v>0</v>
      </c>
      <c r="N202" s="310"/>
      <c r="O202" s="315"/>
      <c r="P202" s="315"/>
      <c r="Q202" s="315"/>
      <c r="R202" s="315"/>
      <c r="S202" s="55"/>
      <c r="T202" s="55"/>
      <c r="U202" s="55"/>
      <c r="V202" s="55"/>
      <c r="W202" s="55"/>
      <c r="X202" s="55"/>
      <c r="Y202" s="55"/>
      <c r="Z202" s="55"/>
      <c r="AA202" s="55"/>
      <c r="AB202" s="55"/>
      <c r="AC202" s="55"/>
      <c r="AD202" s="55"/>
      <c r="AE202" s="55"/>
      <c r="AF202" s="55"/>
      <c r="AG202" s="55"/>
      <c r="AH202" s="55"/>
      <c r="AI202" s="55"/>
      <c r="AJ202" s="55"/>
      <c r="AK202" s="55"/>
      <c r="AL202" s="55"/>
      <c r="AM202" s="55"/>
      <c r="AN202" s="55"/>
      <c r="AO202" s="55"/>
      <c r="AP202" s="55"/>
      <c r="AQ202" s="55"/>
      <c r="AR202" s="55"/>
      <c r="AS202" s="55"/>
      <c r="AT202" s="55"/>
      <c r="AU202" s="55"/>
      <c r="AV202" s="55"/>
      <c r="AW202" s="55"/>
      <c r="AX202" s="55"/>
      <c r="AY202" s="55"/>
      <c r="AZ202" s="55"/>
      <c r="BA202" s="55"/>
      <c r="BB202" s="55"/>
      <c r="BC202" s="55"/>
      <c r="BD202" s="55"/>
      <c r="BE202" s="55"/>
      <c r="BF202" s="55"/>
      <c r="BG202" s="55"/>
      <c r="BH202" s="55"/>
      <c r="BI202" s="55"/>
      <c r="BJ202" s="55"/>
      <c r="BK202" s="55"/>
      <c r="BL202" s="55"/>
      <c r="BM202" s="55"/>
      <c r="BN202" s="55"/>
      <c r="BO202" s="55"/>
      <c r="BP202" s="55"/>
      <c r="BQ202" s="55"/>
      <c r="BR202" s="55"/>
      <c r="BS202" s="55"/>
      <c r="BT202" s="55"/>
      <c r="BU202" s="55"/>
      <c r="BV202" s="55"/>
      <c r="BW202" s="55"/>
      <c r="BX202" s="55"/>
      <c r="BY202" s="55"/>
      <c r="BZ202" s="55"/>
      <c r="CA202" s="55"/>
      <c r="CB202" s="55"/>
      <c r="CC202" s="55"/>
      <c r="CD202" s="55"/>
      <c r="CE202" s="55"/>
      <c r="CF202" s="55"/>
      <c r="CG202" s="55"/>
      <c r="CH202" s="55"/>
      <c r="CI202" s="55"/>
      <c r="CJ202" s="55"/>
      <c r="CK202" s="55"/>
      <c r="CL202" s="55"/>
      <c r="CM202" s="55"/>
      <c r="CN202" s="55"/>
      <c r="CO202" s="55"/>
      <c r="CP202" s="55"/>
      <c r="CQ202" s="55"/>
      <c r="CR202" s="55"/>
      <c r="CS202" s="55"/>
      <c r="CT202" s="55"/>
      <c r="CU202" s="55"/>
      <c r="CV202" s="55"/>
      <c r="CW202" s="55"/>
      <c r="CX202" s="55"/>
      <c r="CY202" s="55"/>
      <c r="CZ202" s="55"/>
      <c r="DA202" s="55"/>
      <c r="DB202" s="55"/>
      <c r="DC202" s="55"/>
      <c r="DD202" s="55"/>
      <c r="DE202" s="55"/>
      <c r="DF202" s="55"/>
      <c r="DG202" s="55"/>
      <c r="DH202" s="55"/>
      <c r="DI202" s="55"/>
    </row>
    <row r="203" spans="1:113" x14ac:dyDescent="0.25">
      <c r="A203" s="152">
        <v>2</v>
      </c>
      <c r="B203" s="60" t="s">
        <v>212</v>
      </c>
      <c r="C203" s="173">
        <v>10000</v>
      </c>
      <c r="D203" s="174">
        <v>1107.1099999999999</v>
      </c>
      <c r="E203" s="43">
        <v>195</v>
      </c>
      <c r="F203" s="60"/>
      <c r="G203" s="139">
        <f t="shared" ref="G203:G210" si="110">+E203+F203</f>
        <v>195</v>
      </c>
      <c r="H203" s="55"/>
      <c r="I203" s="56">
        <f t="shared" ref="I203:I210" si="111">+G203-H203</f>
        <v>195</v>
      </c>
      <c r="J203" s="56">
        <f t="shared" ref="J203:J210" si="112">I203*C203</f>
        <v>1950000</v>
      </c>
      <c r="K203" s="57">
        <f t="shared" ref="K203:K210" si="113">+D203*I203</f>
        <v>215886.44999999998</v>
      </c>
      <c r="L203"/>
      <c r="M203" s="314">
        <f t="shared" si="103"/>
        <v>0</v>
      </c>
      <c r="N203" s="310"/>
      <c r="O203" s="315"/>
      <c r="P203" s="315"/>
      <c r="Q203" s="315"/>
      <c r="R203" s="315"/>
      <c r="S203" s="55"/>
      <c r="T203" s="55"/>
      <c r="U203" s="55"/>
      <c r="V203" s="55"/>
      <c r="W203" s="55"/>
      <c r="X203" s="55"/>
      <c r="Y203" s="55"/>
      <c r="Z203" s="55"/>
      <c r="AA203" s="55"/>
      <c r="AB203" s="55"/>
      <c r="AC203" s="55"/>
      <c r="AD203" s="55"/>
      <c r="AE203" s="55"/>
      <c r="AF203" s="55"/>
      <c r="AG203" s="55"/>
      <c r="AH203" s="55"/>
      <c r="AI203" s="55"/>
      <c r="AJ203" s="55"/>
      <c r="AK203" s="55"/>
      <c r="AL203" s="55"/>
      <c r="AM203" s="55"/>
      <c r="AN203" s="55"/>
      <c r="AO203" s="55"/>
      <c r="AP203" s="55"/>
      <c r="AQ203" s="55"/>
      <c r="AR203" s="55"/>
      <c r="AS203" s="55"/>
      <c r="AT203" s="55"/>
      <c r="AU203" s="55"/>
      <c r="AV203" s="55"/>
      <c r="AW203" s="55"/>
      <c r="AX203" s="55"/>
      <c r="AY203" s="55"/>
      <c r="AZ203" s="55"/>
      <c r="BA203" s="55"/>
      <c r="BB203" s="55"/>
      <c r="BC203" s="55"/>
      <c r="BD203" s="55"/>
      <c r="BE203" s="55"/>
      <c r="BF203" s="55"/>
      <c r="BG203" s="55"/>
      <c r="BH203" s="55"/>
      <c r="BI203" s="55"/>
      <c r="BJ203" s="55"/>
      <c r="BK203" s="55"/>
      <c r="BL203" s="55"/>
      <c r="BM203" s="55"/>
      <c r="BN203" s="55"/>
      <c r="BO203" s="55"/>
      <c r="BP203" s="55"/>
      <c r="BQ203" s="55"/>
      <c r="BR203" s="55"/>
      <c r="BS203" s="55"/>
      <c r="BT203" s="55"/>
      <c r="BU203" s="55"/>
      <c r="BV203" s="55"/>
      <c r="BW203" s="55"/>
      <c r="BX203" s="55"/>
      <c r="BY203" s="55"/>
      <c r="BZ203" s="55"/>
      <c r="CA203" s="55"/>
      <c r="CB203" s="55"/>
      <c r="CC203" s="55"/>
      <c r="CD203" s="55"/>
      <c r="CE203" s="55"/>
      <c r="CF203" s="55"/>
      <c r="CG203" s="55"/>
      <c r="CH203" s="55"/>
      <c r="CI203" s="55"/>
      <c r="CJ203" s="55"/>
      <c r="CK203" s="55"/>
      <c r="CL203" s="55"/>
      <c r="CM203" s="55"/>
      <c r="CN203" s="55"/>
      <c r="CO203" s="55"/>
      <c r="CP203" s="55"/>
      <c r="CQ203" s="55"/>
      <c r="CR203" s="55"/>
      <c r="CS203" s="55"/>
      <c r="CT203" s="55"/>
      <c r="CU203" s="55"/>
      <c r="CV203" s="55"/>
      <c r="CW203" s="55"/>
      <c r="CX203" s="55"/>
      <c r="CY203" s="55"/>
      <c r="CZ203" s="55"/>
      <c r="DA203" s="55"/>
      <c r="DB203" s="55"/>
      <c r="DC203" s="55"/>
      <c r="DD203" s="55"/>
      <c r="DE203" s="55"/>
      <c r="DF203" s="55"/>
      <c r="DG203" s="55"/>
      <c r="DH203" s="55"/>
      <c r="DI203" s="55"/>
    </row>
    <row r="204" spans="1:113" x14ac:dyDescent="0.25">
      <c r="A204" s="152">
        <v>3</v>
      </c>
      <c r="B204" s="79" t="str">
        <f>+'[5]KEL B'!$FE$3</f>
        <v>SS PEDULI LINGK</v>
      </c>
      <c r="C204" s="173">
        <v>10000</v>
      </c>
      <c r="D204" s="174">
        <v>1146</v>
      </c>
      <c r="E204" s="43">
        <v>0</v>
      </c>
      <c r="F204" s="60"/>
      <c r="G204" s="139">
        <f t="shared" si="110"/>
        <v>0</v>
      </c>
      <c r="H204" s="55">
        <f>5000-5000</f>
        <v>0</v>
      </c>
      <c r="I204" s="56">
        <f t="shared" si="111"/>
        <v>0</v>
      </c>
      <c r="J204" s="56">
        <f t="shared" si="112"/>
        <v>0</v>
      </c>
      <c r="K204" s="57">
        <f t="shared" si="113"/>
        <v>0</v>
      </c>
      <c r="L204"/>
      <c r="M204" s="314">
        <f t="shared" si="103"/>
        <v>0</v>
      </c>
      <c r="N204" s="310"/>
      <c r="O204" s="315"/>
      <c r="P204" s="315"/>
      <c r="Q204" s="315"/>
      <c r="R204" s="315"/>
      <c r="S204" s="55"/>
      <c r="T204" s="55"/>
      <c r="U204" s="55"/>
      <c r="V204" s="55"/>
      <c r="W204" s="55"/>
      <c r="X204" s="55"/>
      <c r="Y204" s="55"/>
      <c r="Z204" s="55"/>
      <c r="AA204" s="55"/>
      <c r="AB204" s="55"/>
      <c r="AC204" s="55"/>
      <c r="AD204" s="55"/>
      <c r="AE204" s="55"/>
      <c r="AF204" s="55"/>
      <c r="AG204" s="55"/>
      <c r="AH204" s="55"/>
      <c r="AI204" s="55"/>
      <c r="AJ204" s="55"/>
      <c r="AK204" s="55"/>
      <c r="AL204" s="55"/>
      <c r="AM204" s="55"/>
      <c r="AN204" s="55"/>
      <c r="AO204" s="55"/>
      <c r="AP204" s="55"/>
      <c r="AQ204" s="55"/>
      <c r="AR204" s="55"/>
      <c r="AS204" s="55"/>
      <c r="AT204" s="55"/>
      <c r="AU204" s="55"/>
      <c r="AV204" s="55"/>
      <c r="AW204" s="55"/>
      <c r="AX204" s="55"/>
      <c r="AY204" s="55"/>
      <c r="AZ204" s="55"/>
      <c r="BA204" s="55"/>
      <c r="BB204" s="55"/>
      <c r="BC204" s="55"/>
      <c r="BD204" s="55"/>
      <c r="BE204" s="55"/>
      <c r="BF204" s="55"/>
      <c r="BG204" s="55"/>
      <c r="BH204" s="55"/>
      <c r="BI204" s="55"/>
      <c r="BJ204" s="55"/>
      <c r="BK204" s="55"/>
      <c r="BL204" s="55"/>
      <c r="BM204" s="55"/>
      <c r="BN204" s="55"/>
      <c r="BO204" s="55"/>
      <c r="BP204" s="55"/>
      <c r="BQ204" s="55"/>
      <c r="BR204" s="55"/>
      <c r="BS204" s="55"/>
      <c r="BT204" s="55"/>
      <c r="BU204" s="55"/>
      <c r="BV204" s="55"/>
      <c r="BW204" s="55"/>
      <c r="BX204" s="55"/>
      <c r="BY204" s="55"/>
      <c r="BZ204" s="55"/>
      <c r="CA204" s="55"/>
      <c r="CB204" s="55"/>
      <c r="CC204" s="55"/>
      <c r="CD204" s="55"/>
      <c r="CE204" s="55"/>
      <c r="CF204" s="55"/>
      <c r="CG204" s="55"/>
      <c r="CH204" s="55"/>
      <c r="CI204" s="55"/>
      <c r="CJ204" s="55"/>
      <c r="CK204" s="55"/>
      <c r="CL204" s="55"/>
      <c r="CM204" s="55"/>
      <c r="CN204" s="55"/>
      <c r="CO204" s="55"/>
      <c r="CP204" s="55"/>
      <c r="CQ204" s="55"/>
      <c r="CR204" s="55"/>
      <c r="CS204" s="55"/>
      <c r="CT204" s="55"/>
      <c r="CU204" s="55"/>
      <c r="CV204" s="55"/>
      <c r="CW204" s="55"/>
      <c r="CX204" s="55"/>
      <c r="CY204" s="55"/>
      <c r="CZ204" s="55"/>
      <c r="DA204" s="55"/>
      <c r="DB204" s="55"/>
      <c r="DC204" s="55"/>
      <c r="DD204" s="55"/>
      <c r="DE204" s="55"/>
      <c r="DF204" s="55"/>
      <c r="DG204" s="55"/>
      <c r="DH204" s="55"/>
      <c r="DI204" s="55"/>
    </row>
    <row r="205" spans="1:113" x14ac:dyDescent="0.25">
      <c r="A205" s="152">
        <v>4</v>
      </c>
      <c r="B205" s="60" t="s">
        <v>213</v>
      </c>
      <c r="C205" s="173">
        <v>20000</v>
      </c>
      <c r="D205" s="175">
        <v>1586.85</v>
      </c>
      <c r="E205" s="43">
        <v>1000</v>
      </c>
      <c r="F205" s="60"/>
      <c r="G205" s="139">
        <f t="shared" si="110"/>
        <v>1000</v>
      </c>
      <c r="H205" s="55">
        <f>5000-5000</f>
        <v>0</v>
      </c>
      <c r="I205" s="56">
        <f t="shared" si="111"/>
        <v>1000</v>
      </c>
      <c r="J205" s="56">
        <f t="shared" si="112"/>
        <v>20000000</v>
      </c>
      <c r="K205" s="57">
        <f t="shared" si="113"/>
        <v>1586850</v>
      </c>
      <c r="L205"/>
      <c r="M205" s="314">
        <f t="shared" si="103"/>
        <v>0</v>
      </c>
      <c r="N205" s="310"/>
      <c r="O205" s="315"/>
      <c r="P205" s="315"/>
      <c r="Q205" s="315"/>
      <c r="R205" s="315"/>
      <c r="S205" s="55"/>
      <c r="T205" s="55"/>
      <c r="U205" s="55"/>
      <c r="V205" s="55"/>
      <c r="W205" s="55"/>
      <c r="X205" s="55"/>
      <c r="Y205" s="55"/>
      <c r="Z205" s="55"/>
      <c r="AA205" s="55"/>
      <c r="AB205" s="55"/>
      <c r="AC205" s="55"/>
      <c r="AD205" s="55"/>
      <c r="AE205" s="55"/>
      <c r="AF205" s="55"/>
      <c r="AG205" s="55"/>
      <c r="AH205" s="55"/>
      <c r="AI205" s="55"/>
      <c r="AJ205" s="55"/>
      <c r="AK205" s="55"/>
      <c r="AL205" s="55"/>
      <c r="AM205" s="55"/>
      <c r="AN205" s="55"/>
      <c r="AO205" s="55"/>
      <c r="AP205" s="55"/>
      <c r="AQ205" s="55"/>
      <c r="AR205" s="55"/>
      <c r="AS205" s="55"/>
      <c r="AT205" s="55"/>
      <c r="AU205" s="55"/>
      <c r="AV205" s="55"/>
      <c r="AW205" s="55"/>
      <c r="AX205" s="55"/>
      <c r="AY205" s="55"/>
      <c r="AZ205" s="55"/>
      <c r="BA205" s="55"/>
      <c r="BB205" s="55"/>
      <c r="BC205" s="55"/>
      <c r="BD205" s="55"/>
      <c r="BE205" s="55"/>
      <c r="BF205" s="55"/>
      <c r="BG205" s="55"/>
      <c r="BH205" s="55"/>
      <c r="BI205" s="55"/>
      <c r="BJ205" s="55"/>
      <c r="BK205" s="55"/>
      <c r="BL205" s="55"/>
      <c r="BM205" s="55"/>
      <c r="BN205" s="55"/>
      <c r="BO205" s="55"/>
      <c r="BP205" s="55"/>
      <c r="BQ205" s="55"/>
      <c r="BR205" s="55"/>
      <c r="BS205" s="55"/>
      <c r="BT205" s="55"/>
      <c r="BU205" s="55"/>
      <c r="BV205" s="55"/>
      <c r="BW205" s="55"/>
      <c r="BX205" s="55"/>
      <c r="BY205" s="55"/>
      <c r="BZ205" s="55"/>
      <c r="CA205" s="55"/>
      <c r="CB205" s="55"/>
      <c r="CC205" s="55"/>
      <c r="CD205" s="55"/>
      <c r="CE205" s="55"/>
      <c r="CF205" s="55"/>
      <c r="CG205" s="55"/>
      <c r="CH205" s="55"/>
      <c r="CI205" s="55"/>
      <c r="CJ205" s="55"/>
      <c r="CK205" s="55"/>
      <c r="CL205" s="55"/>
      <c r="CM205" s="55"/>
      <c r="CN205" s="55"/>
      <c r="CO205" s="55"/>
      <c r="CP205" s="55"/>
      <c r="CQ205" s="55"/>
      <c r="CR205" s="55"/>
      <c r="CS205" s="55"/>
      <c r="CT205" s="55"/>
      <c r="CU205" s="55"/>
      <c r="CV205" s="55"/>
      <c r="CW205" s="55"/>
      <c r="CX205" s="55"/>
      <c r="CY205" s="55"/>
      <c r="CZ205" s="55"/>
      <c r="DA205" s="55"/>
      <c r="DB205" s="55"/>
      <c r="DC205" s="55"/>
      <c r="DD205" s="55"/>
      <c r="DE205" s="55"/>
      <c r="DF205" s="55"/>
      <c r="DG205" s="55"/>
      <c r="DH205" s="55"/>
      <c r="DI205" s="55"/>
    </row>
    <row r="206" spans="1:113" x14ac:dyDescent="0.25">
      <c r="A206" s="152">
        <v>5</v>
      </c>
      <c r="B206" s="60" t="s">
        <v>214</v>
      </c>
      <c r="C206" s="173">
        <v>60000</v>
      </c>
      <c r="D206" s="176">
        <v>3173.7</v>
      </c>
      <c r="E206" s="43">
        <v>0</v>
      </c>
      <c r="F206" s="60"/>
      <c r="G206" s="139">
        <f t="shared" si="110"/>
        <v>0</v>
      </c>
      <c r="H206" s="55">
        <f>30-30</f>
        <v>0</v>
      </c>
      <c r="I206" s="56">
        <f t="shared" si="111"/>
        <v>0</v>
      </c>
      <c r="J206" s="56">
        <f t="shared" si="112"/>
        <v>0</v>
      </c>
      <c r="K206" s="57">
        <f t="shared" si="113"/>
        <v>0</v>
      </c>
      <c r="L206"/>
      <c r="M206" s="314">
        <f t="shared" si="103"/>
        <v>0</v>
      </c>
      <c r="N206" s="310"/>
      <c r="O206" s="315"/>
      <c r="P206" s="315"/>
      <c r="Q206" s="315"/>
      <c r="R206" s="315"/>
      <c r="S206" s="55"/>
      <c r="T206" s="55"/>
      <c r="U206" s="55"/>
      <c r="V206" s="55"/>
      <c r="W206" s="55"/>
      <c r="X206" s="55"/>
      <c r="Y206" s="55"/>
      <c r="Z206" s="55"/>
      <c r="AA206" s="55"/>
      <c r="AB206" s="55"/>
      <c r="AC206" s="55"/>
      <c r="AD206" s="55"/>
      <c r="AE206" s="55"/>
      <c r="AF206" s="55"/>
      <c r="AG206" s="55"/>
      <c r="AH206" s="55"/>
      <c r="AI206" s="55"/>
      <c r="AJ206" s="55"/>
      <c r="AK206" s="55"/>
      <c r="AL206" s="55"/>
      <c r="AM206" s="55"/>
      <c r="AN206" s="55"/>
      <c r="AO206" s="55"/>
      <c r="AP206" s="55"/>
      <c r="AQ206" s="55"/>
      <c r="AR206" s="55"/>
      <c r="AS206" s="55"/>
      <c r="AT206" s="55"/>
      <c r="AU206" s="55"/>
      <c r="AV206" s="55"/>
      <c r="AW206" s="55"/>
      <c r="AX206" s="55"/>
      <c r="AY206" s="55"/>
      <c r="AZ206" s="55"/>
      <c r="BA206" s="55"/>
      <c r="BB206" s="55"/>
      <c r="BC206" s="55"/>
      <c r="BD206" s="55"/>
      <c r="BE206" s="55"/>
      <c r="BF206" s="55"/>
      <c r="BG206" s="55"/>
      <c r="BH206" s="55"/>
      <c r="BI206" s="55"/>
      <c r="BJ206" s="55"/>
      <c r="BK206" s="55"/>
      <c r="BL206" s="55"/>
      <c r="BM206" s="55"/>
      <c r="BN206" s="55"/>
      <c r="BO206" s="55"/>
      <c r="BP206" s="55"/>
      <c r="BQ206" s="55"/>
      <c r="BR206" s="55"/>
      <c r="BS206" s="55"/>
      <c r="BT206" s="55"/>
      <c r="BU206" s="55"/>
      <c r="BV206" s="55"/>
      <c r="BW206" s="55"/>
      <c r="BX206" s="55"/>
      <c r="BY206" s="55"/>
      <c r="BZ206" s="55"/>
      <c r="CA206" s="55"/>
      <c r="CB206" s="55"/>
      <c r="CC206" s="55"/>
      <c r="CD206" s="55"/>
      <c r="CE206" s="55"/>
      <c r="CF206" s="55"/>
      <c r="CG206" s="55"/>
      <c r="CH206" s="55"/>
      <c r="CI206" s="55"/>
      <c r="CJ206" s="55"/>
      <c r="CK206" s="55"/>
      <c r="CL206" s="55"/>
      <c r="CM206" s="55"/>
      <c r="CN206" s="55"/>
      <c r="CO206" s="55"/>
      <c r="CP206" s="55"/>
      <c r="CQ206" s="55"/>
      <c r="CR206" s="55"/>
      <c r="CS206" s="55"/>
      <c r="CT206" s="55"/>
      <c r="CU206" s="55"/>
      <c r="CV206" s="55"/>
      <c r="CW206" s="55"/>
      <c r="CX206" s="55"/>
      <c r="CY206" s="55"/>
      <c r="CZ206" s="55"/>
      <c r="DA206" s="55"/>
      <c r="DB206" s="55"/>
      <c r="DC206" s="55"/>
      <c r="DD206" s="55"/>
      <c r="DE206" s="55"/>
      <c r="DF206" s="55"/>
      <c r="DG206" s="55"/>
      <c r="DH206" s="55"/>
      <c r="DI206" s="55"/>
    </row>
    <row r="207" spans="1:113" x14ac:dyDescent="0.25">
      <c r="A207" s="152">
        <v>6</v>
      </c>
      <c r="B207" s="60" t="s">
        <v>540</v>
      </c>
      <c r="C207" s="173">
        <v>50000</v>
      </c>
      <c r="D207" s="175">
        <v>22904.74</v>
      </c>
      <c r="E207" s="43">
        <v>6850</v>
      </c>
      <c r="F207" s="60"/>
      <c r="G207" s="139">
        <f t="shared" si="110"/>
        <v>6850</v>
      </c>
      <c r="H207" s="166">
        <f>400-400</f>
        <v>0</v>
      </c>
      <c r="I207" s="56">
        <f t="shared" si="111"/>
        <v>6850</v>
      </c>
      <c r="J207" s="56">
        <f t="shared" si="112"/>
        <v>342500000</v>
      </c>
      <c r="K207" s="57">
        <f t="shared" si="113"/>
        <v>156897469</v>
      </c>
      <c r="L207"/>
      <c r="M207" s="314">
        <f t="shared" si="103"/>
        <v>0</v>
      </c>
      <c r="N207" s="310"/>
      <c r="O207" s="315"/>
      <c r="P207" s="315"/>
      <c r="Q207" s="315"/>
      <c r="R207" s="315"/>
      <c r="S207" s="55"/>
      <c r="T207" s="55"/>
      <c r="U207" s="55"/>
      <c r="V207" s="55"/>
      <c r="W207" s="55"/>
      <c r="X207" s="55"/>
      <c r="Y207" s="55"/>
      <c r="Z207" s="55"/>
      <c r="AA207" s="55"/>
      <c r="AB207" s="55"/>
      <c r="AC207" s="55"/>
      <c r="AD207" s="55"/>
      <c r="AE207" s="55"/>
      <c r="AF207" s="55"/>
      <c r="AG207" s="55"/>
      <c r="AH207" s="55"/>
      <c r="AI207" s="55"/>
      <c r="AJ207" s="55"/>
      <c r="AK207" s="55"/>
      <c r="AL207" s="55"/>
      <c r="AM207" s="55"/>
      <c r="AN207" s="55"/>
      <c r="AO207" s="55"/>
      <c r="AP207" s="55"/>
      <c r="AQ207" s="55"/>
      <c r="AR207" s="55"/>
      <c r="AS207" s="55"/>
      <c r="AT207" s="55"/>
      <c r="AU207" s="55"/>
      <c r="AV207" s="55"/>
      <c r="AW207" s="55"/>
      <c r="AX207" s="55"/>
      <c r="AY207" s="55"/>
      <c r="AZ207" s="55"/>
      <c r="BA207" s="55"/>
      <c r="BB207" s="55"/>
      <c r="BC207" s="55"/>
      <c r="BD207" s="55"/>
      <c r="BE207" s="55"/>
      <c r="BF207" s="55"/>
      <c r="BG207" s="55"/>
      <c r="BH207" s="55"/>
      <c r="BI207" s="55"/>
      <c r="BJ207" s="55"/>
      <c r="BK207" s="55"/>
      <c r="BL207" s="55"/>
      <c r="BM207" s="55"/>
      <c r="BN207" s="55"/>
      <c r="BO207" s="55"/>
      <c r="BP207" s="55"/>
      <c r="BQ207" s="55"/>
      <c r="BR207" s="55"/>
      <c r="BS207" s="55"/>
      <c r="BT207" s="55"/>
      <c r="BU207" s="55"/>
      <c r="BV207" s="55"/>
      <c r="BW207" s="55"/>
      <c r="BX207" s="55"/>
      <c r="BY207" s="55"/>
      <c r="BZ207" s="55"/>
      <c r="CA207" s="55"/>
      <c r="CB207" s="55"/>
      <c r="CC207" s="55"/>
      <c r="CD207" s="55"/>
      <c r="CE207" s="55"/>
      <c r="CF207" s="55"/>
      <c r="CG207" s="55"/>
      <c r="CH207" s="55"/>
      <c r="CI207" s="55"/>
      <c r="CJ207" s="55"/>
      <c r="CK207" s="55"/>
      <c r="CL207" s="55"/>
      <c r="CM207" s="55"/>
      <c r="CN207" s="55"/>
      <c r="CO207" s="55"/>
      <c r="CP207" s="55"/>
      <c r="CQ207" s="55"/>
      <c r="CR207" s="55"/>
      <c r="CS207" s="55"/>
      <c r="CT207" s="55"/>
      <c r="CU207" s="55"/>
      <c r="CV207" s="55"/>
      <c r="CW207" s="55"/>
      <c r="CX207" s="55"/>
      <c r="CY207" s="55"/>
      <c r="CZ207" s="55"/>
      <c r="DA207" s="55"/>
      <c r="DB207" s="55"/>
      <c r="DC207" s="55"/>
      <c r="DD207" s="55"/>
      <c r="DE207" s="55"/>
      <c r="DF207" s="55"/>
      <c r="DG207" s="55"/>
      <c r="DH207" s="55"/>
      <c r="DI207" s="55"/>
    </row>
    <row r="208" spans="1:113" x14ac:dyDescent="0.25">
      <c r="A208" s="152">
        <v>7</v>
      </c>
      <c r="B208" s="60" t="s">
        <v>556</v>
      </c>
      <c r="C208" s="173">
        <v>20000</v>
      </c>
      <c r="D208" s="43">
        <v>1287</v>
      </c>
      <c r="E208" s="43">
        <v>200</v>
      </c>
      <c r="F208" s="60"/>
      <c r="G208" s="139">
        <f t="shared" si="110"/>
        <v>200</v>
      </c>
      <c r="H208" s="55">
        <f>6000/4-1500</f>
        <v>0</v>
      </c>
      <c r="I208" s="56">
        <f t="shared" si="111"/>
        <v>200</v>
      </c>
      <c r="J208" s="56">
        <f t="shared" si="112"/>
        <v>4000000</v>
      </c>
      <c r="K208" s="57">
        <f t="shared" si="113"/>
        <v>257400</v>
      </c>
      <c r="L208"/>
      <c r="M208" s="314">
        <f t="shared" si="103"/>
        <v>0</v>
      </c>
      <c r="N208" s="310"/>
      <c r="O208" s="315"/>
      <c r="P208" s="315"/>
      <c r="Q208" s="315"/>
      <c r="R208" s="315"/>
      <c r="S208" s="55"/>
      <c r="T208" s="55"/>
      <c r="U208" s="55"/>
      <c r="V208" s="55"/>
      <c r="W208" s="55"/>
      <c r="X208" s="55"/>
      <c r="Y208" s="55"/>
      <c r="Z208" s="55"/>
      <c r="AA208" s="55"/>
      <c r="AB208" s="55"/>
      <c r="AC208" s="55"/>
      <c r="AD208" s="55"/>
      <c r="AE208" s="55"/>
      <c r="AF208" s="55"/>
      <c r="AG208" s="55"/>
      <c r="AH208" s="55"/>
      <c r="AI208" s="55"/>
      <c r="AJ208" s="55"/>
      <c r="AK208" s="55"/>
      <c r="AL208" s="55"/>
      <c r="AM208" s="55"/>
      <c r="AN208" s="55"/>
      <c r="AO208" s="55"/>
      <c r="AP208" s="55"/>
      <c r="AQ208" s="55"/>
      <c r="AR208" s="55"/>
      <c r="AS208" s="55"/>
      <c r="AT208" s="55"/>
      <c r="AU208" s="55"/>
      <c r="AV208" s="55"/>
      <c r="AW208" s="55"/>
      <c r="AX208" s="55"/>
      <c r="AY208" s="55"/>
      <c r="AZ208" s="55"/>
      <c r="BA208" s="55"/>
      <c r="BB208" s="55"/>
      <c r="BC208" s="55"/>
      <c r="BD208" s="55"/>
      <c r="BE208" s="55"/>
      <c r="BF208" s="55"/>
      <c r="BG208" s="55"/>
      <c r="BH208" s="55"/>
      <c r="BI208" s="55"/>
      <c r="BJ208" s="55"/>
      <c r="BK208" s="55"/>
      <c r="BL208" s="55"/>
      <c r="BM208" s="55"/>
      <c r="BN208" s="55"/>
      <c r="BO208" s="55"/>
      <c r="BP208" s="55"/>
      <c r="BQ208" s="55"/>
      <c r="BR208" s="55"/>
      <c r="BS208" s="55"/>
      <c r="BT208" s="55"/>
      <c r="BU208" s="55"/>
      <c r="BV208" s="55"/>
      <c r="BW208" s="55"/>
      <c r="BX208" s="55"/>
      <c r="BY208" s="55"/>
      <c r="BZ208" s="55"/>
      <c r="CA208" s="55"/>
      <c r="CB208" s="55"/>
      <c r="CC208" s="55"/>
      <c r="CD208" s="55"/>
      <c r="CE208" s="55"/>
      <c r="CF208" s="55"/>
      <c r="CG208" s="55"/>
      <c r="CH208" s="55"/>
      <c r="CI208" s="55"/>
      <c r="CJ208" s="55"/>
      <c r="CK208" s="55"/>
      <c r="CL208" s="55"/>
      <c r="CM208" s="55"/>
      <c r="CN208" s="55"/>
      <c r="CO208" s="55"/>
      <c r="CP208" s="55"/>
      <c r="CQ208" s="55"/>
      <c r="CR208" s="55"/>
      <c r="CS208" s="55"/>
      <c r="CT208" s="55"/>
      <c r="CU208" s="55"/>
      <c r="CV208" s="55"/>
      <c r="CW208" s="55"/>
      <c r="CX208" s="55"/>
      <c r="CY208" s="55"/>
      <c r="CZ208" s="55"/>
      <c r="DA208" s="55"/>
      <c r="DB208" s="55"/>
      <c r="DC208" s="55"/>
      <c r="DD208" s="55"/>
      <c r="DE208" s="55"/>
      <c r="DF208" s="55"/>
      <c r="DG208" s="55"/>
      <c r="DH208" s="55"/>
      <c r="DI208" s="55"/>
    </row>
    <row r="209" spans="1:113" x14ac:dyDescent="0.25">
      <c r="A209" s="152">
        <v>8</v>
      </c>
      <c r="B209" s="60" t="s">
        <v>573</v>
      </c>
      <c r="C209" s="43">
        <v>10000</v>
      </c>
      <c r="D209" s="176">
        <v>931.5</v>
      </c>
      <c r="E209" s="43">
        <v>0</v>
      </c>
      <c r="F209" s="60"/>
      <c r="G209" s="139">
        <f t="shared" si="110"/>
        <v>0</v>
      </c>
      <c r="H209" s="55">
        <f>4000-4000</f>
        <v>0</v>
      </c>
      <c r="I209" s="56">
        <f t="shared" si="111"/>
        <v>0</v>
      </c>
      <c r="J209" s="56">
        <f t="shared" si="112"/>
        <v>0</v>
      </c>
      <c r="K209" s="57">
        <f t="shared" si="113"/>
        <v>0</v>
      </c>
      <c r="L209"/>
      <c r="M209" s="314">
        <f t="shared" si="103"/>
        <v>0</v>
      </c>
      <c r="N209" s="310"/>
      <c r="O209" s="315"/>
      <c r="P209" s="315"/>
      <c r="Q209" s="315"/>
      <c r="R209" s="315"/>
      <c r="S209" s="55"/>
      <c r="T209" s="55"/>
      <c r="U209" s="55"/>
      <c r="V209" s="55"/>
      <c r="W209" s="55"/>
      <c r="X209" s="55"/>
      <c r="Y209" s="55"/>
      <c r="Z209" s="55"/>
      <c r="AA209" s="55"/>
      <c r="AB209" s="55"/>
      <c r="AC209" s="55"/>
      <c r="AD209" s="55"/>
      <c r="AE209" s="55"/>
      <c r="AF209" s="55"/>
      <c r="AG209" s="55"/>
      <c r="AH209" s="55"/>
      <c r="AI209" s="55"/>
      <c r="AJ209" s="55"/>
      <c r="AK209" s="55"/>
      <c r="AL209" s="55"/>
      <c r="AM209" s="55"/>
      <c r="AN209" s="55"/>
      <c r="AO209" s="55"/>
      <c r="AP209" s="55"/>
      <c r="AQ209" s="55"/>
      <c r="AR209" s="55"/>
      <c r="AS209" s="55"/>
      <c r="AT209" s="55"/>
      <c r="AU209" s="55"/>
      <c r="AV209" s="55"/>
      <c r="AW209" s="55"/>
      <c r="AX209" s="55"/>
      <c r="AY209" s="55"/>
      <c r="AZ209" s="55"/>
      <c r="BA209" s="55"/>
      <c r="BB209" s="55"/>
      <c r="BC209" s="55"/>
      <c r="BD209" s="55"/>
      <c r="BE209" s="55"/>
      <c r="BF209" s="55"/>
      <c r="BG209" s="55"/>
      <c r="BH209" s="55"/>
      <c r="BI209" s="55"/>
      <c r="BJ209" s="55"/>
      <c r="BK209" s="55"/>
      <c r="BL209" s="55"/>
      <c r="BM209" s="55"/>
      <c r="BN209" s="55"/>
      <c r="BO209" s="55"/>
      <c r="BP209" s="55"/>
      <c r="BQ209" s="55"/>
      <c r="BR209" s="55"/>
      <c r="BS209" s="55"/>
      <c r="BT209" s="55"/>
      <c r="BU209" s="55"/>
      <c r="BV209" s="55"/>
      <c r="BW209" s="55"/>
      <c r="BX209" s="55"/>
      <c r="BY209" s="55"/>
      <c r="BZ209" s="55"/>
      <c r="CA209" s="55"/>
      <c r="CB209" s="55"/>
      <c r="CC209" s="55"/>
      <c r="CD209" s="55"/>
      <c r="CE209" s="55"/>
      <c r="CF209" s="55"/>
      <c r="CG209" s="55"/>
      <c r="CH209" s="55"/>
      <c r="CI209" s="55"/>
      <c r="CJ209" s="55"/>
      <c r="CK209" s="55"/>
      <c r="CL209" s="55"/>
      <c r="CM209" s="55"/>
      <c r="CN209" s="55"/>
      <c r="CO209" s="55"/>
      <c r="CP209" s="55"/>
      <c r="CQ209" s="55"/>
      <c r="CR209" s="55"/>
      <c r="CS209" s="55"/>
      <c r="CT209" s="55"/>
      <c r="CU209" s="55"/>
      <c r="CV209" s="55"/>
      <c r="CW209" s="55"/>
      <c r="CX209" s="55"/>
      <c r="CY209" s="55"/>
      <c r="CZ209" s="55"/>
      <c r="DA209" s="55"/>
      <c r="DB209" s="55"/>
      <c r="DC209" s="55"/>
      <c r="DD209" s="55"/>
      <c r="DE209" s="55"/>
      <c r="DF209" s="55"/>
      <c r="DG209" s="55"/>
      <c r="DH209" s="55"/>
      <c r="DI209" s="55"/>
    </row>
    <row r="210" spans="1:113" ht="15.75" thickBot="1" x14ac:dyDescent="0.3">
      <c r="A210" s="153">
        <v>9</v>
      </c>
      <c r="B210" s="214" t="s">
        <v>777</v>
      </c>
      <c r="C210" s="154">
        <v>10000</v>
      </c>
      <c r="D210" s="154">
        <v>1871</v>
      </c>
      <c r="E210" s="154">
        <v>0</v>
      </c>
      <c r="F210" s="156"/>
      <c r="G210" s="147">
        <f t="shared" si="110"/>
        <v>0</v>
      </c>
      <c r="H210" s="291">
        <f>4000-4000</f>
        <v>0</v>
      </c>
      <c r="I210" s="64">
        <f t="shared" si="111"/>
        <v>0</v>
      </c>
      <c r="J210" s="64">
        <f t="shared" si="112"/>
        <v>0</v>
      </c>
      <c r="K210" s="65">
        <f t="shared" si="113"/>
        <v>0</v>
      </c>
      <c r="L210"/>
      <c r="M210" s="321">
        <f t="shared" si="103"/>
        <v>0</v>
      </c>
      <c r="N210" s="312"/>
      <c r="O210" s="318"/>
      <c r="P210" s="318"/>
      <c r="Q210" s="318"/>
      <c r="R210" s="318"/>
      <c r="S210" s="108"/>
      <c r="T210" s="108"/>
      <c r="U210" s="108"/>
      <c r="V210" s="108"/>
      <c r="W210" s="108"/>
      <c r="X210" s="108"/>
      <c r="Y210" s="108"/>
      <c r="Z210" s="108"/>
      <c r="AA210" s="108"/>
      <c r="AB210" s="108"/>
      <c r="AC210" s="108"/>
      <c r="AD210" s="108"/>
      <c r="AE210" s="108"/>
      <c r="AF210" s="108"/>
      <c r="AG210" s="108"/>
      <c r="AH210" s="108"/>
      <c r="AI210" s="108"/>
      <c r="AJ210" s="108"/>
      <c r="AK210" s="108"/>
      <c r="AL210" s="108"/>
      <c r="AM210" s="108"/>
      <c r="AN210" s="108"/>
      <c r="AO210" s="108"/>
      <c r="AP210" s="108"/>
      <c r="AQ210" s="108"/>
      <c r="AR210" s="108"/>
      <c r="AS210" s="108"/>
      <c r="AT210" s="108"/>
      <c r="AU210" s="108"/>
      <c r="AV210" s="108"/>
      <c r="AW210" s="108"/>
      <c r="AX210" s="108"/>
      <c r="AY210" s="108"/>
      <c r="AZ210" s="108"/>
      <c r="BA210" s="108"/>
      <c r="BB210" s="108"/>
      <c r="BC210" s="108"/>
      <c r="BD210" s="108"/>
      <c r="BE210" s="108"/>
      <c r="BF210" s="108"/>
      <c r="BG210" s="108"/>
      <c r="BH210" s="108"/>
      <c r="BI210" s="108"/>
      <c r="BJ210" s="108"/>
      <c r="BK210" s="108"/>
      <c r="BL210" s="108"/>
      <c r="BM210" s="108"/>
      <c r="BN210" s="108"/>
      <c r="BO210" s="108"/>
      <c r="BP210" s="108"/>
      <c r="BQ210" s="108"/>
      <c r="BR210" s="108"/>
      <c r="BS210" s="108"/>
      <c r="BT210" s="108"/>
      <c r="BU210" s="108"/>
      <c r="BV210" s="108"/>
      <c r="BW210" s="108"/>
      <c r="BX210" s="108"/>
      <c r="BY210" s="108"/>
      <c r="BZ210" s="108"/>
      <c r="CA210" s="108"/>
      <c r="CB210" s="108"/>
      <c r="CC210" s="108"/>
      <c r="CD210" s="108"/>
      <c r="CE210" s="108"/>
      <c r="CF210" s="108"/>
      <c r="CG210" s="108"/>
      <c r="CH210" s="108"/>
      <c r="CI210" s="108"/>
      <c r="CJ210" s="108"/>
      <c r="CK210" s="108"/>
      <c r="CL210" s="108"/>
      <c r="CM210" s="108"/>
      <c r="CN210" s="108"/>
      <c r="CO210" s="108"/>
      <c r="CP210" s="108"/>
      <c r="CQ210" s="108"/>
      <c r="CR210" s="108"/>
      <c r="CS210" s="108"/>
      <c r="CT210" s="108"/>
      <c r="CU210" s="108"/>
      <c r="CV210" s="108"/>
      <c r="CW210" s="108"/>
      <c r="CX210" s="108"/>
      <c r="CY210" s="108"/>
      <c r="CZ210" s="108"/>
      <c r="DA210" s="108"/>
      <c r="DB210" s="108"/>
      <c r="DC210" s="108"/>
      <c r="DD210" s="108"/>
      <c r="DE210" s="108"/>
      <c r="DF210" s="108"/>
      <c r="DG210" s="108"/>
      <c r="DH210" s="108"/>
      <c r="DI210" s="108"/>
    </row>
    <row r="211" spans="1:113" ht="15.75" thickBot="1" x14ac:dyDescent="0.3">
      <c r="A211" s="128"/>
      <c r="B211" s="119" t="s">
        <v>686</v>
      </c>
      <c r="C211" s="36"/>
      <c r="D211" s="36"/>
      <c r="E211" s="29">
        <f>SUM(E202:E210)</f>
        <v>8645</v>
      </c>
      <c r="F211" s="29">
        <f t="shared" ref="F211:K211" si="114">SUM(F202:F210)</f>
        <v>0</v>
      </c>
      <c r="G211" s="29">
        <f t="shared" si="114"/>
        <v>8645</v>
      </c>
      <c r="H211" s="29">
        <f t="shared" si="114"/>
        <v>0</v>
      </c>
      <c r="I211" s="29">
        <f t="shared" si="114"/>
        <v>8645</v>
      </c>
      <c r="J211" s="29">
        <f t="shared" si="114"/>
        <v>374450000</v>
      </c>
      <c r="K211" s="172">
        <f t="shared" si="114"/>
        <v>159540405.44999999</v>
      </c>
      <c r="L211"/>
      <c r="M211" s="322">
        <f t="shared" si="103"/>
        <v>0</v>
      </c>
      <c r="N211" s="325"/>
      <c r="O211" s="325"/>
      <c r="P211" s="325"/>
      <c r="Q211" s="325"/>
      <c r="R211" s="325"/>
      <c r="S211" s="324"/>
      <c r="T211" s="324"/>
      <c r="U211" s="324"/>
      <c r="V211" s="324"/>
      <c r="W211" s="324"/>
      <c r="X211" s="324"/>
      <c r="Y211" s="324"/>
      <c r="Z211" s="324"/>
      <c r="AA211" s="324"/>
      <c r="AB211" s="324"/>
      <c r="AC211" s="324"/>
      <c r="AD211" s="324"/>
      <c r="AE211" s="324"/>
      <c r="AF211" s="324"/>
      <c r="AG211" s="324"/>
      <c r="AH211" s="324"/>
      <c r="AI211" s="324"/>
      <c r="AJ211" s="324"/>
      <c r="AK211" s="324"/>
      <c r="AL211" s="324"/>
      <c r="AM211" s="324"/>
      <c r="AN211" s="324"/>
      <c r="AO211" s="324"/>
      <c r="AP211" s="324"/>
      <c r="AQ211" s="324"/>
      <c r="AR211" s="324"/>
      <c r="AS211" s="324"/>
      <c r="AT211" s="324"/>
      <c r="AU211" s="324"/>
      <c r="AV211" s="324"/>
      <c r="AW211" s="324"/>
      <c r="AX211" s="324"/>
      <c r="AY211" s="324"/>
      <c r="AZ211" s="324"/>
      <c r="BA211" s="324"/>
      <c r="BB211" s="324"/>
      <c r="BC211" s="324"/>
      <c r="BD211" s="324"/>
      <c r="BE211" s="324"/>
      <c r="BF211" s="324"/>
      <c r="BG211" s="324"/>
      <c r="BH211" s="324"/>
      <c r="BI211" s="324"/>
      <c r="BJ211" s="324"/>
      <c r="BK211" s="324"/>
      <c r="BL211" s="324"/>
      <c r="BM211" s="324"/>
      <c r="BN211" s="324"/>
      <c r="BO211" s="324"/>
      <c r="BP211" s="324"/>
      <c r="BQ211" s="324"/>
      <c r="BR211" s="324"/>
      <c r="BS211" s="324"/>
      <c r="BT211" s="324"/>
      <c r="BU211" s="324"/>
      <c r="BV211" s="324"/>
      <c r="BW211" s="324"/>
      <c r="BX211" s="324"/>
      <c r="BY211" s="324"/>
      <c r="BZ211" s="324"/>
      <c r="CA211" s="324"/>
      <c r="CB211" s="324"/>
      <c r="CC211" s="324"/>
      <c r="CD211" s="324"/>
      <c r="CE211" s="324"/>
      <c r="CF211" s="324"/>
      <c r="CG211" s="324"/>
      <c r="CH211" s="324"/>
      <c r="CI211" s="324"/>
      <c r="CJ211" s="324"/>
      <c r="CK211" s="324"/>
      <c r="CL211" s="324"/>
      <c r="CM211" s="324"/>
      <c r="CN211" s="324"/>
      <c r="CO211" s="324"/>
      <c r="CP211" s="324"/>
      <c r="CQ211" s="324"/>
      <c r="CR211" s="324"/>
      <c r="CS211" s="324"/>
      <c r="CT211" s="324"/>
      <c r="CU211" s="324"/>
      <c r="CV211" s="324"/>
      <c r="CW211" s="324"/>
      <c r="CX211" s="324"/>
      <c r="CY211" s="324"/>
      <c r="CZ211" s="324"/>
      <c r="DA211" s="324"/>
      <c r="DB211" s="324"/>
      <c r="DC211" s="324"/>
      <c r="DD211" s="324"/>
      <c r="DE211" s="324"/>
      <c r="DF211" s="324"/>
      <c r="DG211" s="324"/>
      <c r="DH211" s="324"/>
      <c r="DI211" s="324"/>
    </row>
    <row r="212" spans="1:113" customFormat="1" ht="15.75" thickBot="1" x14ac:dyDescent="0.3"/>
    <row r="213" spans="1:113" ht="15.75" thickBot="1" x14ac:dyDescent="0.3">
      <c r="A213" s="407" t="s">
        <v>657</v>
      </c>
      <c r="B213" s="414" t="s">
        <v>708</v>
      </c>
      <c r="C213" s="414" t="s">
        <v>1</v>
      </c>
      <c r="D213" s="415" t="s">
        <v>649</v>
      </c>
      <c r="E213" s="416" t="s">
        <v>19</v>
      </c>
      <c r="F213" s="416"/>
      <c r="G213" s="416"/>
      <c r="H213" s="416"/>
      <c r="I213" s="416"/>
      <c r="J213" s="410" t="s">
        <v>21</v>
      </c>
      <c r="K213" s="417" t="s">
        <v>602</v>
      </c>
      <c r="L213"/>
      <c r="M213" s="400" t="s">
        <v>601</v>
      </c>
      <c r="N213" s="404" t="s">
        <v>924</v>
      </c>
      <c r="O213" s="405"/>
      <c r="P213" s="405"/>
      <c r="Q213" s="405"/>
      <c r="R213" s="405"/>
      <c r="S213" s="405"/>
      <c r="T213" s="405"/>
      <c r="U213" s="405"/>
      <c r="V213" s="405"/>
      <c r="W213" s="405"/>
      <c r="X213" s="405"/>
      <c r="Y213" s="405"/>
      <c r="Z213" s="405"/>
      <c r="AA213" s="405"/>
      <c r="AB213" s="405"/>
      <c r="AC213" s="405"/>
      <c r="AD213" s="405"/>
      <c r="AE213" s="405"/>
      <c r="AF213" s="405"/>
      <c r="AG213" s="405"/>
      <c r="AH213" s="405"/>
      <c r="AI213" s="405"/>
      <c r="AJ213" s="405"/>
      <c r="AK213" s="405"/>
      <c r="AL213" s="405"/>
      <c r="AM213" s="405"/>
      <c r="AN213" s="405"/>
      <c r="AO213" s="405"/>
      <c r="AP213" s="405"/>
      <c r="AQ213" s="405"/>
      <c r="AR213" s="405"/>
      <c r="AS213" s="405"/>
      <c r="AT213" s="405"/>
      <c r="AU213" s="405"/>
      <c r="AV213" s="405"/>
      <c r="AW213" s="405"/>
      <c r="AX213" s="405"/>
      <c r="AY213" s="405"/>
      <c r="AZ213" s="405"/>
      <c r="BA213" s="405"/>
      <c r="BB213" s="405"/>
      <c r="BC213" s="405"/>
      <c r="BD213" s="405"/>
      <c r="BE213" s="405"/>
      <c r="BF213" s="405"/>
      <c r="BG213" s="405"/>
      <c r="BH213" s="405"/>
      <c r="BI213" s="405"/>
      <c r="BJ213" s="405"/>
      <c r="BK213" s="405"/>
      <c r="BL213" s="405"/>
      <c r="BM213" s="405"/>
      <c r="BN213" s="405"/>
      <c r="BO213" s="405"/>
      <c r="BP213" s="405"/>
      <c r="BQ213" s="405"/>
      <c r="BR213" s="405"/>
      <c r="BS213" s="405"/>
      <c r="BT213" s="405"/>
      <c r="BU213" s="405"/>
      <c r="BV213" s="405"/>
      <c r="BW213" s="405"/>
      <c r="BX213" s="405"/>
      <c r="BY213" s="405"/>
      <c r="BZ213" s="405"/>
      <c r="CA213" s="405"/>
      <c r="CB213" s="405"/>
      <c r="CC213" s="405"/>
      <c r="CD213" s="405"/>
      <c r="CE213" s="405"/>
      <c r="CF213" s="405"/>
      <c r="CG213" s="405"/>
      <c r="CH213" s="405"/>
      <c r="CI213" s="405"/>
      <c r="CJ213" s="405"/>
      <c r="CK213" s="405"/>
      <c r="CL213" s="405"/>
      <c r="CM213" s="405"/>
      <c r="CN213" s="405"/>
      <c r="CO213" s="405"/>
      <c r="CP213" s="405"/>
      <c r="CQ213" s="405"/>
      <c r="CR213" s="405"/>
      <c r="CS213" s="405"/>
      <c r="CT213" s="405"/>
      <c r="CU213" s="405"/>
      <c r="CV213" s="405"/>
      <c r="CW213" s="405"/>
      <c r="CX213" s="405"/>
      <c r="CY213" s="405"/>
      <c r="CZ213" s="405"/>
      <c r="DA213" s="405"/>
      <c r="DB213" s="405"/>
      <c r="DC213" s="405"/>
      <c r="DD213" s="405"/>
      <c r="DE213" s="405"/>
      <c r="DF213" s="405"/>
      <c r="DG213" s="405"/>
      <c r="DH213" s="405"/>
      <c r="DI213" s="406"/>
    </row>
    <row r="214" spans="1:113" ht="15.75" thickBot="1" x14ac:dyDescent="0.3">
      <c r="A214" s="408"/>
      <c r="B214" s="414"/>
      <c r="C214" s="414"/>
      <c r="D214" s="415"/>
      <c r="E214" s="68" t="s">
        <v>22</v>
      </c>
      <c r="F214" s="68" t="s">
        <v>600</v>
      </c>
      <c r="G214" s="68" t="s">
        <v>601</v>
      </c>
      <c r="H214" s="68" t="s">
        <v>589</v>
      </c>
      <c r="I214" s="68" t="s">
        <v>601</v>
      </c>
      <c r="J214" s="411"/>
      <c r="K214" s="418"/>
      <c r="L214"/>
      <c r="M214" s="401"/>
      <c r="N214" s="400" t="s">
        <v>925</v>
      </c>
      <c r="O214" s="400" t="s">
        <v>926</v>
      </c>
      <c r="P214" s="400"/>
      <c r="Q214" s="400"/>
      <c r="R214" s="400"/>
      <c r="S214" s="398"/>
      <c r="T214" s="398"/>
      <c r="U214" s="398"/>
      <c r="V214" s="398"/>
      <c r="W214" s="398"/>
      <c r="X214" s="398"/>
      <c r="Y214" s="398"/>
      <c r="Z214" s="398"/>
      <c r="AA214" s="398"/>
      <c r="AB214" s="398"/>
      <c r="AC214" s="398"/>
      <c r="AD214" s="398"/>
      <c r="AE214" s="398"/>
      <c r="AF214" s="398"/>
      <c r="AG214" s="398"/>
      <c r="AH214" s="398"/>
      <c r="AI214" s="398"/>
      <c r="AJ214" s="398"/>
      <c r="AK214" s="398"/>
      <c r="AL214" s="398"/>
      <c r="AM214" s="398"/>
      <c r="AN214" s="398"/>
      <c r="AO214" s="398"/>
      <c r="AP214" s="398"/>
      <c r="AQ214" s="398"/>
      <c r="AR214" s="398"/>
      <c r="AS214" s="398"/>
      <c r="AT214" s="398"/>
      <c r="AU214" s="398"/>
      <c r="AV214" s="398"/>
      <c r="AW214" s="398"/>
      <c r="AX214" s="398"/>
      <c r="AY214" s="398"/>
      <c r="AZ214" s="398"/>
      <c r="BA214" s="398"/>
      <c r="BB214" s="398"/>
      <c r="BC214" s="398"/>
      <c r="BD214" s="398"/>
      <c r="BE214" s="398"/>
      <c r="BF214" s="398"/>
      <c r="BG214" s="398"/>
      <c r="BH214" s="398"/>
      <c r="BI214" s="398"/>
      <c r="BJ214" s="398"/>
      <c r="BK214" s="398"/>
      <c r="BL214" s="398"/>
      <c r="BM214" s="398"/>
      <c r="BN214" s="398"/>
      <c r="BO214" s="398"/>
      <c r="BP214" s="398"/>
      <c r="BQ214" s="398"/>
      <c r="BR214" s="398"/>
      <c r="BS214" s="398"/>
      <c r="BT214" s="398"/>
      <c r="BU214" s="398"/>
      <c r="BV214" s="398"/>
      <c r="BW214" s="398"/>
      <c r="BX214" s="398"/>
      <c r="BY214" s="398"/>
      <c r="BZ214" s="398"/>
      <c r="CA214" s="398"/>
      <c r="CB214" s="398"/>
      <c r="CC214" s="398"/>
      <c r="CD214" s="398"/>
      <c r="CE214" s="398"/>
      <c r="CF214" s="398"/>
      <c r="CG214" s="398"/>
      <c r="CH214" s="398"/>
      <c r="CI214" s="398"/>
      <c r="CJ214" s="398"/>
      <c r="CK214" s="398"/>
      <c r="CL214" s="398"/>
      <c r="CM214" s="398"/>
      <c r="CN214" s="398"/>
      <c r="CO214" s="398"/>
      <c r="CP214" s="398"/>
      <c r="CQ214" s="398"/>
      <c r="CR214" s="398"/>
      <c r="CS214" s="398"/>
      <c r="CT214" s="398"/>
      <c r="CU214" s="398"/>
      <c r="CV214" s="398"/>
      <c r="CW214" s="398"/>
      <c r="CX214" s="398"/>
      <c r="CY214" s="398"/>
      <c r="CZ214" s="398"/>
      <c r="DA214" s="398"/>
      <c r="DB214" s="398"/>
      <c r="DC214" s="398"/>
      <c r="DD214" s="398"/>
      <c r="DE214" s="398"/>
      <c r="DF214" s="398"/>
      <c r="DG214" s="398"/>
      <c r="DH214" s="398"/>
      <c r="DI214" s="398"/>
    </row>
    <row r="215" spans="1:113" ht="15.75" thickBot="1" x14ac:dyDescent="0.3">
      <c r="A215" s="409"/>
      <c r="B215" s="168">
        <v>1</v>
      </c>
      <c r="C215" s="168">
        <v>2</v>
      </c>
      <c r="D215" s="168">
        <v>3</v>
      </c>
      <c r="E215" s="70">
        <v>4</v>
      </c>
      <c r="F215" s="70">
        <f>+E215+1</f>
        <v>5</v>
      </c>
      <c r="G215" s="70" t="s">
        <v>652</v>
      </c>
      <c r="H215" s="70">
        <v>7</v>
      </c>
      <c r="I215" s="71" t="s">
        <v>651</v>
      </c>
      <c r="J215" s="42" t="s">
        <v>650</v>
      </c>
      <c r="K215" s="42" t="s">
        <v>653</v>
      </c>
      <c r="L215"/>
      <c r="M215" s="402"/>
      <c r="N215" s="402"/>
      <c r="O215" s="402"/>
      <c r="P215" s="402"/>
      <c r="Q215" s="402"/>
      <c r="R215" s="402"/>
      <c r="S215" s="399"/>
      <c r="T215" s="399"/>
      <c r="U215" s="399"/>
      <c r="V215" s="399"/>
      <c r="W215" s="399"/>
      <c r="X215" s="399"/>
      <c r="Y215" s="399"/>
      <c r="Z215" s="399"/>
      <c r="AA215" s="399"/>
      <c r="AB215" s="399"/>
      <c r="AC215" s="399"/>
      <c r="AD215" s="399"/>
      <c r="AE215" s="399"/>
      <c r="AF215" s="399"/>
      <c r="AG215" s="399"/>
      <c r="AH215" s="399"/>
      <c r="AI215" s="399"/>
      <c r="AJ215" s="399"/>
      <c r="AK215" s="399"/>
      <c r="AL215" s="399"/>
      <c r="AM215" s="399"/>
      <c r="AN215" s="399"/>
      <c r="AO215" s="399"/>
      <c r="AP215" s="399"/>
      <c r="AQ215" s="399"/>
      <c r="AR215" s="399"/>
      <c r="AS215" s="399"/>
      <c r="AT215" s="399"/>
      <c r="AU215" s="399"/>
      <c r="AV215" s="399"/>
      <c r="AW215" s="399"/>
      <c r="AX215" s="399"/>
      <c r="AY215" s="399"/>
      <c r="AZ215" s="399"/>
      <c r="BA215" s="399"/>
      <c r="BB215" s="399"/>
      <c r="BC215" s="399"/>
      <c r="BD215" s="399"/>
      <c r="BE215" s="399"/>
      <c r="BF215" s="399"/>
      <c r="BG215" s="399"/>
      <c r="BH215" s="399"/>
      <c r="BI215" s="399"/>
      <c r="BJ215" s="399"/>
      <c r="BK215" s="399"/>
      <c r="BL215" s="399"/>
      <c r="BM215" s="399"/>
      <c r="BN215" s="399"/>
      <c r="BO215" s="399"/>
      <c r="BP215" s="399"/>
      <c r="BQ215" s="399"/>
      <c r="BR215" s="399"/>
      <c r="BS215" s="399"/>
      <c r="BT215" s="399"/>
      <c r="BU215" s="399"/>
      <c r="BV215" s="399"/>
      <c r="BW215" s="399"/>
      <c r="BX215" s="399"/>
      <c r="BY215" s="399"/>
      <c r="BZ215" s="399"/>
      <c r="CA215" s="399"/>
      <c r="CB215" s="399"/>
      <c r="CC215" s="399"/>
      <c r="CD215" s="399"/>
      <c r="CE215" s="399"/>
      <c r="CF215" s="399"/>
      <c r="CG215" s="399"/>
      <c r="CH215" s="399"/>
      <c r="CI215" s="399"/>
      <c r="CJ215" s="399"/>
      <c r="CK215" s="399"/>
      <c r="CL215" s="399"/>
      <c r="CM215" s="399"/>
      <c r="CN215" s="399"/>
      <c r="CO215" s="399"/>
      <c r="CP215" s="399"/>
      <c r="CQ215" s="399"/>
      <c r="CR215" s="399"/>
      <c r="CS215" s="399"/>
      <c r="CT215" s="399"/>
      <c r="CU215" s="399"/>
      <c r="CV215" s="399"/>
      <c r="CW215" s="399"/>
      <c r="CX215" s="399"/>
      <c r="CY215" s="399"/>
      <c r="CZ215" s="399"/>
      <c r="DA215" s="399"/>
      <c r="DB215" s="399"/>
      <c r="DC215" s="399"/>
      <c r="DD215" s="399"/>
      <c r="DE215" s="399"/>
      <c r="DF215" s="399"/>
      <c r="DG215" s="399"/>
      <c r="DH215" s="399"/>
      <c r="DI215" s="399"/>
    </row>
    <row r="216" spans="1:113" x14ac:dyDescent="0.25">
      <c r="A216" s="160"/>
      <c r="B216" s="177" t="s">
        <v>713</v>
      </c>
      <c r="C216" s="54"/>
      <c r="D216" s="54"/>
      <c r="E216" s="54"/>
      <c r="F216" s="54"/>
      <c r="G216" s="178">
        <f t="shared" ref="G216" si="115">+E216+F216</f>
        <v>0</v>
      </c>
      <c r="H216" s="160"/>
      <c r="I216" s="179">
        <f t="shared" ref="I216" si="116">+G216-H216</f>
        <v>0</v>
      </c>
      <c r="J216" s="179">
        <f t="shared" ref="J216" si="117">I216*C216</f>
        <v>0</v>
      </c>
      <c r="K216" s="180">
        <f t="shared" ref="K216" si="118">+D216*I216</f>
        <v>0</v>
      </c>
      <c r="L216"/>
      <c r="M216" s="314">
        <f t="shared" ref="M216:M234" si="119">SUM(N216:DJ216)</f>
        <v>0</v>
      </c>
      <c r="N216" s="310"/>
      <c r="O216" s="315"/>
      <c r="P216" s="315"/>
      <c r="Q216" s="315"/>
      <c r="R216" s="315"/>
      <c r="S216" s="55"/>
      <c r="T216" s="55"/>
      <c r="U216" s="55"/>
      <c r="V216" s="55"/>
      <c r="W216" s="55"/>
      <c r="X216" s="55"/>
      <c r="Y216" s="55"/>
      <c r="Z216" s="55"/>
      <c r="AA216" s="55"/>
      <c r="AB216" s="55"/>
      <c r="AC216" s="55"/>
      <c r="AD216" s="55"/>
      <c r="AE216" s="55"/>
      <c r="AF216" s="55"/>
      <c r="AG216" s="55"/>
      <c r="AH216" s="55"/>
      <c r="AI216" s="55"/>
      <c r="AJ216" s="55"/>
      <c r="AK216" s="55"/>
      <c r="AL216" s="55"/>
      <c r="AM216" s="55"/>
      <c r="AN216" s="55"/>
      <c r="AO216" s="55"/>
      <c r="AP216" s="55"/>
      <c r="AQ216" s="55"/>
      <c r="AR216" s="55"/>
      <c r="AS216" s="55"/>
      <c r="AT216" s="55"/>
      <c r="AU216" s="55"/>
      <c r="AV216" s="55"/>
      <c r="AW216" s="55"/>
      <c r="AX216" s="55"/>
      <c r="AY216" s="55"/>
      <c r="AZ216" s="55"/>
      <c r="BA216" s="55"/>
      <c r="BB216" s="55"/>
      <c r="BC216" s="55"/>
      <c r="BD216" s="55"/>
      <c r="BE216" s="55"/>
      <c r="BF216" s="55"/>
      <c r="BG216" s="55"/>
      <c r="BH216" s="55"/>
      <c r="BI216" s="55"/>
      <c r="BJ216" s="55"/>
      <c r="BK216" s="55"/>
      <c r="BL216" s="55"/>
      <c r="BM216" s="55"/>
      <c r="BN216" s="55"/>
      <c r="BO216" s="55"/>
      <c r="BP216" s="55"/>
      <c r="BQ216" s="55"/>
      <c r="BR216" s="55"/>
      <c r="BS216" s="55"/>
      <c r="BT216" s="55"/>
      <c r="BU216" s="55"/>
      <c r="BV216" s="55"/>
      <c r="BW216" s="55"/>
      <c r="BX216" s="55"/>
      <c r="BY216" s="55"/>
      <c r="BZ216" s="55"/>
      <c r="CA216" s="55"/>
      <c r="CB216" s="55"/>
      <c r="CC216" s="55"/>
      <c r="CD216" s="55"/>
      <c r="CE216" s="55"/>
      <c r="CF216" s="55"/>
      <c r="CG216" s="55"/>
      <c r="CH216" s="55"/>
      <c r="CI216" s="55"/>
      <c r="CJ216" s="55"/>
      <c r="CK216" s="55"/>
      <c r="CL216" s="55"/>
      <c r="CM216" s="55"/>
      <c r="CN216" s="55"/>
      <c r="CO216" s="55"/>
      <c r="CP216" s="55"/>
      <c r="CQ216" s="55"/>
      <c r="CR216" s="55"/>
      <c r="CS216" s="55"/>
      <c r="CT216" s="55"/>
      <c r="CU216" s="55"/>
      <c r="CV216" s="55"/>
      <c r="CW216" s="55"/>
      <c r="CX216" s="55"/>
      <c r="CY216" s="55"/>
      <c r="CZ216" s="55"/>
      <c r="DA216" s="55"/>
      <c r="DB216" s="55"/>
      <c r="DC216" s="55"/>
      <c r="DD216" s="55"/>
      <c r="DE216" s="55"/>
      <c r="DF216" s="55"/>
      <c r="DG216" s="55"/>
      <c r="DH216" s="55"/>
      <c r="DI216" s="55"/>
    </row>
    <row r="217" spans="1:113" x14ac:dyDescent="0.25">
      <c r="A217" s="152">
        <v>1</v>
      </c>
      <c r="B217" s="79" t="s">
        <v>172</v>
      </c>
      <c r="C217" s="43">
        <v>5000</v>
      </c>
      <c r="D217" s="175">
        <v>1064.25</v>
      </c>
      <c r="E217" s="43">
        <v>0</v>
      </c>
      <c r="F217" s="60"/>
      <c r="G217" s="139">
        <f t="shared" ref="G217:G225" si="120">+E217+F217</f>
        <v>0</v>
      </c>
      <c r="H217" s="55">
        <f>2000-2000</f>
        <v>0</v>
      </c>
      <c r="I217" s="56">
        <f t="shared" ref="I217:I225" si="121">+G217-H217</f>
        <v>0</v>
      </c>
      <c r="J217" s="56">
        <f t="shared" ref="J217:J225" si="122">I217*C217</f>
        <v>0</v>
      </c>
      <c r="K217" s="57">
        <f t="shared" ref="K217:K225" si="123">+D217*I217</f>
        <v>0</v>
      </c>
      <c r="L217"/>
      <c r="M217" s="314">
        <f t="shared" si="119"/>
        <v>0</v>
      </c>
      <c r="N217" s="310"/>
      <c r="O217" s="315"/>
      <c r="P217" s="315"/>
      <c r="Q217" s="315"/>
      <c r="R217" s="315"/>
      <c r="S217" s="55"/>
      <c r="T217" s="55"/>
      <c r="U217" s="55"/>
      <c r="V217" s="55"/>
      <c r="W217" s="55"/>
      <c r="X217" s="55"/>
      <c r="Y217" s="55"/>
      <c r="Z217" s="55"/>
      <c r="AA217" s="55"/>
      <c r="AB217" s="55"/>
      <c r="AC217" s="55"/>
      <c r="AD217" s="55"/>
      <c r="AE217" s="55"/>
      <c r="AF217" s="55"/>
      <c r="AG217" s="55"/>
      <c r="AH217" s="55"/>
      <c r="AI217" s="55"/>
      <c r="AJ217" s="55"/>
      <c r="AK217" s="55"/>
      <c r="AL217" s="55"/>
      <c r="AM217" s="55"/>
      <c r="AN217" s="55"/>
      <c r="AO217" s="55"/>
      <c r="AP217" s="55"/>
      <c r="AQ217" s="55"/>
      <c r="AR217" s="55"/>
      <c r="AS217" s="55"/>
      <c r="AT217" s="55"/>
      <c r="AU217" s="55"/>
      <c r="AV217" s="55"/>
      <c r="AW217" s="55"/>
      <c r="AX217" s="55"/>
      <c r="AY217" s="55"/>
      <c r="AZ217" s="55"/>
      <c r="BA217" s="55"/>
      <c r="BB217" s="55"/>
      <c r="BC217" s="55"/>
      <c r="BD217" s="55"/>
      <c r="BE217" s="55"/>
      <c r="BF217" s="55"/>
      <c r="BG217" s="55"/>
      <c r="BH217" s="55"/>
      <c r="BI217" s="55"/>
      <c r="BJ217" s="55"/>
      <c r="BK217" s="55"/>
      <c r="BL217" s="55"/>
      <c r="BM217" s="55"/>
      <c r="BN217" s="55"/>
      <c r="BO217" s="55"/>
      <c r="BP217" s="55"/>
      <c r="BQ217" s="55"/>
      <c r="BR217" s="55"/>
      <c r="BS217" s="55"/>
      <c r="BT217" s="55"/>
      <c r="BU217" s="55"/>
      <c r="BV217" s="55"/>
      <c r="BW217" s="55"/>
      <c r="BX217" s="55"/>
      <c r="BY217" s="55"/>
      <c r="BZ217" s="55"/>
      <c r="CA217" s="55"/>
      <c r="CB217" s="55"/>
      <c r="CC217" s="55"/>
      <c r="CD217" s="55"/>
      <c r="CE217" s="55"/>
      <c r="CF217" s="55"/>
      <c r="CG217" s="55"/>
      <c r="CH217" s="55"/>
      <c r="CI217" s="55"/>
      <c r="CJ217" s="55"/>
      <c r="CK217" s="55"/>
      <c r="CL217" s="55"/>
      <c r="CM217" s="55"/>
      <c r="CN217" s="55"/>
      <c r="CO217" s="55"/>
      <c r="CP217" s="55"/>
      <c r="CQ217" s="55"/>
      <c r="CR217" s="55"/>
      <c r="CS217" s="55"/>
      <c r="CT217" s="55"/>
      <c r="CU217" s="55"/>
      <c r="CV217" s="55"/>
      <c r="CW217" s="55"/>
      <c r="CX217" s="55"/>
      <c r="CY217" s="55"/>
      <c r="CZ217" s="55"/>
      <c r="DA217" s="55"/>
      <c r="DB217" s="55"/>
      <c r="DC217" s="55"/>
      <c r="DD217" s="55"/>
      <c r="DE217" s="55"/>
      <c r="DF217" s="55"/>
      <c r="DG217" s="55"/>
      <c r="DH217" s="55"/>
      <c r="DI217" s="55"/>
    </row>
    <row r="218" spans="1:113" x14ac:dyDescent="0.25">
      <c r="A218" s="152">
        <v>2</v>
      </c>
      <c r="B218" s="213" t="s">
        <v>735</v>
      </c>
      <c r="C218" s="43">
        <v>22000</v>
      </c>
      <c r="D218" s="43">
        <v>1620</v>
      </c>
      <c r="E218" s="102">
        <v>5000</v>
      </c>
      <c r="F218" s="60"/>
      <c r="G218" s="139">
        <f t="shared" si="120"/>
        <v>5000</v>
      </c>
      <c r="H218" s="55">
        <v>5000</v>
      </c>
      <c r="I218" s="56">
        <f t="shared" si="121"/>
        <v>0</v>
      </c>
      <c r="J218" s="56">
        <f t="shared" si="122"/>
        <v>0</v>
      </c>
      <c r="K218" s="57">
        <f t="shared" si="123"/>
        <v>0</v>
      </c>
      <c r="L218"/>
      <c r="M218" s="314">
        <f t="shared" si="119"/>
        <v>0</v>
      </c>
      <c r="N218" s="310"/>
      <c r="O218" s="315"/>
      <c r="P218" s="315"/>
      <c r="Q218" s="315"/>
      <c r="R218" s="315"/>
      <c r="S218" s="55"/>
      <c r="T218" s="55"/>
      <c r="U218" s="55"/>
      <c r="V218" s="55"/>
      <c r="W218" s="55"/>
      <c r="X218" s="55"/>
      <c r="Y218" s="55"/>
      <c r="Z218" s="55"/>
      <c r="AA218" s="55"/>
      <c r="AB218" s="55"/>
      <c r="AC218" s="55"/>
      <c r="AD218" s="55"/>
      <c r="AE218" s="55"/>
      <c r="AF218" s="55"/>
      <c r="AG218" s="55"/>
      <c r="AH218" s="55"/>
      <c r="AI218" s="55"/>
      <c r="AJ218" s="55"/>
      <c r="AK218" s="55"/>
      <c r="AL218" s="55"/>
      <c r="AM218" s="55"/>
      <c r="AN218" s="55"/>
      <c r="AO218" s="55"/>
      <c r="AP218" s="55"/>
      <c r="AQ218" s="55"/>
      <c r="AR218" s="55"/>
      <c r="AS218" s="55"/>
      <c r="AT218" s="55"/>
      <c r="AU218" s="55"/>
      <c r="AV218" s="55"/>
      <c r="AW218" s="55"/>
      <c r="AX218" s="55"/>
      <c r="AY218" s="55"/>
      <c r="AZ218" s="55"/>
      <c r="BA218" s="55"/>
      <c r="BB218" s="55"/>
      <c r="BC218" s="55"/>
      <c r="BD218" s="55"/>
      <c r="BE218" s="55"/>
      <c r="BF218" s="55"/>
      <c r="BG218" s="55"/>
      <c r="BH218" s="55"/>
      <c r="BI218" s="55"/>
      <c r="BJ218" s="55"/>
      <c r="BK218" s="55"/>
      <c r="BL218" s="55"/>
      <c r="BM218" s="55"/>
      <c r="BN218" s="55"/>
      <c r="BO218" s="55"/>
      <c r="BP218" s="55"/>
      <c r="BQ218" s="55"/>
      <c r="BR218" s="55"/>
      <c r="BS218" s="55"/>
      <c r="BT218" s="55"/>
      <c r="BU218" s="55"/>
      <c r="BV218" s="55"/>
      <c r="BW218" s="55"/>
      <c r="BX218" s="55"/>
      <c r="BY218" s="55"/>
      <c r="BZ218" s="55"/>
      <c r="CA218" s="55"/>
      <c r="CB218" s="55"/>
      <c r="CC218" s="55"/>
      <c r="CD218" s="55"/>
      <c r="CE218" s="55"/>
      <c r="CF218" s="55"/>
      <c r="CG218" s="55"/>
      <c r="CH218" s="55"/>
      <c r="CI218" s="55"/>
      <c r="CJ218" s="55"/>
      <c r="CK218" s="55"/>
      <c r="CL218" s="55"/>
      <c r="CM218" s="55"/>
      <c r="CN218" s="55"/>
      <c r="CO218" s="55"/>
      <c r="CP218" s="55"/>
      <c r="CQ218" s="55"/>
      <c r="CR218" s="55"/>
      <c r="CS218" s="55"/>
      <c r="CT218" s="55"/>
      <c r="CU218" s="55"/>
      <c r="CV218" s="55"/>
      <c r="CW218" s="55"/>
      <c r="CX218" s="55"/>
      <c r="CY218" s="55"/>
      <c r="CZ218" s="55"/>
      <c r="DA218" s="55"/>
      <c r="DB218" s="55"/>
      <c r="DC218" s="55"/>
      <c r="DD218" s="55"/>
      <c r="DE218" s="55"/>
      <c r="DF218" s="55"/>
      <c r="DG218" s="55"/>
      <c r="DH218" s="55"/>
      <c r="DI218" s="55"/>
    </row>
    <row r="219" spans="1:113" x14ac:dyDescent="0.25">
      <c r="A219" s="152">
        <v>3</v>
      </c>
      <c r="B219" s="60" t="s">
        <v>594</v>
      </c>
      <c r="C219" s="43">
        <v>18000</v>
      </c>
      <c r="D219" s="43">
        <v>1620</v>
      </c>
      <c r="E219" s="43">
        <v>1000</v>
      </c>
      <c r="F219" s="60"/>
      <c r="G219" s="139">
        <f t="shared" si="120"/>
        <v>1000</v>
      </c>
      <c r="H219" s="55">
        <f>5000-5000</f>
        <v>0</v>
      </c>
      <c r="I219" s="56">
        <f t="shared" si="121"/>
        <v>1000</v>
      </c>
      <c r="J219" s="56">
        <f t="shared" si="122"/>
        <v>18000000</v>
      </c>
      <c r="K219" s="57">
        <f t="shared" si="123"/>
        <v>1620000</v>
      </c>
      <c r="L219"/>
      <c r="M219" s="314">
        <f t="shared" si="119"/>
        <v>0</v>
      </c>
      <c r="N219" s="310"/>
      <c r="O219" s="315"/>
      <c r="P219" s="315"/>
      <c r="Q219" s="315"/>
      <c r="R219" s="315"/>
      <c r="S219" s="55"/>
      <c r="T219" s="55"/>
      <c r="U219" s="55"/>
      <c r="V219" s="55"/>
      <c r="W219" s="55"/>
      <c r="X219" s="55"/>
      <c r="Y219" s="55"/>
      <c r="Z219" s="55"/>
      <c r="AA219" s="55"/>
      <c r="AB219" s="55"/>
      <c r="AC219" s="55"/>
      <c r="AD219" s="55"/>
      <c r="AE219" s="55"/>
      <c r="AF219" s="55"/>
      <c r="AG219" s="55"/>
      <c r="AH219" s="55"/>
      <c r="AI219" s="55"/>
      <c r="AJ219" s="55"/>
      <c r="AK219" s="55"/>
      <c r="AL219" s="55"/>
      <c r="AM219" s="55"/>
      <c r="AN219" s="55"/>
      <c r="AO219" s="55"/>
      <c r="AP219" s="55"/>
      <c r="AQ219" s="55"/>
      <c r="AR219" s="55"/>
      <c r="AS219" s="55"/>
      <c r="AT219" s="55"/>
      <c r="AU219" s="55"/>
      <c r="AV219" s="55"/>
      <c r="AW219" s="55"/>
      <c r="AX219" s="55"/>
      <c r="AY219" s="55"/>
      <c r="AZ219" s="55"/>
      <c r="BA219" s="55"/>
      <c r="BB219" s="55"/>
      <c r="BC219" s="55"/>
      <c r="BD219" s="55"/>
      <c r="BE219" s="55"/>
      <c r="BF219" s="55"/>
      <c r="BG219" s="55"/>
      <c r="BH219" s="55"/>
      <c r="BI219" s="55"/>
      <c r="BJ219" s="55"/>
      <c r="BK219" s="55"/>
      <c r="BL219" s="55"/>
      <c r="BM219" s="55"/>
      <c r="BN219" s="55"/>
      <c r="BO219" s="55"/>
      <c r="BP219" s="55"/>
      <c r="BQ219" s="55"/>
      <c r="BR219" s="55"/>
      <c r="BS219" s="55"/>
      <c r="BT219" s="55"/>
      <c r="BU219" s="55"/>
      <c r="BV219" s="55"/>
      <c r="BW219" s="55"/>
      <c r="BX219" s="55"/>
      <c r="BY219" s="55"/>
      <c r="BZ219" s="55"/>
      <c r="CA219" s="55"/>
      <c r="CB219" s="55"/>
      <c r="CC219" s="55"/>
      <c r="CD219" s="55"/>
      <c r="CE219" s="55"/>
      <c r="CF219" s="55"/>
      <c r="CG219" s="55"/>
      <c r="CH219" s="55"/>
      <c r="CI219" s="55"/>
      <c r="CJ219" s="55"/>
      <c r="CK219" s="55"/>
      <c r="CL219" s="55"/>
      <c r="CM219" s="55"/>
      <c r="CN219" s="55"/>
      <c r="CO219" s="55"/>
      <c r="CP219" s="55"/>
      <c r="CQ219" s="55"/>
      <c r="CR219" s="55"/>
      <c r="CS219" s="55"/>
      <c r="CT219" s="55"/>
      <c r="CU219" s="55"/>
      <c r="CV219" s="55"/>
      <c r="CW219" s="55"/>
      <c r="CX219" s="55"/>
      <c r="CY219" s="55"/>
      <c r="CZ219" s="55"/>
      <c r="DA219" s="55"/>
      <c r="DB219" s="55"/>
      <c r="DC219" s="55"/>
      <c r="DD219" s="55"/>
      <c r="DE219" s="55"/>
      <c r="DF219" s="55"/>
      <c r="DG219" s="55"/>
      <c r="DH219" s="55"/>
      <c r="DI219" s="55"/>
    </row>
    <row r="220" spans="1:113" x14ac:dyDescent="0.25">
      <c r="A220" s="152">
        <v>4</v>
      </c>
      <c r="B220" s="60" t="s">
        <v>595</v>
      </c>
      <c r="C220" s="43">
        <v>10000</v>
      </c>
      <c r="D220" s="43">
        <v>1410</v>
      </c>
      <c r="E220" s="102">
        <v>0</v>
      </c>
      <c r="F220" s="60"/>
      <c r="G220" s="139">
        <f t="shared" si="120"/>
        <v>0</v>
      </c>
      <c r="H220" s="55">
        <f>2000-2000</f>
        <v>0</v>
      </c>
      <c r="I220" s="56">
        <f t="shared" si="121"/>
        <v>0</v>
      </c>
      <c r="J220" s="56">
        <f t="shared" si="122"/>
        <v>0</v>
      </c>
      <c r="K220" s="57">
        <f t="shared" si="123"/>
        <v>0</v>
      </c>
      <c r="L220"/>
      <c r="M220" s="314">
        <f t="shared" si="119"/>
        <v>0</v>
      </c>
      <c r="N220" s="310"/>
      <c r="O220" s="315"/>
      <c r="P220" s="315"/>
      <c r="Q220" s="315"/>
      <c r="R220" s="315"/>
      <c r="S220" s="55"/>
      <c r="T220" s="55"/>
      <c r="U220" s="55"/>
      <c r="V220" s="55"/>
      <c r="W220" s="55"/>
      <c r="X220" s="55"/>
      <c r="Y220" s="55"/>
      <c r="Z220" s="55"/>
      <c r="AA220" s="55"/>
      <c r="AB220" s="55"/>
      <c r="AC220" s="55"/>
      <c r="AD220" s="55"/>
      <c r="AE220" s="55"/>
      <c r="AF220" s="55"/>
      <c r="AG220" s="55"/>
      <c r="AH220" s="55"/>
      <c r="AI220" s="55"/>
      <c r="AJ220" s="55"/>
      <c r="AK220" s="55"/>
      <c r="AL220" s="55"/>
      <c r="AM220" s="55"/>
      <c r="AN220" s="55"/>
      <c r="AO220" s="55"/>
      <c r="AP220" s="55"/>
      <c r="AQ220" s="55"/>
      <c r="AR220" s="55"/>
      <c r="AS220" s="55"/>
      <c r="AT220" s="55"/>
      <c r="AU220" s="55"/>
      <c r="AV220" s="55"/>
      <c r="AW220" s="55"/>
      <c r="AX220" s="55"/>
      <c r="AY220" s="55"/>
      <c r="AZ220" s="55"/>
      <c r="BA220" s="55"/>
      <c r="BB220" s="55"/>
      <c r="BC220" s="55"/>
      <c r="BD220" s="55"/>
      <c r="BE220" s="55"/>
      <c r="BF220" s="55"/>
      <c r="BG220" s="55"/>
      <c r="BH220" s="55"/>
      <c r="BI220" s="55"/>
      <c r="BJ220" s="55"/>
      <c r="BK220" s="55"/>
      <c r="BL220" s="55"/>
      <c r="BM220" s="55"/>
      <c r="BN220" s="55"/>
      <c r="BO220" s="55"/>
      <c r="BP220" s="55"/>
      <c r="BQ220" s="55"/>
      <c r="BR220" s="55"/>
      <c r="BS220" s="55"/>
      <c r="BT220" s="55"/>
      <c r="BU220" s="55"/>
      <c r="BV220" s="55"/>
      <c r="BW220" s="55"/>
      <c r="BX220" s="55"/>
      <c r="BY220" s="55"/>
      <c r="BZ220" s="55"/>
      <c r="CA220" s="55"/>
      <c r="CB220" s="55"/>
      <c r="CC220" s="55"/>
      <c r="CD220" s="55"/>
      <c r="CE220" s="55"/>
      <c r="CF220" s="55"/>
      <c r="CG220" s="55"/>
      <c r="CH220" s="55"/>
      <c r="CI220" s="55"/>
      <c r="CJ220" s="55"/>
      <c r="CK220" s="55"/>
      <c r="CL220" s="55"/>
      <c r="CM220" s="55"/>
      <c r="CN220" s="55"/>
      <c r="CO220" s="55"/>
      <c r="CP220" s="55"/>
      <c r="CQ220" s="55"/>
      <c r="CR220" s="55"/>
      <c r="CS220" s="55"/>
      <c r="CT220" s="55"/>
      <c r="CU220" s="55"/>
      <c r="CV220" s="55"/>
      <c r="CW220" s="55"/>
      <c r="CX220" s="55"/>
      <c r="CY220" s="55"/>
      <c r="CZ220" s="55"/>
      <c r="DA220" s="55"/>
      <c r="DB220" s="55"/>
      <c r="DC220" s="55"/>
      <c r="DD220" s="55"/>
      <c r="DE220" s="55"/>
      <c r="DF220" s="55"/>
      <c r="DG220" s="55"/>
      <c r="DH220" s="55"/>
      <c r="DI220" s="55"/>
    </row>
    <row r="221" spans="1:113" x14ac:dyDescent="0.25">
      <c r="A221" s="152">
        <v>5</v>
      </c>
      <c r="B221" s="213" t="s">
        <v>733</v>
      </c>
      <c r="C221" s="43">
        <v>5000</v>
      </c>
      <c r="D221" s="176">
        <v>1272.5</v>
      </c>
      <c r="E221" s="102">
        <v>0</v>
      </c>
      <c r="F221" s="60"/>
      <c r="G221" s="139">
        <f t="shared" si="120"/>
        <v>0</v>
      </c>
      <c r="H221" s="55">
        <f>4300-4300</f>
        <v>0</v>
      </c>
      <c r="I221" s="56">
        <f t="shared" si="121"/>
        <v>0</v>
      </c>
      <c r="J221" s="56">
        <f t="shared" si="122"/>
        <v>0</v>
      </c>
      <c r="K221" s="57">
        <f t="shared" si="123"/>
        <v>0</v>
      </c>
      <c r="L221"/>
      <c r="M221" s="314">
        <f t="shared" si="119"/>
        <v>0</v>
      </c>
      <c r="N221" s="310"/>
      <c r="O221" s="315"/>
      <c r="P221" s="315"/>
      <c r="Q221" s="315"/>
      <c r="R221" s="315"/>
      <c r="S221" s="55"/>
      <c r="T221" s="55"/>
      <c r="U221" s="55"/>
      <c r="V221" s="55"/>
      <c r="W221" s="55"/>
      <c r="X221" s="55"/>
      <c r="Y221" s="55"/>
      <c r="Z221" s="55"/>
      <c r="AA221" s="55"/>
      <c r="AB221" s="55"/>
      <c r="AC221" s="55"/>
      <c r="AD221" s="55"/>
      <c r="AE221" s="55"/>
      <c r="AF221" s="55"/>
      <c r="AG221" s="55"/>
      <c r="AH221" s="55"/>
      <c r="AI221" s="55"/>
      <c r="AJ221" s="55"/>
      <c r="AK221" s="55"/>
      <c r="AL221" s="55"/>
      <c r="AM221" s="55"/>
      <c r="AN221" s="55"/>
      <c r="AO221" s="55"/>
      <c r="AP221" s="55"/>
      <c r="AQ221" s="55"/>
      <c r="AR221" s="55"/>
      <c r="AS221" s="55"/>
      <c r="AT221" s="55"/>
      <c r="AU221" s="55"/>
      <c r="AV221" s="55"/>
      <c r="AW221" s="55"/>
      <c r="AX221" s="55"/>
      <c r="AY221" s="55"/>
      <c r="AZ221" s="55"/>
      <c r="BA221" s="55"/>
      <c r="BB221" s="55"/>
      <c r="BC221" s="55"/>
      <c r="BD221" s="55"/>
      <c r="BE221" s="55"/>
      <c r="BF221" s="55"/>
      <c r="BG221" s="55"/>
      <c r="BH221" s="55"/>
      <c r="BI221" s="55"/>
      <c r="BJ221" s="55"/>
      <c r="BK221" s="55"/>
      <c r="BL221" s="55"/>
      <c r="BM221" s="55"/>
      <c r="BN221" s="55"/>
      <c r="BO221" s="55"/>
      <c r="BP221" s="55"/>
      <c r="BQ221" s="55"/>
      <c r="BR221" s="55"/>
      <c r="BS221" s="55"/>
      <c r="BT221" s="55"/>
      <c r="BU221" s="55"/>
      <c r="BV221" s="55"/>
      <c r="BW221" s="55"/>
      <c r="BX221" s="55"/>
      <c r="BY221" s="55"/>
      <c r="BZ221" s="55"/>
      <c r="CA221" s="55"/>
      <c r="CB221" s="55"/>
      <c r="CC221" s="55"/>
      <c r="CD221" s="55"/>
      <c r="CE221" s="55"/>
      <c r="CF221" s="55"/>
      <c r="CG221" s="55"/>
      <c r="CH221" s="55"/>
      <c r="CI221" s="55"/>
      <c r="CJ221" s="55"/>
      <c r="CK221" s="55"/>
      <c r="CL221" s="55"/>
      <c r="CM221" s="55"/>
      <c r="CN221" s="55"/>
      <c r="CO221" s="55"/>
      <c r="CP221" s="55"/>
      <c r="CQ221" s="55"/>
      <c r="CR221" s="55"/>
      <c r="CS221" s="55"/>
      <c r="CT221" s="55"/>
      <c r="CU221" s="55"/>
      <c r="CV221" s="55"/>
      <c r="CW221" s="55"/>
      <c r="CX221" s="55"/>
      <c r="CY221" s="55"/>
      <c r="CZ221" s="55"/>
      <c r="DA221" s="55"/>
      <c r="DB221" s="55"/>
      <c r="DC221" s="55"/>
      <c r="DD221" s="55"/>
      <c r="DE221" s="55"/>
      <c r="DF221" s="55"/>
      <c r="DG221" s="55"/>
      <c r="DH221" s="55"/>
      <c r="DI221" s="55"/>
    </row>
    <row r="222" spans="1:113" x14ac:dyDescent="0.25">
      <c r="A222" s="152">
        <v>6</v>
      </c>
      <c r="B222" s="60" t="s">
        <v>620</v>
      </c>
      <c r="C222" s="43">
        <v>5000</v>
      </c>
      <c r="D222" s="175">
        <v>1270.9100000000001</v>
      </c>
      <c r="E222" s="102">
        <v>0</v>
      </c>
      <c r="F222" s="181"/>
      <c r="G222" s="139">
        <f t="shared" si="120"/>
        <v>0</v>
      </c>
      <c r="H222" s="55">
        <f>4000-4000</f>
        <v>0</v>
      </c>
      <c r="I222" s="56">
        <f t="shared" si="121"/>
        <v>0</v>
      </c>
      <c r="J222" s="56">
        <f t="shared" si="122"/>
        <v>0</v>
      </c>
      <c r="K222" s="57">
        <f t="shared" si="123"/>
        <v>0</v>
      </c>
      <c r="L222"/>
      <c r="M222" s="314">
        <f t="shared" si="119"/>
        <v>0</v>
      </c>
      <c r="N222" s="310"/>
      <c r="O222" s="315"/>
      <c r="P222" s="315"/>
      <c r="Q222" s="315"/>
      <c r="R222" s="315"/>
      <c r="S222" s="55"/>
      <c r="T222" s="55"/>
      <c r="U222" s="55"/>
      <c r="V222" s="55"/>
      <c r="W222" s="55"/>
      <c r="X222" s="55"/>
      <c r="Y222" s="55"/>
      <c r="Z222" s="55"/>
      <c r="AA222" s="55"/>
      <c r="AB222" s="55"/>
      <c r="AC222" s="55"/>
      <c r="AD222" s="55"/>
      <c r="AE222" s="55"/>
      <c r="AF222" s="55"/>
      <c r="AG222" s="55"/>
      <c r="AH222" s="55"/>
      <c r="AI222" s="55"/>
      <c r="AJ222" s="55"/>
      <c r="AK222" s="55"/>
      <c r="AL222" s="55"/>
      <c r="AM222" s="55"/>
      <c r="AN222" s="55"/>
      <c r="AO222" s="55"/>
      <c r="AP222" s="55"/>
      <c r="AQ222" s="55"/>
      <c r="AR222" s="55"/>
      <c r="AS222" s="55"/>
      <c r="AT222" s="55"/>
      <c r="AU222" s="55"/>
      <c r="AV222" s="55"/>
      <c r="AW222" s="55"/>
      <c r="AX222" s="55"/>
      <c r="AY222" s="55"/>
      <c r="AZ222" s="55"/>
      <c r="BA222" s="55"/>
      <c r="BB222" s="55"/>
      <c r="BC222" s="55"/>
      <c r="BD222" s="55"/>
      <c r="BE222" s="55"/>
      <c r="BF222" s="55"/>
      <c r="BG222" s="55"/>
      <c r="BH222" s="55"/>
      <c r="BI222" s="55"/>
      <c r="BJ222" s="55"/>
      <c r="BK222" s="55"/>
      <c r="BL222" s="55"/>
      <c r="BM222" s="55"/>
      <c r="BN222" s="55"/>
      <c r="BO222" s="55"/>
      <c r="BP222" s="55"/>
      <c r="BQ222" s="55"/>
      <c r="BR222" s="55"/>
      <c r="BS222" s="55"/>
      <c r="BT222" s="55"/>
      <c r="BU222" s="55"/>
      <c r="BV222" s="55"/>
      <c r="BW222" s="55"/>
      <c r="BX222" s="55"/>
      <c r="BY222" s="55"/>
      <c r="BZ222" s="55"/>
      <c r="CA222" s="55"/>
      <c r="CB222" s="55"/>
      <c r="CC222" s="55"/>
      <c r="CD222" s="55"/>
      <c r="CE222" s="55"/>
      <c r="CF222" s="55"/>
      <c r="CG222" s="55"/>
      <c r="CH222" s="55"/>
      <c r="CI222" s="55"/>
      <c r="CJ222" s="55"/>
      <c r="CK222" s="55"/>
      <c r="CL222" s="55"/>
      <c r="CM222" s="55"/>
      <c r="CN222" s="55"/>
      <c r="CO222" s="55"/>
      <c r="CP222" s="55"/>
      <c r="CQ222" s="55"/>
      <c r="CR222" s="55"/>
      <c r="CS222" s="55"/>
      <c r="CT222" s="55"/>
      <c r="CU222" s="55"/>
      <c r="CV222" s="55"/>
      <c r="CW222" s="55"/>
      <c r="CX222" s="55"/>
      <c r="CY222" s="55"/>
      <c r="CZ222" s="55"/>
      <c r="DA222" s="55"/>
      <c r="DB222" s="55"/>
      <c r="DC222" s="55"/>
      <c r="DD222" s="55"/>
      <c r="DE222" s="55"/>
      <c r="DF222" s="55"/>
      <c r="DG222" s="55"/>
      <c r="DH222" s="55"/>
      <c r="DI222" s="55"/>
    </row>
    <row r="223" spans="1:113" x14ac:dyDescent="0.25">
      <c r="A223" s="152">
        <v>7</v>
      </c>
      <c r="B223" s="213" t="s">
        <v>922</v>
      </c>
      <c r="C223" s="43">
        <v>16000</v>
      </c>
      <c r="D223" s="175">
        <v>1270.9100000000001</v>
      </c>
      <c r="E223" s="43">
        <v>2700</v>
      </c>
      <c r="F223" s="60"/>
      <c r="G223" s="139">
        <f t="shared" si="120"/>
        <v>2700</v>
      </c>
      <c r="H223" s="55">
        <f>5000-5000</f>
        <v>0</v>
      </c>
      <c r="I223" s="102">
        <f t="shared" si="121"/>
        <v>2700</v>
      </c>
      <c r="J223" s="56">
        <f t="shared" si="122"/>
        <v>43200000</v>
      </c>
      <c r="K223" s="57">
        <f t="shared" si="123"/>
        <v>3431457</v>
      </c>
      <c r="L223"/>
      <c r="M223" s="314">
        <f t="shared" si="119"/>
        <v>0</v>
      </c>
      <c r="N223" s="310"/>
      <c r="O223" s="315"/>
      <c r="P223" s="315"/>
      <c r="Q223" s="315"/>
      <c r="R223" s="315"/>
      <c r="S223" s="55"/>
      <c r="T223" s="55"/>
      <c r="U223" s="55"/>
      <c r="V223" s="55"/>
      <c r="W223" s="55"/>
      <c r="X223" s="55"/>
      <c r="Y223" s="55"/>
      <c r="Z223" s="55"/>
      <c r="AA223" s="55"/>
      <c r="AB223" s="55"/>
      <c r="AC223" s="55"/>
      <c r="AD223" s="55"/>
      <c r="AE223" s="55"/>
      <c r="AF223" s="55"/>
      <c r="AG223" s="55"/>
      <c r="AH223" s="55"/>
      <c r="AI223" s="55"/>
      <c r="AJ223" s="55"/>
      <c r="AK223" s="55"/>
      <c r="AL223" s="55"/>
      <c r="AM223" s="55"/>
      <c r="AN223" s="55"/>
      <c r="AO223" s="55"/>
      <c r="AP223" s="55"/>
      <c r="AQ223" s="55"/>
      <c r="AR223" s="55"/>
      <c r="AS223" s="55"/>
      <c r="AT223" s="55"/>
      <c r="AU223" s="55"/>
      <c r="AV223" s="55"/>
      <c r="AW223" s="55"/>
      <c r="AX223" s="55"/>
      <c r="AY223" s="55"/>
      <c r="AZ223" s="55"/>
      <c r="BA223" s="55"/>
      <c r="BB223" s="55"/>
      <c r="BC223" s="55"/>
      <c r="BD223" s="55"/>
      <c r="BE223" s="55"/>
      <c r="BF223" s="55"/>
      <c r="BG223" s="55"/>
      <c r="BH223" s="55"/>
      <c r="BI223" s="55"/>
      <c r="BJ223" s="55"/>
      <c r="BK223" s="55"/>
      <c r="BL223" s="55"/>
      <c r="BM223" s="55"/>
      <c r="BN223" s="55"/>
      <c r="BO223" s="55"/>
      <c r="BP223" s="55"/>
      <c r="BQ223" s="55"/>
      <c r="BR223" s="55"/>
      <c r="BS223" s="55"/>
      <c r="BT223" s="55"/>
      <c r="BU223" s="55"/>
      <c r="BV223" s="55"/>
      <c r="BW223" s="55"/>
      <c r="BX223" s="55"/>
      <c r="BY223" s="55"/>
      <c r="BZ223" s="55"/>
      <c r="CA223" s="55"/>
      <c r="CB223" s="55"/>
      <c r="CC223" s="55"/>
      <c r="CD223" s="55"/>
      <c r="CE223" s="55"/>
      <c r="CF223" s="55"/>
      <c r="CG223" s="55"/>
      <c r="CH223" s="55"/>
      <c r="CI223" s="55"/>
      <c r="CJ223" s="55"/>
      <c r="CK223" s="55"/>
      <c r="CL223" s="55"/>
      <c r="CM223" s="55"/>
      <c r="CN223" s="55"/>
      <c r="CO223" s="55"/>
      <c r="CP223" s="55"/>
      <c r="CQ223" s="55"/>
      <c r="CR223" s="55"/>
      <c r="CS223" s="55"/>
      <c r="CT223" s="55"/>
      <c r="CU223" s="55"/>
      <c r="CV223" s="55"/>
      <c r="CW223" s="55"/>
      <c r="CX223" s="55"/>
      <c r="CY223" s="55"/>
      <c r="CZ223" s="55"/>
      <c r="DA223" s="55"/>
      <c r="DB223" s="55"/>
      <c r="DC223" s="55"/>
      <c r="DD223" s="55"/>
      <c r="DE223" s="55"/>
      <c r="DF223" s="55"/>
      <c r="DG223" s="55"/>
      <c r="DH223" s="55"/>
      <c r="DI223" s="55"/>
    </row>
    <row r="224" spans="1:113" x14ac:dyDescent="0.25">
      <c r="A224" s="152">
        <v>8</v>
      </c>
      <c r="B224" s="60" t="s">
        <v>209</v>
      </c>
      <c r="C224" s="43">
        <v>5000</v>
      </c>
      <c r="D224" s="182">
        <v>1186.92</v>
      </c>
      <c r="E224" s="43">
        <v>4800</v>
      </c>
      <c r="F224" s="181"/>
      <c r="G224" s="139">
        <f t="shared" si="120"/>
        <v>4800</v>
      </c>
      <c r="H224" s="55">
        <f>5000-5000+1920</f>
        <v>1920</v>
      </c>
      <c r="I224" s="56">
        <f t="shared" si="121"/>
        <v>2880</v>
      </c>
      <c r="J224" s="56">
        <f t="shared" si="122"/>
        <v>14400000</v>
      </c>
      <c r="K224" s="57">
        <f t="shared" si="123"/>
        <v>3418329.6</v>
      </c>
      <c r="L224"/>
      <c r="M224" s="314">
        <f t="shared" si="119"/>
        <v>0</v>
      </c>
      <c r="N224" s="310"/>
      <c r="O224" s="315"/>
      <c r="P224" s="315"/>
      <c r="Q224" s="315"/>
      <c r="R224" s="315"/>
      <c r="S224" s="55"/>
      <c r="T224" s="55"/>
      <c r="U224" s="55"/>
      <c r="V224" s="55"/>
      <c r="W224" s="55"/>
      <c r="X224" s="55"/>
      <c r="Y224" s="55"/>
      <c r="Z224" s="55"/>
      <c r="AA224" s="55"/>
      <c r="AB224" s="55"/>
      <c r="AC224" s="55"/>
      <c r="AD224" s="55"/>
      <c r="AE224" s="55"/>
      <c r="AF224" s="55"/>
      <c r="AG224" s="55"/>
      <c r="AH224" s="55"/>
      <c r="AI224" s="55"/>
      <c r="AJ224" s="55"/>
      <c r="AK224" s="55"/>
      <c r="AL224" s="55"/>
      <c r="AM224" s="55"/>
      <c r="AN224" s="55"/>
      <c r="AO224" s="55"/>
      <c r="AP224" s="55"/>
      <c r="AQ224" s="55"/>
      <c r="AR224" s="55"/>
      <c r="AS224" s="55"/>
      <c r="AT224" s="55"/>
      <c r="AU224" s="55"/>
      <c r="AV224" s="55"/>
      <c r="AW224" s="55"/>
      <c r="AX224" s="55"/>
      <c r="AY224" s="55"/>
      <c r="AZ224" s="55"/>
      <c r="BA224" s="55"/>
      <c r="BB224" s="55"/>
      <c r="BC224" s="55"/>
      <c r="BD224" s="55"/>
      <c r="BE224" s="55"/>
      <c r="BF224" s="55"/>
      <c r="BG224" s="55"/>
      <c r="BH224" s="55"/>
      <c r="BI224" s="55"/>
      <c r="BJ224" s="55"/>
      <c r="BK224" s="55"/>
      <c r="BL224" s="55"/>
      <c r="BM224" s="55"/>
      <c r="BN224" s="55"/>
      <c r="BO224" s="55"/>
      <c r="BP224" s="55"/>
      <c r="BQ224" s="55"/>
      <c r="BR224" s="55"/>
      <c r="BS224" s="55"/>
      <c r="BT224" s="55"/>
      <c r="BU224" s="55"/>
      <c r="BV224" s="55"/>
      <c r="BW224" s="55"/>
      <c r="BX224" s="55"/>
      <c r="BY224" s="55"/>
      <c r="BZ224" s="55"/>
      <c r="CA224" s="55"/>
      <c r="CB224" s="55"/>
      <c r="CC224" s="55"/>
      <c r="CD224" s="55"/>
      <c r="CE224" s="55"/>
      <c r="CF224" s="55"/>
      <c r="CG224" s="55"/>
      <c r="CH224" s="55"/>
      <c r="CI224" s="55"/>
      <c r="CJ224" s="55"/>
      <c r="CK224" s="55"/>
      <c r="CL224" s="55"/>
      <c r="CM224" s="55"/>
      <c r="CN224" s="55"/>
      <c r="CO224" s="55"/>
      <c r="CP224" s="55"/>
      <c r="CQ224" s="55"/>
      <c r="CR224" s="55"/>
      <c r="CS224" s="55"/>
      <c r="CT224" s="55"/>
      <c r="CU224" s="55"/>
      <c r="CV224" s="55"/>
      <c r="CW224" s="55"/>
      <c r="CX224" s="55"/>
      <c r="CY224" s="55"/>
      <c r="CZ224" s="55"/>
      <c r="DA224" s="55"/>
      <c r="DB224" s="55"/>
      <c r="DC224" s="55"/>
      <c r="DD224" s="55"/>
      <c r="DE224" s="55"/>
      <c r="DF224" s="55"/>
      <c r="DG224" s="55"/>
      <c r="DH224" s="55"/>
      <c r="DI224" s="55"/>
    </row>
    <row r="225" spans="1:113" ht="15.75" thickBot="1" x14ac:dyDescent="0.3">
      <c r="A225" s="153">
        <v>9</v>
      </c>
      <c r="B225" s="214" t="s">
        <v>734</v>
      </c>
      <c r="C225" s="154">
        <v>20000</v>
      </c>
      <c r="D225" s="183">
        <v>2134.42</v>
      </c>
      <c r="E225" s="154">
        <v>0</v>
      </c>
      <c r="F225" s="156"/>
      <c r="G225" s="147">
        <f t="shared" si="120"/>
        <v>0</v>
      </c>
      <c r="H225" s="58">
        <f>3000-3000</f>
        <v>0</v>
      </c>
      <c r="I225" s="64">
        <f t="shared" si="121"/>
        <v>0</v>
      </c>
      <c r="J225" s="64">
        <f t="shared" si="122"/>
        <v>0</v>
      </c>
      <c r="K225" s="65">
        <f t="shared" si="123"/>
        <v>0</v>
      </c>
      <c r="L225"/>
      <c r="M225" s="314">
        <f t="shared" si="119"/>
        <v>0</v>
      </c>
      <c r="N225" s="310"/>
      <c r="O225" s="315"/>
      <c r="P225" s="315"/>
      <c r="Q225" s="315"/>
      <c r="R225" s="315"/>
      <c r="S225" s="55"/>
      <c r="T225" s="55"/>
      <c r="U225" s="55"/>
      <c r="V225" s="55"/>
      <c r="W225" s="55"/>
      <c r="X225" s="55"/>
      <c r="Y225" s="55"/>
      <c r="Z225" s="55"/>
      <c r="AA225" s="55"/>
      <c r="AB225" s="55"/>
      <c r="AC225" s="55"/>
      <c r="AD225" s="55"/>
      <c r="AE225" s="55"/>
      <c r="AF225" s="55"/>
      <c r="AG225" s="55"/>
      <c r="AH225" s="55"/>
      <c r="AI225" s="55"/>
      <c r="AJ225" s="55"/>
      <c r="AK225" s="55"/>
      <c r="AL225" s="55"/>
      <c r="AM225" s="55"/>
      <c r="AN225" s="55"/>
      <c r="AO225" s="55"/>
      <c r="AP225" s="55"/>
      <c r="AQ225" s="55"/>
      <c r="AR225" s="55"/>
      <c r="AS225" s="55"/>
      <c r="AT225" s="55"/>
      <c r="AU225" s="55"/>
      <c r="AV225" s="55"/>
      <c r="AW225" s="55"/>
      <c r="AX225" s="55"/>
      <c r="AY225" s="55"/>
      <c r="AZ225" s="55"/>
      <c r="BA225" s="55"/>
      <c r="BB225" s="55"/>
      <c r="BC225" s="55"/>
      <c r="BD225" s="55"/>
      <c r="BE225" s="55"/>
      <c r="BF225" s="55"/>
      <c r="BG225" s="55"/>
      <c r="BH225" s="55"/>
      <c r="BI225" s="55"/>
      <c r="BJ225" s="55"/>
      <c r="BK225" s="55"/>
      <c r="BL225" s="55"/>
      <c r="BM225" s="55"/>
      <c r="BN225" s="55"/>
      <c r="BO225" s="55"/>
      <c r="BP225" s="55"/>
      <c r="BQ225" s="55"/>
      <c r="BR225" s="55"/>
      <c r="BS225" s="55"/>
      <c r="BT225" s="55"/>
      <c r="BU225" s="55"/>
      <c r="BV225" s="55"/>
      <c r="BW225" s="55"/>
      <c r="BX225" s="55"/>
      <c r="BY225" s="55"/>
      <c r="BZ225" s="55"/>
      <c r="CA225" s="55"/>
      <c r="CB225" s="55"/>
      <c r="CC225" s="55"/>
      <c r="CD225" s="55"/>
      <c r="CE225" s="55"/>
      <c r="CF225" s="55"/>
      <c r="CG225" s="55"/>
      <c r="CH225" s="55"/>
      <c r="CI225" s="55"/>
      <c r="CJ225" s="55"/>
      <c r="CK225" s="55"/>
      <c r="CL225" s="55"/>
      <c r="CM225" s="55"/>
      <c r="CN225" s="55"/>
      <c r="CO225" s="55"/>
      <c r="CP225" s="55"/>
      <c r="CQ225" s="55"/>
      <c r="CR225" s="55"/>
      <c r="CS225" s="55"/>
      <c r="CT225" s="55"/>
      <c r="CU225" s="55"/>
      <c r="CV225" s="55"/>
      <c r="CW225" s="55"/>
      <c r="CX225" s="55"/>
      <c r="CY225" s="55"/>
      <c r="CZ225" s="55"/>
      <c r="DA225" s="55"/>
      <c r="DB225" s="55"/>
      <c r="DC225" s="55"/>
      <c r="DD225" s="55"/>
      <c r="DE225" s="55"/>
      <c r="DF225" s="55"/>
      <c r="DG225" s="55"/>
      <c r="DH225" s="55"/>
      <c r="DI225" s="55"/>
    </row>
    <row r="226" spans="1:113" ht="15.75" thickBot="1" x14ac:dyDescent="0.3">
      <c r="A226" s="128"/>
      <c r="B226" s="119" t="s">
        <v>688</v>
      </c>
      <c r="C226" s="36"/>
      <c r="D226" s="36"/>
      <c r="E226" s="29">
        <f t="shared" ref="E226:K226" si="124">SUM(E217:E225)</f>
        <v>13500</v>
      </c>
      <c r="F226" s="29">
        <f t="shared" si="124"/>
        <v>0</v>
      </c>
      <c r="G226" s="29">
        <f t="shared" si="124"/>
        <v>13500</v>
      </c>
      <c r="H226" s="29">
        <f t="shared" si="124"/>
        <v>6920</v>
      </c>
      <c r="I226" s="29">
        <f t="shared" si="124"/>
        <v>6580</v>
      </c>
      <c r="J226" s="29">
        <f t="shared" si="124"/>
        <v>75600000</v>
      </c>
      <c r="K226" s="47">
        <f t="shared" si="124"/>
        <v>8469786.5999999996</v>
      </c>
      <c r="L226"/>
      <c r="M226" s="322">
        <f t="shared" si="119"/>
        <v>0</v>
      </c>
      <c r="N226" s="325"/>
      <c r="O226" s="325"/>
      <c r="P226" s="325"/>
      <c r="Q226" s="325"/>
      <c r="R226" s="325"/>
      <c r="S226" s="324"/>
      <c r="T226" s="324"/>
      <c r="U226" s="324"/>
      <c r="V226" s="324"/>
      <c r="W226" s="324"/>
      <c r="X226" s="324"/>
      <c r="Y226" s="324"/>
      <c r="Z226" s="324"/>
      <c r="AA226" s="324"/>
      <c r="AB226" s="324"/>
      <c r="AC226" s="324"/>
      <c r="AD226" s="324"/>
      <c r="AE226" s="324"/>
      <c r="AF226" s="324"/>
      <c r="AG226" s="324"/>
      <c r="AH226" s="324"/>
      <c r="AI226" s="324"/>
      <c r="AJ226" s="324"/>
      <c r="AK226" s="324"/>
      <c r="AL226" s="324"/>
      <c r="AM226" s="324"/>
      <c r="AN226" s="324"/>
      <c r="AO226" s="324"/>
      <c r="AP226" s="324"/>
      <c r="AQ226" s="324"/>
      <c r="AR226" s="324"/>
      <c r="AS226" s="324"/>
      <c r="AT226" s="324"/>
      <c r="AU226" s="324"/>
      <c r="AV226" s="324"/>
      <c r="AW226" s="324"/>
      <c r="AX226" s="324"/>
      <c r="AY226" s="324"/>
      <c r="AZ226" s="324"/>
      <c r="BA226" s="324"/>
      <c r="BB226" s="324"/>
      <c r="BC226" s="324"/>
      <c r="BD226" s="324"/>
      <c r="BE226" s="324"/>
      <c r="BF226" s="324"/>
      <c r="BG226" s="324"/>
      <c r="BH226" s="324"/>
      <c r="BI226" s="324"/>
      <c r="BJ226" s="324"/>
      <c r="BK226" s="324"/>
      <c r="BL226" s="324"/>
      <c r="BM226" s="324"/>
      <c r="BN226" s="324"/>
      <c r="BO226" s="324"/>
      <c r="BP226" s="324"/>
      <c r="BQ226" s="324"/>
      <c r="BR226" s="324"/>
      <c r="BS226" s="324"/>
      <c r="BT226" s="324"/>
      <c r="BU226" s="324"/>
      <c r="BV226" s="324"/>
      <c r="BW226" s="324"/>
      <c r="BX226" s="324"/>
      <c r="BY226" s="324"/>
      <c r="BZ226" s="324"/>
      <c r="CA226" s="324"/>
      <c r="CB226" s="324"/>
      <c r="CC226" s="324"/>
      <c r="CD226" s="324"/>
      <c r="CE226" s="324"/>
      <c r="CF226" s="324"/>
      <c r="CG226" s="324"/>
      <c r="CH226" s="324"/>
      <c r="CI226" s="324"/>
      <c r="CJ226" s="324"/>
      <c r="CK226" s="324"/>
      <c r="CL226" s="324"/>
      <c r="CM226" s="324"/>
      <c r="CN226" s="324"/>
      <c r="CO226" s="324"/>
      <c r="CP226" s="324"/>
      <c r="CQ226" s="324"/>
      <c r="CR226" s="324"/>
      <c r="CS226" s="324"/>
      <c r="CT226" s="324"/>
      <c r="CU226" s="324"/>
      <c r="CV226" s="324"/>
      <c r="CW226" s="324"/>
      <c r="CX226" s="324"/>
      <c r="CY226" s="324"/>
      <c r="CZ226" s="324"/>
      <c r="DA226" s="324"/>
      <c r="DB226" s="324"/>
      <c r="DC226" s="324"/>
      <c r="DD226" s="324"/>
      <c r="DE226" s="324"/>
      <c r="DF226" s="324"/>
      <c r="DG226" s="324"/>
      <c r="DH226" s="324"/>
      <c r="DI226" s="324"/>
    </row>
    <row r="227" spans="1:113" customFormat="1" ht="15.75" thickBot="1" x14ac:dyDescent="0.3"/>
    <row r="228" spans="1:113" ht="15.75" thickBot="1" x14ac:dyDescent="0.3">
      <c r="A228" s="407" t="s">
        <v>657</v>
      </c>
      <c r="B228" s="414" t="s">
        <v>708</v>
      </c>
      <c r="C228" s="414" t="s">
        <v>1</v>
      </c>
      <c r="D228" s="415" t="s">
        <v>649</v>
      </c>
      <c r="E228" s="416" t="s">
        <v>19</v>
      </c>
      <c r="F228" s="416"/>
      <c r="G228" s="416"/>
      <c r="H228" s="416"/>
      <c r="I228" s="416"/>
      <c r="J228" s="410" t="s">
        <v>21</v>
      </c>
      <c r="K228" s="417" t="s">
        <v>602</v>
      </c>
      <c r="L228"/>
      <c r="M228" s="400" t="s">
        <v>601</v>
      </c>
      <c r="N228" s="404" t="s">
        <v>924</v>
      </c>
      <c r="O228" s="405"/>
      <c r="P228" s="405"/>
      <c r="Q228" s="405"/>
      <c r="R228" s="405"/>
      <c r="S228" s="405"/>
      <c r="T228" s="405"/>
      <c r="U228" s="405"/>
      <c r="V228" s="405"/>
      <c r="W228" s="405"/>
      <c r="X228" s="405"/>
      <c r="Y228" s="405"/>
      <c r="Z228" s="405"/>
      <c r="AA228" s="405"/>
      <c r="AB228" s="405"/>
      <c r="AC228" s="405"/>
      <c r="AD228" s="405"/>
      <c r="AE228" s="405"/>
      <c r="AF228" s="405"/>
      <c r="AG228" s="405"/>
      <c r="AH228" s="405"/>
      <c r="AI228" s="405"/>
      <c r="AJ228" s="405"/>
      <c r="AK228" s="405"/>
      <c r="AL228" s="405"/>
      <c r="AM228" s="405"/>
      <c r="AN228" s="405"/>
      <c r="AO228" s="405"/>
      <c r="AP228" s="405"/>
      <c r="AQ228" s="405"/>
      <c r="AR228" s="405"/>
      <c r="AS228" s="405"/>
      <c r="AT228" s="405"/>
      <c r="AU228" s="405"/>
      <c r="AV228" s="405"/>
      <c r="AW228" s="405"/>
      <c r="AX228" s="405"/>
      <c r="AY228" s="405"/>
      <c r="AZ228" s="405"/>
      <c r="BA228" s="405"/>
      <c r="BB228" s="405"/>
      <c r="BC228" s="405"/>
      <c r="BD228" s="405"/>
      <c r="BE228" s="405"/>
      <c r="BF228" s="405"/>
      <c r="BG228" s="405"/>
      <c r="BH228" s="405"/>
      <c r="BI228" s="405"/>
      <c r="BJ228" s="405"/>
      <c r="BK228" s="405"/>
      <c r="BL228" s="405"/>
      <c r="BM228" s="405"/>
      <c r="BN228" s="405"/>
      <c r="BO228" s="405"/>
      <c r="BP228" s="405"/>
      <c r="BQ228" s="405"/>
      <c r="BR228" s="405"/>
      <c r="BS228" s="405"/>
      <c r="BT228" s="405"/>
      <c r="BU228" s="405"/>
      <c r="BV228" s="405"/>
      <c r="BW228" s="405"/>
      <c r="BX228" s="405"/>
      <c r="BY228" s="405"/>
      <c r="BZ228" s="405"/>
      <c r="CA228" s="405"/>
      <c r="CB228" s="405"/>
      <c r="CC228" s="405"/>
      <c r="CD228" s="405"/>
      <c r="CE228" s="405"/>
      <c r="CF228" s="405"/>
      <c r="CG228" s="405"/>
      <c r="CH228" s="405"/>
      <c r="CI228" s="405"/>
      <c r="CJ228" s="405"/>
      <c r="CK228" s="405"/>
      <c r="CL228" s="405"/>
      <c r="CM228" s="405"/>
      <c r="CN228" s="405"/>
      <c r="CO228" s="405"/>
      <c r="CP228" s="405"/>
      <c r="CQ228" s="405"/>
      <c r="CR228" s="405"/>
      <c r="CS228" s="405"/>
      <c r="CT228" s="405"/>
      <c r="CU228" s="405"/>
      <c r="CV228" s="405"/>
      <c r="CW228" s="405"/>
      <c r="CX228" s="405"/>
      <c r="CY228" s="405"/>
      <c r="CZ228" s="405"/>
      <c r="DA228" s="405"/>
      <c r="DB228" s="405"/>
      <c r="DC228" s="405"/>
      <c r="DD228" s="405"/>
      <c r="DE228" s="405"/>
      <c r="DF228" s="405"/>
      <c r="DG228" s="405"/>
      <c r="DH228" s="405"/>
      <c r="DI228" s="406"/>
    </row>
    <row r="229" spans="1:113" ht="15.75" thickBot="1" x14ac:dyDescent="0.3">
      <c r="A229" s="408"/>
      <c r="B229" s="414"/>
      <c r="C229" s="414"/>
      <c r="D229" s="415"/>
      <c r="E229" s="68" t="s">
        <v>22</v>
      </c>
      <c r="F229" s="68" t="s">
        <v>600</v>
      </c>
      <c r="G229" s="68" t="s">
        <v>601</v>
      </c>
      <c r="H229" s="68" t="s">
        <v>589</v>
      </c>
      <c r="I229" s="68" t="s">
        <v>601</v>
      </c>
      <c r="J229" s="411"/>
      <c r="K229" s="418"/>
      <c r="L229"/>
      <c r="M229" s="401"/>
      <c r="N229" s="400" t="s">
        <v>925</v>
      </c>
      <c r="O229" s="400" t="s">
        <v>926</v>
      </c>
      <c r="P229" s="400"/>
      <c r="Q229" s="400"/>
      <c r="R229" s="400"/>
      <c r="S229" s="398"/>
      <c r="T229" s="398"/>
      <c r="U229" s="398"/>
      <c r="V229" s="398"/>
      <c r="W229" s="398"/>
      <c r="X229" s="398"/>
      <c r="Y229" s="398"/>
      <c r="Z229" s="398"/>
      <c r="AA229" s="398"/>
      <c r="AB229" s="398"/>
      <c r="AC229" s="398"/>
      <c r="AD229" s="398"/>
      <c r="AE229" s="398"/>
      <c r="AF229" s="398"/>
      <c r="AG229" s="398"/>
      <c r="AH229" s="398"/>
      <c r="AI229" s="398"/>
      <c r="AJ229" s="398"/>
      <c r="AK229" s="398"/>
      <c r="AL229" s="398"/>
      <c r="AM229" s="398"/>
      <c r="AN229" s="398"/>
      <c r="AO229" s="398"/>
      <c r="AP229" s="398"/>
      <c r="AQ229" s="398"/>
      <c r="AR229" s="398"/>
      <c r="AS229" s="398"/>
      <c r="AT229" s="398"/>
      <c r="AU229" s="398"/>
      <c r="AV229" s="398"/>
      <c r="AW229" s="398"/>
      <c r="AX229" s="398"/>
      <c r="AY229" s="398"/>
      <c r="AZ229" s="398"/>
      <c r="BA229" s="398"/>
      <c r="BB229" s="398"/>
      <c r="BC229" s="398"/>
      <c r="BD229" s="398"/>
      <c r="BE229" s="398"/>
      <c r="BF229" s="398"/>
      <c r="BG229" s="398"/>
      <c r="BH229" s="398"/>
      <c r="BI229" s="398"/>
      <c r="BJ229" s="398"/>
      <c r="BK229" s="398"/>
      <c r="BL229" s="398"/>
      <c r="BM229" s="398"/>
      <c r="BN229" s="398"/>
      <c r="BO229" s="398"/>
      <c r="BP229" s="398"/>
      <c r="BQ229" s="398"/>
      <c r="BR229" s="398"/>
      <c r="BS229" s="398"/>
      <c r="BT229" s="398"/>
      <c r="BU229" s="398"/>
      <c r="BV229" s="398"/>
      <c r="BW229" s="398"/>
      <c r="BX229" s="398"/>
      <c r="BY229" s="398"/>
      <c r="BZ229" s="398"/>
      <c r="CA229" s="398"/>
      <c r="CB229" s="398"/>
      <c r="CC229" s="398"/>
      <c r="CD229" s="398"/>
      <c r="CE229" s="398"/>
      <c r="CF229" s="398"/>
      <c r="CG229" s="398"/>
      <c r="CH229" s="398"/>
      <c r="CI229" s="398"/>
      <c r="CJ229" s="398"/>
      <c r="CK229" s="398"/>
      <c r="CL229" s="398"/>
      <c r="CM229" s="398"/>
      <c r="CN229" s="398"/>
      <c r="CO229" s="398"/>
      <c r="CP229" s="398"/>
      <c r="CQ229" s="398"/>
      <c r="CR229" s="398"/>
      <c r="CS229" s="398"/>
      <c r="CT229" s="398"/>
      <c r="CU229" s="398"/>
      <c r="CV229" s="398"/>
      <c r="CW229" s="398"/>
      <c r="CX229" s="398"/>
      <c r="CY229" s="398"/>
      <c r="CZ229" s="398"/>
      <c r="DA229" s="398"/>
      <c r="DB229" s="398"/>
      <c r="DC229" s="398"/>
      <c r="DD229" s="398"/>
      <c r="DE229" s="398"/>
      <c r="DF229" s="398"/>
      <c r="DG229" s="398"/>
      <c r="DH229" s="398"/>
      <c r="DI229" s="398"/>
    </row>
    <row r="230" spans="1:113" ht="15.75" thickBot="1" x14ac:dyDescent="0.3">
      <c r="A230" s="409"/>
      <c r="B230" s="209">
        <v>1</v>
      </c>
      <c r="C230" s="209">
        <v>2</v>
      </c>
      <c r="D230" s="209">
        <v>3</v>
      </c>
      <c r="E230" s="70">
        <v>4</v>
      </c>
      <c r="F230" s="70">
        <f>+E230+1</f>
        <v>5</v>
      </c>
      <c r="G230" s="70" t="s">
        <v>652</v>
      </c>
      <c r="H230" s="70">
        <v>7</v>
      </c>
      <c r="I230" s="71" t="s">
        <v>651</v>
      </c>
      <c r="J230" s="42" t="s">
        <v>650</v>
      </c>
      <c r="K230" s="42" t="s">
        <v>653</v>
      </c>
      <c r="L230"/>
      <c r="M230" s="402"/>
      <c r="N230" s="402"/>
      <c r="O230" s="402"/>
      <c r="P230" s="402"/>
      <c r="Q230" s="402"/>
      <c r="R230" s="402"/>
      <c r="S230" s="399"/>
      <c r="T230" s="399"/>
      <c r="U230" s="399"/>
      <c r="V230" s="399"/>
      <c r="W230" s="399"/>
      <c r="X230" s="399"/>
      <c r="Y230" s="399"/>
      <c r="Z230" s="399"/>
      <c r="AA230" s="399"/>
      <c r="AB230" s="399"/>
      <c r="AC230" s="399"/>
      <c r="AD230" s="399"/>
      <c r="AE230" s="399"/>
      <c r="AF230" s="399"/>
      <c r="AG230" s="399"/>
      <c r="AH230" s="399"/>
      <c r="AI230" s="399"/>
      <c r="AJ230" s="399"/>
      <c r="AK230" s="399"/>
      <c r="AL230" s="399"/>
      <c r="AM230" s="399"/>
      <c r="AN230" s="399"/>
      <c r="AO230" s="399"/>
      <c r="AP230" s="399"/>
      <c r="AQ230" s="399"/>
      <c r="AR230" s="399"/>
      <c r="AS230" s="399"/>
      <c r="AT230" s="399"/>
      <c r="AU230" s="399"/>
      <c r="AV230" s="399"/>
      <c r="AW230" s="399"/>
      <c r="AX230" s="399"/>
      <c r="AY230" s="399"/>
      <c r="AZ230" s="399"/>
      <c r="BA230" s="399"/>
      <c r="BB230" s="399"/>
      <c r="BC230" s="399"/>
      <c r="BD230" s="399"/>
      <c r="BE230" s="399"/>
      <c r="BF230" s="399"/>
      <c r="BG230" s="399"/>
      <c r="BH230" s="399"/>
      <c r="BI230" s="399"/>
      <c r="BJ230" s="399"/>
      <c r="BK230" s="399"/>
      <c r="BL230" s="399"/>
      <c r="BM230" s="399"/>
      <c r="BN230" s="399"/>
      <c r="BO230" s="399"/>
      <c r="BP230" s="399"/>
      <c r="BQ230" s="399"/>
      <c r="BR230" s="399"/>
      <c r="BS230" s="399"/>
      <c r="BT230" s="399"/>
      <c r="BU230" s="399"/>
      <c r="BV230" s="399"/>
      <c r="BW230" s="399"/>
      <c r="BX230" s="399"/>
      <c r="BY230" s="399"/>
      <c r="BZ230" s="399"/>
      <c r="CA230" s="399"/>
      <c r="CB230" s="399"/>
      <c r="CC230" s="399"/>
      <c r="CD230" s="399"/>
      <c r="CE230" s="399"/>
      <c r="CF230" s="399"/>
      <c r="CG230" s="399"/>
      <c r="CH230" s="399"/>
      <c r="CI230" s="399"/>
      <c r="CJ230" s="399"/>
      <c r="CK230" s="399"/>
      <c r="CL230" s="399"/>
      <c r="CM230" s="399"/>
      <c r="CN230" s="399"/>
      <c r="CO230" s="399"/>
      <c r="CP230" s="399"/>
      <c r="CQ230" s="399"/>
      <c r="CR230" s="399"/>
      <c r="CS230" s="399"/>
      <c r="CT230" s="399"/>
      <c r="CU230" s="399"/>
      <c r="CV230" s="399"/>
      <c r="CW230" s="399"/>
      <c r="CX230" s="399"/>
      <c r="CY230" s="399"/>
      <c r="CZ230" s="399"/>
      <c r="DA230" s="399"/>
      <c r="DB230" s="399"/>
      <c r="DC230" s="399"/>
      <c r="DD230" s="399"/>
      <c r="DE230" s="399"/>
      <c r="DF230" s="399"/>
      <c r="DG230" s="399"/>
      <c r="DH230" s="399"/>
      <c r="DI230" s="399"/>
    </row>
    <row r="231" spans="1:113" x14ac:dyDescent="0.25">
      <c r="A231" s="160"/>
      <c r="B231" s="177" t="s">
        <v>736</v>
      </c>
      <c r="C231" s="54"/>
      <c r="D231" s="54"/>
      <c r="E231" s="54"/>
      <c r="F231" s="54"/>
      <c r="G231" s="178">
        <f t="shared" ref="G231:G239" si="125">+E231+F231</f>
        <v>0</v>
      </c>
      <c r="H231" s="160"/>
      <c r="I231" s="179">
        <f t="shared" ref="I231:I239" si="126">+G231-H231</f>
        <v>0</v>
      </c>
      <c r="J231" s="179">
        <f t="shared" ref="J231:J239" si="127">I231*C231</f>
        <v>0</v>
      </c>
      <c r="K231" s="180">
        <f t="shared" ref="K231:K239" si="128">+D231*I231</f>
        <v>0</v>
      </c>
      <c r="L231"/>
      <c r="M231" s="320">
        <f t="shared" ref="M231" si="129">SUM(N231:DJ231)</f>
        <v>0</v>
      </c>
      <c r="N231" s="311"/>
      <c r="O231" s="319"/>
      <c r="P231" s="319"/>
      <c r="Q231" s="319"/>
      <c r="R231" s="319"/>
      <c r="S231" s="317"/>
      <c r="T231" s="317"/>
      <c r="U231" s="317"/>
      <c r="V231" s="317"/>
      <c r="W231" s="317"/>
      <c r="X231" s="317"/>
      <c r="Y231" s="317"/>
      <c r="Z231" s="317"/>
      <c r="AA231" s="317"/>
      <c r="AB231" s="317"/>
      <c r="AC231" s="317"/>
      <c r="AD231" s="317"/>
      <c r="AE231" s="317"/>
      <c r="AF231" s="317"/>
      <c r="AG231" s="317"/>
      <c r="AH231" s="317"/>
      <c r="AI231" s="317"/>
      <c r="AJ231" s="317"/>
      <c r="AK231" s="317"/>
      <c r="AL231" s="317"/>
      <c r="AM231" s="317"/>
      <c r="AN231" s="317"/>
      <c r="AO231" s="317"/>
      <c r="AP231" s="317"/>
      <c r="AQ231" s="317"/>
      <c r="AR231" s="317"/>
      <c r="AS231" s="317"/>
      <c r="AT231" s="317"/>
      <c r="AU231" s="317"/>
      <c r="AV231" s="317"/>
      <c r="AW231" s="317"/>
      <c r="AX231" s="317"/>
      <c r="AY231" s="317"/>
      <c r="AZ231" s="317"/>
      <c r="BA231" s="317"/>
      <c r="BB231" s="317"/>
      <c r="BC231" s="317"/>
      <c r="BD231" s="317"/>
      <c r="BE231" s="317"/>
      <c r="BF231" s="317"/>
      <c r="BG231" s="317"/>
      <c r="BH231" s="317"/>
      <c r="BI231" s="317"/>
      <c r="BJ231" s="317"/>
      <c r="BK231" s="317"/>
      <c r="BL231" s="317"/>
      <c r="BM231" s="317"/>
      <c r="BN231" s="317"/>
      <c r="BO231" s="317"/>
      <c r="BP231" s="317"/>
      <c r="BQ231" s="317"/>
      <c r="BR231" s="317"/>
      <c r="BS231" s="317"/>
      <c r="BT231" s="317"/>
      <c r="BU231" s="317"/>
      <c r="BV231" s="317"/>
      <c r="BW231" s="317"/>
      <c r="BX231" s="317"/>
      <c r="BY231" s="317"/>
      <c r="BZ231" s="317"/>
      <c r="CA231" s="317"/>
      <c r="CB231" s="317"/>
      <c r="CC231" s="317"/>
      <c r="CD231" s="317"/>
      <c r="CE231" s="317"/>
      <c r="CF231" s="317"/>
      <c r="CG231" s="317"/>
      <c r="CH231" s="317"/>
      <c r="CI231" s="317"/>
      <c r="CJ231" s="317"/>
      <c r="CK231" s="317"/>
      <c r="CL231" s="317"/>
      <c r="CM231" s="317"/>
      <c r="CN231" s="317"/>
      <c r="CO231" s="317"/>
      <c r="CP231" s="317"/>
      <c r="CQ231" s="317"/>
      <c r="CR231" s="317"/>
      <c r="CS231" s="317"/>
      <c r="CT231" s="317"/>
      <c r="CU231" s="317"/>
      <c r="CV231" s="317"/>
      <c r="CW231" s="317"/>
      <c r="CX231" s="317"/>
      <c r="CY231" s="317"/>
      <c r="CZ231" s="317"/>
      <c r="DA231" s="317"/>
      <c r="DB231" s="317"/>
      <c r="DC231" s="317"/>
      <c r="DD231" s="317"/>
      <c r="DE231" s="317"/>
      <c r="DF231" s="317"/>
      <c r="DG231" s="317"/>
      <c r="DH231" s="317"/>
      <c r="DI231" s="317"/>
    </row>
    <row r="232" spans="1:113" x14ac:dyDescent="0.25">
      <c r="A232" s="152">
        <v>1</v>
      </c>
      <c r="B232" s="213" t="s">
        <v>784</v>
      </c>
      <c r="C232" s="43">
        <v>5000</v>
      </c>
      <c r="D232" s="175">
        <v>1265.25</v>
      </c>
      <c r="E232" s="43">
        <v>0</v>
      </c>
      <c r="F232" s="59"/>
      <c r="G232" s="139">
        <f t="shared" si="125"/>
        <v>0</v>
      </c>
      <c r="H232" s="59">
        <f>4000-4000+2496-2496+2000-2000</f>
        <v>0</v>
      </c>
      <c r="I232" s="56">
        <f t="shared" si="126"/>
        <v>0</v>
      </c>
      <c r="J232" s="56">
        <f t="shared" si="127"/>
        <v>0</v>
      </c>
      <c r="K232" s="57">
        <f t="shared" si="128"/>
        <v>0</v>
      </c>
      <c r="L232"/>
      <c r="M232" s="320">
        <f t="shared" si="119"/>
        <v>0</v>
      </c>
      <c r="N232" s="311"/>
      <c r="O232" s="319"/>
      <c r="P232" s="319"/>
      <c r="Q232" s="319"/>
      <c r="R232" s="319"/>
      <c r="S232" s="317"/>
      <c r="T232" s="317"/>
      <c r="U232" s="317"/>
      <c r="V232" s="317"/>
      <c r="W232" s="317"/>
      <c r="X232" s="317"/>
      <c r="Y232" s="317"/>
      <c r="Z232" s="317"/>
      <c r="AA232" s="317"/>
      <c r="AB232" s="317"/>
      <c r="AC232" s="317"/>
      <c r="AD232" s="317"/>
      <c r="AE232" s="317"/>
      <c r="AF232" s="317"/>
      <c r="AG232" s="317"/>
      <c r="AH232" s="317"/>
      <c r="AI232" s="317"/>
      <c r="AJ232" s="317"/>
      <c r="AK232" s="317"/>
      <c r="AL232" s="317"/>
      <c r="AM232" s="317"/>
      <c r="AN232" s="317"/>
      <c r="AO232" s="317"/>
      <c r="AP232" s="317"/>
      <c r="AQ232" s="317"/>
      <c r="AR232" s="317"/>
      <c r="AS232" s="317"/>
      <c r="AT232" s="317"/>
      <c r="AU232" s="317"/>
      <c r="AV232" s="317"/>
      <c r="AW232" s="317"/>
      <c r="AX232" s="317"/>
      <c r="AY232" s="317"/>
      <c r="AZ232" s="317"/>
      <c r="BA232" s="317"/>
      <c r="BB232" s="317"/>
      <c r="BC232" s="317"/>
      <c r="BD232" s="317"/>
      <c r="BE232" s="317"/>
      <c r="BF232" s="317"/>
      <c r="BG232" s="317"/>
      <c r="BH232" s="317"/>
      <c r="BI232" s="317"/>
      <c r="BJ232" s="317"/>
      <c r="BK232" s="317"/>
      <c r="BL232" s="317"/>
      <c r="BM232" s="317"/>
      <c r="BN232" s="317"/>
      <c r="BO232" s="317"/>
      <c r="BP232" s="317"/>
      <c r="BQ232" s="317"/>
      <c r="BR232" s="317"/>
      <c r="BS232" s="317"/>
      <c r="BT232" s="317"/>
      <c r="BU232" s="317"/>
      <c r="BV232" s="317"/>
      <c r="BW232" s="317"/>
      <c r="BX232" s="317"/>
      <c r="BY232" s="317"/>
      <c r="BZ232" s="317"/>
      <c r="CA232" s="317"/>
      <c r="CB232" s="317"/>
      <c r="CC232" s="317"/>
      <c r="CD232" s="317"/>
      <c r="CE232" s="317"/>
      <c r="CF232" s="317"/>
      <c r="CG232" s="317"/>
      <c r="CH232" s="317"/>
      <c r="CI232" s="317"/>
      <c r="CJ232" s="317"/>
      <c r="CK232" s="317"/>
      <c r="CL232" s="317"/>
      <c r="CM232" s="317"/>
      <c r="CN232" s="317"/>
      <c r="CO232" s="317"/>
      <c r="CP232" s="317"/>
      <c r="CQ232" s="317"/>
      <c r="CR232" s="317"/>
      <c r="CS232" s="317"/>
      <c r="CT232" s="317"/>
      <c r="CU232" s="317"/>
      <c r="CV232" s="317"/>
      <c r="CW232" s="317"/>
      <c r="CX232" s="317"/>
      <c r="CY232" s="317"/>
      <c r="CZ232" s="317"/>
      <c r="DA232" s="317"/>
      <c r="DB232" s="317"/>
      <c r="DC232" s="317"/>
      <c r="DD232" s="317"/>
      <c r="DE232" s="317"/>
      <c r="DF232" s="317"/>
      <c r="DG232" s="317"/>
      <c r="DH232" s="317"/>
      <c r="DI232" s="317"/>
    </row>
    <row r="233" spans="1:113" x14ac:dyDescent="0.25">
      <c r="A233" s="152">
        <v>2</v>
      </c>
      <c r="B233" s="213" t="s">
        <v>788</v>
      </c>
      <c r="C233" s="43">
        <v>10000</v>
      </c>
      <c r="D233" s="182">
        <v>5304</v>
      </c>
      <c r="E233" s="102">
        <v>0</v>
      </c>
      <c r="F233" s="59">
        <f>14-14</f>
        <v>0</v>
      </c>
      <c r="G233" s="139">
        <f t="shared" si="125"/>
        <v>0</v>
      </c>
      <c r="H233" s="139">
        <f>1800+2700-4500</f>
        <v>0</v>
      </c>
      <c r="I233" s="56">
        <f t="shared" si="126"/>
        <v>0</v>
      </c>
      <c r="J233" s="56">
        <f t="shared" si="127"/>
        <v>0</v>
      </c>
      <c r="K233" s="57">
        <f t="shared" si="128"/>
        <v>0</v>
      </c>
      <c r="L233"/>
      <c r="M233" s="320">
        <f t="shared" si="119"/>
        <v>0</v>
      </c>
      <c r="N233" s="311"/>
      <c r="O233" s="319"/>
      <c r="P233" s="319"/>
      <c r="Q233" s="319"/>
      <c r="R233" s="319"/>
      <c r="S233" s="317"/>
      <c r="T233" s="317"/>
      <c r="U233" s="317"/>
      <c r="V233" s="317"/>
      <c r="W233" s="317"/>
      <c r="X233" s="317"/>
      <c r="Y233" s="317"/>
      <c r="Z233" s="317"/>
      <c r="AA233" s="317"/>
      <c r="AB233" s="317"/>
      <c r="AC233" s="317"/>
      <c r="AD233" s="317"/>
      <c r="AE233" s="317"/>
      <c r="AF233" s="317"/>
      <c r="AG233" s="317"/>
      <c r="AH233" s="317"/>
      <c r="AI233" s="317"/>
      <c r="AJ233" s="317"/>
      <c r="AK233" s="317"/>
      <c r="AL233" s="317"/>
      <c r="AM233" s="317"/>
      <c r="AN233" s="317"/>
      <c r="AO233" s="317"/>
      <c r="AP233" s="317"/>
      <c r="AQ233" s="317"/>
      <c r="AR233" s="317"/>
      <c r="AS233" s="317"/>
      <c r="AT233" s="317"/>
      <c r="AU233" s="317"/>
      <c r="AV233" s="317"/>
      <c r="AW233" s="317"/>
      <c r="AX233" s="317"/>
      <c r="AY233" s="317"/>
      <c r="AZ233" s="317"/>
      <c r="BA233" s="317"/>
      <c r="BB233" s="317"/>
      <c r="BC233" s="317"/>
      <c r="BD233" s="317"/>
      <c r="BE233" s="317"/>
      <c r="BF233" s="317"/>
      <c r="BG233" s="317"/>
      <c r="BH233" s="317"/>
      <c r="BI233" s="317"/>
      <c r="BJ233" s="317"/>
      <c r="BK233" s="317"/>
      <c r="BL233" s="317"/>
      <c r="BM233" s="317"/>
      <c r="BN233" s="317"/>
      <c r="BO233" s="317"/>
      <c r="BP233" s="317"/>
      <c r="BQ233" s="317"/>
      <c r="BR233" s="317"/>
      <c r="BS233" s="317"/>
      <c r="BT233" s="317"/>
      <c r="BU233" s="317"/>
      <c r="BV233" s="317"/>
      <c r="BW233" s="317"/>
      <c r="BX233" s="317"/>
      <c r="BY233" s="317"/>
      <c r="BZ233" s="317"/>
      <c r="CA233" s="317"/>
      <c r="CB233" s="317"/>
      <c r="CC233" s="317"/>
      <c r="CD233" s="317"/>
      <c r="CE233" s="317"/>
      <c r="CF233" s="317"/>
      <c r="CG233" s="317"/>
      <c r="CH233" s="317"/>
      <c r="CI233" s="317"/>
      <c r="CJ233" s="317"/>
      <c r="CK233" s="317"/>
      <c r="CL233" s="317"/>
      <c r="CM233" s="317"/>
      <c r="CN233" s="317"/>
      <c r="CO233" s="317"/>
      <c r="CP233" s="317"/>
      <c r="CQ233" s="317"/>
      <c r="CR233" s="317"/>
      <c r="CS233" s="317"/>
      <c r="CT233" s="317"/>
      <c r="CU233" s="317"/>
      <c r="CV233" s="317"/>
      <c r="CW233" s="317"/>
      <c r="CX233" s="317"/>
      <c r="CY233" s="317"/>
      <c r="CZ233" s="317"/>
      <c r="DA233" s="317"/>
      <c r="DB233" s="317"/>
      <c r="DC233" s="317"/>
      <c r="DD233" s="317"/>
      <c r="DE233" s="317"/>
      <c r="DF233" s="317"/>
      <c r="DG233" s="317"/>
      <c r="DH233" s="317"/>
      <c r="DI233" s="317"/>
    </row>
    <row r="234" spans="1:113" x14ac:dyDescent="0.25">
      <c r="A234" s="152">
        <v>3</v>
      </c>
      <c r="B234" s="213" t="s">
        <v>789</v>
      </c>
      <c r="C234" s="43">
        <v>18000</v>
      </c>
      <c r="D234" s="182">
        <v>5456.36</v>
      </c>
      <c r="E234" s="43">
        <v>32</v>
      </c>
      <c r="F234" s="59"/>
      <c r="G234" s="139">
        <f t="shared" si="125"/>
        <v>32</v>
      </c>
      <c r="H234" s="139">
        <f>500+2400-2900</f>
        <v>0</v>
      </c>
      <c r="I234" s="56">
        <f t="shared" si="126"/>
        <v>32</v>
      </c>
      <c r="J234" s="56">
        <f t="shared" si="127"/>
        <v>576000</v>
      </c>
      <c r="K234" s="57">
        <f t="shared" si="128"/>
        <v>174603.51999999999</v>
      </c>
      <c r="L234"/>
      <c r="M234" s="320">
        <f t="shared" si="119"/>
        <v>0</v>
      </c>
      <c r="N234" s="311"/>
      <c r="O234" s="319"/>
      <c r="P234" s="319"/>
      <c r="Q234" s="319"/>
      <c r="R234" s="319"/>
      <c r="S234" s="317"/>
      <c r="T234" s="317"/>
      <c r="U234" s="317"/>
      <c r="V234" s="317"/>
      <c r="W234" s="317"/>
      <c r="X234" s="317"/>
      <c r="Y234" s="317"/>
      <c r="Z234" s="317"/>
      <c r="AA234" s="317"/>
      <c r="AB234" s="317"/>
      <c r="AC234" s="317"/>
      <c r="AD234" s="317"/>
      <c r="AE234" s="317"/>
      <c r="AF234" s="317"/>
      <c r="AG234" s="317"/>
      <c r="AH234" s="317"/>
      <c r="AI234" s="317"/>
      <c r="AJ234" s="317"/>
      <c r="AK234" s="317"/>
      <c r="AL234" s="317"/>
      <c r="AM234" s="317"/>
      <c r="AN234" s="317"/>
      <c r="AO234" s="317"/>
      <c r="AP234" s="317"/>
      <c r="AQ234" s="317"/>
      <c r="AR234" s="317"/>
      <c r="AS234" s="317"/>
      <c r="AT234" s="317"/>
      <c r="AU234" s="317"/>
      <c r="AV234" s="317"/>
      <c r="AW234" s="317"/>
      <c r="AX234" s="317"/>
      <c r="AY234" s="317"/>
      <c r="AZ234" s="317"/>
      <c r="BA234" s="317"/>
      <c r="BB234" s="317"/>
      <c r="BC234" s="317"/>
      <c r="BD234" s="317"/>
      <c r="BE234" s="317"/>
      <c r="BF234" s="317"/>
      <c r="BG234" s="317"/>
      <c r="BH234" s="317"/>
      <c r="BI234" s="317"/>
      <c r="BJ234" s="317"/>
      <c r="BK234" s="317"/>
      <c r="BL234" s="317"/>
      <c r="BM234" s="317"/>
      <c r="BN234" s="317"/>
      <c r="BO234" s="317"/>
      <c r="BP234" s="317"/>
      <c r="BQ234" s="317"/>
      <c r="BR234" s="317"/>
      <c r="BS234" s="317"/>
      <c r="BT234" s="317"/>
      <c r="BU234" s="317"/>
      <c r="BV234" s="317"/>
      <c r="BW234" s="317"/>
      <c r="BX234" s="317"/>
      <c r="BY234" s="317"/>
      <c r="BZ234" s="317"/>
      <c r="CA234" s="317"/>
      <c r="CB234" s="317"/>
      <c r="CC234" s="317"/>
      <c r="CD234" s="317"/>
      <c r="CE234" s="317"/>
      <c r="CF234" s="317"/>
      <c r="CG234" s="317"/>
      <c r="CH234" s="317"/>
      <c r="CI234" s="317"/>
      <c r="CJ234" s="317"/>
      <c r="CK234" s="317"/>
      <c r="CL234" s="317"/>
      <c r="CM234" s="317"/>
      <c r="CN234" s="317"/>
      <c r="CO234" s="317"/>
      <c r="CP234" s="317"/>
      <c r="CQ234" s="317"/>
      <c r="CR234" s="317"/>
      <c r="CS234" s="317"/>
      <c r="CT234" s="317"/>
      <c r="CU234" s="317"/>
      <c r="CV234" s="317"/>
      <c r="CW234" s="317"/>
      <c r="CX234" s="317"/>
      <c r="CY234" s="317"/>
      <c r="CZ234" s="317"/>
      <c r="DA234" s="317"/>
      <c r="DB234" s="317"/>
      <c r="DC234" s="317"/>
      <c r="DD234" s="317"/>
      <c r="DE234" s="317"/>
      <c r="DF234" s="317"/>
      <c r="DG234" s="317"/>
      <c r="DH234" s="317"/>
      <c r="DI234" s="317"/>
    </row>
    <row r="235" spans="1:113" x14ac:dyDescent="0.25">
      <c r="A235" s="152">
        <v>4</v>
      </c>
      <c r="B235" s="213" t="s">
        <v>795</v>
      </c>
      <c r="C235" s="43">
        <v>15000</v>
      </c>
      <c r="D235" s="182">
        <v>3594.5</v>
      </c>
      <c r="E235" s="102">
        <v>0</v>
      </c>
      <c r="F235" s="59">
        <f>5000-200-4800</f>
        <v>0</v>
      </c>
      <c r="G235" s="139">
        <f t="shared" si="125"/>
        <v>0</v>
      </c>
      <c r="H235" s="139">
        <f>100-100+69-69</f>
        <v>0</v>
      </c>
      <c r="I235" s="56">
        <f t="shared" si="126"/>
        <v>0</v>
      </c>
      <c r="J235" s="56">
        <f t="shared" si="127"/>
        <v>0</v>
      </c>
      <c r="K235" s="57">
        <f t="shared" si="128"/>
        <v>0</v>
      </c>
      <c r="L235"/>
      <c r="M235" s="320">
        <f>SUM(N235:DJ235)</f>
        <v>0</v>
      </c>
      <c r="N235" s="311"/>
      <c r="O235" s="319"/>
      <c r="P235" s="319"/>
      <c r="Q235" s="319"/>
      <c r="R235" s="319"/>
      <c r="S235" s="317"/>
      <c r="T235" s="317"/>
      <c r="U235" s="317"/>
      <c r="V235" s="317"/>
      <c r="W235" s="317"/>
      <c r="X235" s="317"/>
      <c r="Y235" s="317"/>
      <c r="Z235" s="317"/>
      <c r="AA235" s="317"/>
      <c r="AB235" s="317"/>
      <c r="AC235" s="317"/>
      <c r="AD235" s="317"/>
      <c r="AE235" s="317"/>
      <c r="AF235" s="317"/>
      <c r="AG235" s="317"/>
      <c r="AH235" s="317"/>
      <c r="AI235" s="317"/>
      <c r="AJ235" s="317"/>
      <c r="AK235" s="317"/>
      <c r="AL235" s="317"/>
      <c r="AM235" s="317"/>
      <c r="AN235" s="317"/>
      <c r="AO235" s="317"/>
      <c r="AP235" s="317"/>
      <c r="AQ235" s="317"/>
      <c r="AR235" s="317"/>
      <c r="AS235" s="317"/>
      <c r="AT235" s="317"/>
      <c r="AU235" s="317"/>
      <c r="AV235" s="317"/>
      <c r="AW235" s="317"/>
      <c r="AX235" s="317"/>
      <c r="AY235" s="317"/>
      <c r="AZ235" s="317"/>
      <c r="BA235" s="317"/>
      <c r="BB235" s="317"/>
      <c r="BC235" s="317"/>
      <c r="BD235" s="317"/>
      <c r="BE235" s="317"/>
      <c r="BF235" s="317"/>
      <c r="BG235" s="317"/>
      <c r="BH235" s="317"/>
      <c r="BI235" s="317"/>
      <c r="BJ235" s="317"/>
      <c r="BK235" s="317"/>
      <c r="BL235" s="317"/>
      <c r="BM235" s="317"/>
      <c r="BN235" s="317"/>
      <c r="BO235" s="317"/>
      <c r="BP235" s="317"/>
      <c r="BQ235" s="317"/>
      <c r="BR235" s="317"/>
      <c r="BS235" s="317"/>
      <c r="BT235" s="317"/>
      <c r="BU235" s="317"/>
      <c r="BV235" s="317"/>
      <c r="BW235" s="317"/>
      <c r="BX235" s="317"/>
      <c r="BY235" s="317"/>
      <c r="BZ235" s="317"/>
      <c r="CA235" s="317"/>
      <c r="CB235" s="317"/>
      <c r="CC235" s="317"/>
      <c r="CD235" s="317"/>
      <c r="CE235" s="317"/>
      <c r="CF235" s="317"/>
      <c r="CG235" s="317"/>
      <c r="CH235" s="317"/>
      <c r="CI235" s="317"/>
      <c r="CJ235" s="317"/>
      <c r="CK235" s="317"/>
      <c r="CL235" s="317"/>
      <c r="CM235" s="317"/>
      <c r="CN235" s="317"/>
      <c r="CO235" s="317"/>
      <c r="CP235" s="317"/>
      <c r="CQ235" s="317"/>
      <c r="CR235" s="317"/>
      <c r="CS235" s="317"/>
      <c r="CT235" s="317"/>
      <c r="CU235" s="317"/>
      <c r="CV235" s="317"/>
      <c r="CW235" s="317"/>
      <c r="CX235" s="317"/>
      <c r="CY235" s="317"/>
      <c r="CZ235" s="317"/>
      <c r="DA235" s="317"/>
      <c r="DB235" s="317"/>
      <c r="DC235" s="317"/>
      <c r="DD235" s="317"/>
      <c r="DE235" s="317"/>
      <c r="DF235" s="317"/>
      <c r="DG235" s="317"/>
      <c r="DH235" s="317"/>
      <c r="DI235" s="317"/>
    </row>
    <row r="236" spans="1:113" x14ac:dyDescent="0.25">
      <c r="A236" s="152">
        <v>5</v>
      </c>
      <c r="B236" s="213" t="s">
        <v>808</v>
      </c>
      <c r="C236" s="43">
        <v>40000</v>
      </c>
      <c r="D236" s="182">
        <v>28594.5</v>
      </c>
      <c r="E236" s="102">
        <v>0</v>
      </c>
      <c r="F236" s="59">
        <f>200-200</f>
        <v>0</v>
      </c>
      <c r="G236" s="139">
        <f t="shared" si="125"/>
        <v>0</v>
      </c>
      <c r="H236" s="139">
        <f>39+160-199+1-1</f>
        <v>0</v>
      </c>
      <c r="I236" s="56">
        <f t="shared" si="126"/>
        <v>0</v>
      </c>
      <c r="J236" s="56">
        <f t="shared" si="127"/>
        <v>0</v>
      </c>
      <c r="K236" s="57">
        <f t="shared" si="128"/>
        <v>0</v>
      </c>
      <c r="L236"/>
      <c r="M236" s="314">
        <f t="shared" ref="M236:M249" si="130">SUM(N236:DJ236)</f>
        <v>0</v>
      </c>
      <c r="N236" s="310"/>
      <c r="O236" s="315"/>
      <c r="P236" s="315"/>
      <c r="Q236" s="315"/>
      <c r="R236" s="315"/>
      <c r="S236" s="55"/>
      <c r="T236" s="55"/>
      <c r="U236" s="55"/>
      <c r="V236" s="55"/>
      <c r="W236" s="55"/>
      <c r="X236" s="55"/>
      <c r="Y236" s="55"/>
      <c r="Z236" s="55"/>
      <c r="AA236" s="55"/>
      <c r="AB236" s="55"/>
      <c r="AC236" s="55"/>
      <c r="AD236" s="55"/>
      <c r="AE236" s="55"/>
      <c r="AF236" s="55"/>
      <c r="AG236" s="55"/>
      <c r="AH236" s="55"/>
      <c r="AI236" s="55"/>
      <c r="AJ236" s="55"/>
      <c r="AK236" s="55"/>
      <c r="AL236" s="55"/>
      <c r="AM236" s="55"/>
      <c r="AN236" s="55"/>
      <c r="AO236" s="55"/>
      <c r="AP236" s="55"/>
      <c r="AQ236" s="55"/>
      <c r="AR236" s="55"/>
      <c r="AS236" s="55"/>
      <c r="AT236" s="55"/>
      <c r="AU236" s="55"/>
      <c r="AV236" s="55"/>
      <c r="AW236" s="55"/>
      <c r="AX236" s="55"/>
      <c r="AY236" s="55"/>
      <c r="AZ236" s="55"/>
      <c r="BA236" s="55"/>
      <c r="BB236" s="55"/>
      <c r="BC236" s="55"/>
      <c r="BD236" s="55"/>
      <c r="BE236" s="55"/>
      <c r="BF236" s="55"/>
      <c r="BG236" s="55"/>
      <c r="BH236" s="55"/>
      <c r="BI236" s="55"/>
      <c r="BJ236" s="55"/>
      <c r="BK236" s="55"/>
      <c r="BL236" s="55"/>
      <c r="BM236" s="55"/>
      <c r="BN236" s="55"/>
      <c r="BO236" s="55"/>
      <c r="BP236" s="55"/>
      <c r="BQ236" s="55"/>
      <c r="BR236" s="55"/>
      <c r="BS236" s="55"/>
      <c r="BT236" s="55"/>
      <c r="BU236" s="55"/>
      <c r="BV236" s="55"/>
      <c r="BW236" s="55"/>
      <c r="BX236" s="55"/>
      <c r="BY236" s="55"/>
      <c r="BZ236" s="55"/>
      <c r="CA236" s="55"/>
      <c r="CB236" s="55"/>
      <c r="CC236" s="55"/>
      <c r="CD236" s="55"/>
      <c r="CE236" s="55"/>
      <c r="CF236" s="55"/>
      <c r="CG236" s="55"/>
      <c r="CH236" s="55"/>
      <c r="CI236" s="55"/>
      <c r="CJ236" s="55"/>
      <c r="CK236" s="55"/>
      <c r="CL236" s="55"/>
      <c r="CM236" s="55"/>
      <c r="CN236" s="55"/>
      <c r="CO236" s="55"/>
      <c r="CP236" s="55"/>
      <c r="CQ236" s="55"/>
      <c r="CR236" s="55"/>
      <c r="CS236" s="55"/>
      <c r="CT236" s="55"/>
      <c r="CU236" s="55"/>
      <c r="CV236" s="55"/>
      <c r="CW236" s="55"/>
      <c r="CX236" s="55"/>
      <c r="CY236" s="55"/>
      <c r="CZ236" s="55"/>
      <c r="DA236" s="55"/>
      <c r="DB236" s="55"/>
      <c r="DC236" s="55"/>
      <c r="DD236" s="55"/>
      <c r="DE236" s="55"/>
      <c r="DF236" s="55"/>
      <c r="DG236" s="55"/>
      <c r="DH236" s="55"/>
      <c r="DI236" s="55"/>
    </row>
    <row r="237" spans="1:113" x14ac:dyDescent="0.25">
      <c r="A237" s="152">
        <v>6</v>
      </c>
      <c r="B237" s="60" t="s">
        <v>811</v>
      </c>
      <c r="C237" s="43">
        <v>64000</v>
      </c>
      <c r="D237" s="263">
        <v>9200</v>
      </c>
      <c r="E237" s="102">
        <v>5396</v>
      </c>
      <c r="F237" s="229">
        <f>20000-20000</f>
        <v>0</v>
      </c>
      <c r="G237" s="139">
        <f t="shared" si="125"/>
        <v>5396</v>
      </c>
      <c r="H237" s="139">
        <f>(700+250+4150+6900)+750+600+750+4+500-14604+2500</f>
        <v>2500</v>
      </c>
      <c r="I237" s="56">
        <f t="shared" si="126"/>
        <v>2896</v>
      </c>
      <c r="J237" s="56">
        <f t="shared" si="127"/>
        <v>185344000</v>
      </c>
      <c r="K237" s="57">
        <f t="shared" si="128"/>
        <v>26643200</v>
      </c>
      <c r="L237"/>
      <c r="M237" s="314">
        <f t="shared" si="130"/>
        <v>0</v>
      </c>
      <c r="N237" s="310"/>
      <c r="O237" s="315"/>
      <c r="P237" s="315"/>
      <c r="Q237" s="315"/>
      <c r="R237" s="315"/>
      <c r="S237" s="55"/>
      <c r="T237" s="55"/>
      <c r="U237" s="55"/>
      <c r="V237" s="55"/>
      <c r="W237" s="55"/>
      <c r="X237" s="55"/>
      <c r="Y237" s="55"/>
      <c r="Z237" s="55"/>
      <c r="AA237" s="55"/>
      <c r="AB237" s="55"/>
      <c r="AC237" s="55"/>
      <c r="AD237" s="55"/>
      <c r="AE237" s="55"/>
      <c r="AF237" s="55"/>
      <c r="AG237" s="55"/>
      <c r="AH237" s="55"/>
      <c r="AI237" s="55"/>
      <c r="AJ237" s="55"/>
      <c r="AK237" s="55"/>
      <c r="AL237" s="55"/>
      <c r="AM237" s="55"/>
      <c r="AN237" s="55"/>
      <c r="AO237" s="55"/>
      <c r="AP237" s="55"/>
      <c r="AQ237" s="55"/>
      <c r="AR237" s="55"/>
      <c r="AS237" s="55"/>
      <c r="AT237" s="55"/>
      <c r="AU237" s="55"/>
      <c r="AV237" s="55"/>
      <c r="AW237" s="55"/>
      <c r="AX237" s="55"/>
      <c r="AY237" s="55"/>
      <c r="AZ237" s="55"/>
      <c r="BA237" s="55"/>
      <c r="BB237" s="55"/>
      <c r="BC237" s="55"/>
      <c r="BD237" s="55"/>
      <c r="BE237" s="55"/>
      <c r="BF237" s="55"/>
      <c r="BG237" s="55"/>
      <c r="BH237" s="55"/>
      <c r="BI237" s="55"/>
      <c r="BJ237" s="55"/>
      <c r="BK237" s="55"/>
      <c r="BL237" s="55"/>
      <c r="BM237" s="55"/>
      <c r="BN237" s="55"/>
      <c r="BO237" s="55"/>
      <c r="BP237" s="55"/>
      <c r="BQ237" s="55"/>
      <c r="BR237" s="55"/>
      <c r="BS237" s="55"/>
      <c r="BT237" s="55"/>
      <c r="BU237" s="55"/>
      <c r="BV237" s="55"/>
      <c r="BW237" s="55"/>
      <c r="BX237" s="55"/>
      <c r="BY237" s="55"/>
      <c r="BZ237" s="55"/>
      <c r="CA237" s="55"/>
      <c r="CB237" s="55"/>
      <c r="CC237" s="55"/>
      <c r="CD237" s="55"/>
      <c r="CE237" s="55"/>
      <c r="CF237" s="55"/>
      <c r="CG237" s="55"/>
      <c r="CH237" s="55"/>
      <c r="CI237" s="55"/>
      <c r="CJ237" s="55"/>
      <c r="CK237" s="55"/>
      <c r="CL237" s="55"/>
      <c r="CM237" s="55"/>
      <c r="CN237" s="55"/>
      <c r="CO237" s="55"/>
      <c r="CP237" s="55"/>
      <c r="CQ237" s="55"/>
      <c r="CR237" s="55"/>
      <c r="CS237" s="55"/>
      <c r="CT237" s="55"/>
      <c r="CU237" s="55"/>
      <c r="CV237" s="55"/>
      <c r="CW237" s="55"/>
      <c r="CX237" s="55"/>
      <c r="CY237" s="55"/>
      <c r="CZ237" s="55"/>
      <c r="DA237" s="55"/>
      <c r="DB237" s="55"/>
      <c r="DC237" s="55"/>
      <c r="DD237" s="55"/>
      <c r="DE237" s="55"/>
      <c r="DF237" s="55"/>
      <c r="DG237" s="55"/>
      <c r="DH237" s="55"/>
      <c r="DI237" s="55"/>
    </row>
    <row r="238" spans="1:113" x14ac:dyDescent="0.25">
      <c r="A238" s="152">
        <v>7</v>
      </c>
      <c r="B238" s="60" t="s">
        <v>812</v>
      </c>
      <c r="C238" s="43">
        <v>36000</v>
      </c>
      <c r="D238" s="262">
        <v>34323</v>
      </c>
      <c r="E238" s="43">
        <v>241</v>
      </c>
      <c r="F238" s="59">
        <f>9500-9500+500-500</f>
        <v>0</v>
      </c>
      <c r="G238" s="139">
        <f t="shared" si="125"/>
        <v>241</v>
      </c>
      <c r="H238" s="139">
        <f>50+50-100+500+5-505</f>
        <v>0</v>
      </c>
      <c r="I238" s="56">
        <f t="shared" si="126"/>
        <v>241</v>
      </c>
      <c r="J238" s="56">
        <f t="shared" si="127"/>
        <v>8676000</v>
      </c>
      <c r="K238" s="57">
        <f t="shared" si="128"/>
        <v>8271843</v>
      </c>
      <c r="L238"/>
      <c r="M238" s="314">
        <f t="shared" si="130"/>
        <v>0</v>
      </c>
      <c r="N238" s="310"/>
      <c r="O238" s="315"/>
      <c r="P238" s="315"/>
      <c r="Q238" s="315"/>
      <c r="R238" s="315"/>
      <c r="S238" s="55"/>
      <c r="T238" s="55"/>
      <c r="U238" s="55"/>
      <c r="V238" s="55"/>
      <c r="W238" s="55"/>
      <c r="X238" s="55"/>
      <c r="Y238" s="55"/>
      <c r="Z238" s="55"/>
      <c r="AA238" s="55"/>
      <c r="AB238" s="55"/>
      <c r="AC238" s="55"/>
      <c r="AD238" s="55"/>
      <c r="AE238" s="55"/>
      <c r="AF238" s="55"/>
      <c r="AG238" s="55"/>
      <c r="AH238" s="55"/>
      <c r="AI238" s="55"/>
      <c r="AJ238" s="55"/>
      <c r="AK238" s="55"/>
      <c r="AL238" s="55"/>
      <c r="AM238" s="55"/>
      <c r="AN238" s="55"/>
      <c r="AO238" s="55"/>
      <c r="AP238" s="55"/>
      <c r="AQ238" s="55"/>
      <c r="AR238" s="55"/>
      <c r="AS238" s="55"/>
      <c r="AT238" s="55"/>
      <c r="AU238" s="55"/>
      <c r="AV238" s="55"/>
      <c r="AW238" s="55"/>
      <c r="AX238" s="55"/>
      <c r="AY238" s="55"/>
      <c r="AZ238" s="55"/>
      <c r="BA238" s="55"/>
      <c r="BB238" s="55"/>
      <c r="BC238" s="55"/>
      <c r="BD238" s="55"/>
      <c r="BE238" s="55"/>
      <c r="BF238" s="55"/>
      <c r="BG238" s="55"/>
      <c r="BH238" s="55"/>
      <c r="BI238" s="55"/>
      <c r="BJ238" s="55"/>
      <c r="BK238" s="55"/>
      <c r="BL238" s="55"/>
      <c r="BM238" s="55"/>
      <c r="BN238" s="55"/>
      <c r="BO238" s="55"/>
      <c r="BP238" s="55"/>
      <c r="BQ238" s="55"/>
      <c r="BR238" s="55"/>
      <c r="BS238" s="55"/>
      <c r="BT238" s="55"/>
      <c r="BU238" s="55"/>
      <c r="BV238" s="55"/>
      <c r="BW238" s="55"/>
      <c r="BX238" s="55"/>
      <c r="BY238" s="55"/>
      <c r="BZ238" s="55"/>
      <c r="CA238" s="55"/>
      <c r="CB238" s="55"/>
      <c r="CC238" s="55"/>
      <c r="CD238" s="55"/>
      <c r="CE238" s="55"/>
      <c r="CF238" s="55"/>
      <c r="CG238" s="55"/>
      <c r="CH238" s="55"/>
      <c r="CI238" s="55"/>
      <c r="CJ238" s="55"/>
      <c r="CK238" s="55"/>
      <c r="CL238" s="55"/>
      <c r="CM238" s="55"/>
      <c r="CN238" s="55"/>
      <c r="CO238" s="55"/>
      <c r="CP238" s="55"/>
      <c r="CQ238" s="55"/>
      <c r="CR238" s="55"/>
      <c r="CS238" s="55"/>
      <c r="CT238" s="55"/>
      <c r="CU238" s="55"/>
      <c r="CV238" s="55"/>
      <c r="CW238" s="55"/>
      <c r="CX238" s="55"/>
      <c r="CY238" s="55"/>
      <c r="CZ238" s="55"/>
      <c r="DA238" s="55"/>
      <c r="DB238" s="55"/>
      <c r="DC238" s="55"/>
      <c r="DD238" s="55"/>
      <c r="DE238" s="55"/>
      <c r="DF238" s="55"/>
      <c r="DG238" s="55"/>
      <c r="DH238" s="55"/>
      <c r="DI238" s="55"/>
    </row>
    <row r="239" spans="1:113" x14ac:dyDescent="0.25">
      <c r="A239" s="152">
        <v>8</v>
      </c>
      <c r="B239" s="60" t="s">
        <v>813</v>
      </c>
      <c r="C239" s="43">
        <v>18000</v>
      </c>
      <c r="D239" s="182">
        <v>7603</v>
      </c>
      <c r="E239" s="43">
        <v>0</v>
      </c>
      <c r="F239" s="229">
        <f>2566-2566</f>
        <v>0</v>
      </c>
      <c r="G239" s="139">
        <f t="shared" si="125"/>
        <v>0</v>
      </c>
      <c r="H239" s="55">
        <f>2566-2566</f>
        <v>0</v>
      </c>
      <c r="I239" s="56">
        <f t="shared" si="126"/>
        <v>0</v>
      </c>
      <c r="J239" s="56">
        <f t="shared" si="127"/>
        <v>0</v>
      </c>
      <c r="K239" s="57">
        <f t="shared" si="128"/>
        <v>0</v>
      </c>
      <c r="L239"/>
      <c r="M239" s="314">
        <f t="shared" si="130"/>
        <v>0</v>
      </c>
      <c r="N239" s="310"/>
      <c r="O239" s="315"/>
      <c r="P239" s="315"/>
      <c r="Q239" s="315"/>
      <c r="R239" s="315"/>
      <c r="S239" s="55"/>
      <c r="T239" s="55"/>
      <c r="U239" s="55"/>
      <c r="V239" s="55"/>
      <c r="W239" s="55"/>
      <c r="X239" s="55"/>
      <c r="Y239" s="55"/>
      <c r="Z239" s="55"/>
      <c r="AA239" s="55"/>
      <c r="AB239" s="55"/>
      <c r="AC239" s="55"/>
      <c r="AD239" s="55"/>
      <c r="AE239" s="55"/>
      <c r="AF239" s="55"/>
      <c r="AG239" s="55"/>
      <c r="AH239" s="55"/>
      <c r="AI239" s="55"/>
      <c r="AJ239" s="55"/>
      <c r="AK239" s="55"/>
      <c r="AL239" s="55"/>
      <c r="AM239" s="55"/>
      <c r="AN239" s="55"/>
      <c r="AO239" s="55"/>
      <c r="AP239" s="55"/>
      <c r="AQ239" s="55"/>
      <c r="AR239" s="55"/>
      <c r="AS239" s="55"/>
      <c r="AT239" s="55"/>
      <c r="AU239" s="55"/>
      <c r="AV239" s="55"/>
      <c r="AW239" s="55"/>
      <c r="AX239" s="55"/>
      <c r="AY239" s="55"/>
      <c r="AZ239" s="55"/>
      <c r="BA239" s="55"/>
      <c r="BB239" s="55"/>
      <c r="BC239" s="55"/>
      <c r="BD239" s="55"/>
      <c r="BE239" s="55"/>
      <c r="BF239" s="55"/>
      <c r="BG239" s="55"/>
      <c r="BH239" s="55"/>
      <c r="BI239" s="55"/>
      <c r="BJ239" s="55"/>
      <c r="BK239" s="55"/>
      <c r="BL239" s="55"/>
      <c r="BM239" s="55"/>
      <c r="BN239" s="55"/>
      <c r="BO239" s="55"/>
      <c r="BP239" s="55"/>
      <c r="BQ239" s="55"/>
      <c r="BR239" s="55"/>
      <c r="BS239" s="55"/>
      <c r="BT239" s="55"/>
      <c r="BU239" s="55"/>
      <c r="BV239" s="55"/>
      <c r="BW239" s="55"/>
      <c r="BX239" s="55"/>
      <c r="BY239" s="55"/>
      <c r="BZ239" s="55"/>
      <c r="CA239" s="55"/>
      <c r="CB239" s="55"/>
      <c r="CC239" s="55"/>
      <c r="CD239" s="55"/>
      <c r="CE239" s="55"/>
      <c r="CF239" s="55"/>
      <c r="CG239" s="55"/>
      <c r="CH239" s="55"/>
      <c r="CI239" s="55"/>
      <c r="CJ239" s="55"/>
      <c r="CK239" s="55"/>
      <c r="CL239" s="55"/>
      <c r="CM239" s="55"/>
      <c r="CN239" s="55"/>
      <c r="CO239" s="55"/>
      <c r="CP239" s="55"/>
      <c r="CQ239" s="55"/>
      <c r="CR239" s="55"/>
      <c r="CS239" s="55"/>
      <c r="CT239" s="55"/>
      <c r="CU239" s="55"/>
      <c r="CV239" s="55"/>
      <c r="CW239" s="55"/>
      <c r="CX239" s="55"/>
      <c r="CY239" s="55"/>
      <c r="CZ239" s="55"/>
      <c r="DA239" s="55"/>
      <c r="DB239" s="55"/>
      <c r="DC239" s="55"/>
      <c r="DD239" s="55"/>
      <c r="DE239" s="55"/>
      <c r="DF239" s="55"/>
      <c r="DG239" s="55"/>
      <c r="DH239" s="55"/>
      <c r="DI239" s="55"/>
    </row>
    <row r="240" spans="1:113" x14ac:dyDescent="0.25">
      <c r="A240" s="170">
        <v>9</v>
      </c>
      <c r="B240" s="121" t="s">
        <v>832</v>
      </c>
      <c r="C240" s="122">
        <v>36000</v>
      </c>
      <c r="D240" s="262">
        <v>4109</v>
      </c>
      <c r="E240" s="102">
        <v>0</v>
      </c>
      <c r="F240" s="59">
        <f>50000-50000</f>
        <v>0</v>
      </c>
      <c r="G240" s="139">
        <f t="shared" ref="G240:G248" si="131">+E240+F240</f>
        <v>0</v>
      </c>
      <c r="H240" s="139">
        <f>3000+2794-5794+2000-2000</f>
        <v>0</v>
      </c>
      <c r="I240" s="56">
        <f t="shared" ref="I240:I242" si="132">+G240-H240</f>
        <v>0</v>
      </c>
      <c r="J240" s="56">
        <f t="shared" ref="J240:J242" si="133">I240*C240</f>
        <v>0</v>
      </c>
      <c r="K240" s="57">
        <f t="shared" ref="K240:K242" si="134">+D240*I240</f>
        <v>0</v>
      </c>
      <c r="L240"/>
      <c r="M240" s="314">
        <f t="shared" si="130"/>
        <v>0</v>
      </c>
      <c r="N240" s="310"/>
      <c r="O240" s="315"/>
      <c r="P240" s="315"/>
      <c r="Q240" s="315"/>
      <c r="R240" s="315"/>
      <c r="S240" s="55"/>
      <c r="T240" s="55"/>
      <c r="U240" s="55"/>
      <c r="V240" s="55"/>
      <c r="W240" s="55"/>
      <c r="X240" s="55"/>
      <c r="Y240" s="55"/>
      <c r="Z240" s="55"/>
      <c r="AA240" s="55"/>
      <c r="AB240" s="55"/>
      <c r="AC240" s="55"/>
      <c r="AD240" s="55"/>
      <c r="AE240" s="55"/>
      <c r="AF240" s="55"/>
      <c r="AG240" s="55"/>
      <c r="AH240" s="55"/>
      <c r="AI240" s="55"/>
      <c r="AJ240" s="55"/>
      <c r="AK240" s="55"/>
      <c r="AL240" s="55"/>
      <c r="AM240" s="55"/>
      <c r="AN240" s="55"/>
      <c r="AO240" s="55"/>
      <c r="AP240" s="55"/>
      <c r="AQ240" s="55"/>
      <c r="AR240" s="55"/>
      <c r="AS240" s="55"/>
      <c r="AT240" s="55"/>
      <c r="AU240" s="55"/>
      <c r="AV240" s="55"/>
      <c r="AW240" s="55"/>
      <c r="AX240" s="55"/>
      <c r="AY240" s="55"/>
      <c r="AZ240" s="55"/>
      <c r="BA240" s="55"/>
      <c r="BB240" s="55"/>
      <c r="BC240" s="55"/>
      <c r="BD240" s="55"/>
      <c r="BE240" s="55"/>
      <c r="BF240" s="55"/>
      <c r="BG240" s="55"/>
      <c r="BH240" s="55"/>
      <c r="BI240" s="55"/>
      <c r="BJ240" s="55"/>
      <c r="BK240" s="55"/>
      <c r="BL240" s="55"/>
      <c r="BM240" s="55"/>
      <c r="BN240" s="55"/>
      <c r="BO240" s="55"/>
      <c r="BP240" s="55"/>
      <c r="BQ240" s="55"/>
      <c r="BR240" s="55"/>
      <c r="BS240" s="55"/>
      <c r="BT240" s="55"/>
      <c r="BU240" s="55"/>
      <c r="BV240" s="55"/>
      <c r="BW240" s="55"/>
      <c r="BX240" s="55"/>
      <c r="BY240" s="55"/>
      <c r="BZ240" s="55"/>
      <c r="CA240" s="55"/>
      <c r="CB240" s="55"/>
      <c r="CC240" s="55"/>
      <c r="CD240" s="55"/>
      <c r="CE240" s="55"/>
      <c r="CF240" s="55"/>
      <c r="CG240" s="55"/>
      <c r="CH240" s="55"/>
      <c r="CI240" s="55"/>
      <c r="CJ240" s="55"/>
      <c r="CK240" s="55"/>
      <c r="CL240" s="55"/>
      <c r="CM240" s="55"/>
      <c r="CN240" s="55"/>
      <c r="CO240" s="55"/>
      <c r="CP240" s="55"/>
      <c r="CQ240" s="55"/>
      <c r="CR240" s="55"/>
      <c r="CS240" s="55"/>
      <c r="CT240" s="55"/>
      <c r="CU240" s="55"/>
      <c r="CV240" s="55"/>
      <c r="CW240" s="55"/>
      <c r="CX240" s="55"/>
      <c r="CY240" s="55"/>
      <c r="CZ240" s="55"/>
      <c r="DA240" s="55"/>
      <c r="DB240" s="55"/>
      <c r="DC240" s="55"/>
      <c r="DD240" s="55"/>
      <c r="DE240" s="55"/>
      <c r="DF240" s="55"/>
      <c r="DG240" s="55"/>
      <c r="DH240" s="55"/>
      <c r="DI240" s="55"/>
    </row>
    <row r="241" spans="1:113" x14ac:dyDescent="0.25">
      <c r="A241" s="170">
        <v>10</v>
      </c>
      <c r="B241" s="121" t="s">
        <v>833</v>
      </c>
      <c r="C241" s="122">
        <v>10000</v>
      </c>
      <c r="D241" s="262">
        <v>3456.25</v>
      </c>
      <c r="E241" s="102">
        <v>0</v>
      </c>
      <c r="F241" s="59">
        <f>12000-12000</f>
        <v>0</v>
      </c>
      <c r="G241" s="139">
        <f t="shared" si="131"/>
        <v>0</v>
      </c>
      <c r="H241" s="139">
        <f>2150-2150</f>
        <v>0</v>
      </c>
      <c r="I241" s="56">
        <f t="shared" si="132"/>
        <v>0</v>
      </c>
      <c r="J241" s="56">
        <f t="shared" si="133"/>
        <v>0</v>
      </c>
      <c r="K241" s="57">
        <f t="shared" si="134"/>
        <v>0</v>
      </c>
      <c r="L241"/>
      <c r="M241" s="314">
        <f t="shared" si="130"/>
        <v>0</v>
      </c>
      <c r="N241" s="310"/>
      <c r="O241" s="315"/>
      <c r="P241" s="315"/>
      <c r="Q241" s="315"/>
      <c r="R241" s="315"/>
      <c r="S241" s="55"/>
      <c r="T241" s="55"/>
      <c r="U241" s="55"/>
      <c r="V241" s="55"/>
      <c r="W241" s="55"/>
      <c r="X241" s="55"/>
      <c r="Y241" s="55"/>
      <c r="Z241" s="55"/>
      <c r="AA241" s="55"/>
      <c r="AB241" s="55"/>
      <c r="AC241" s="55"/>
      <c r="AD241" s="55"/>
      <c r="AE241" s="55"/>
      <c r="AF241" s="55"/>
      <c r="AG241" s="55"/>
      <c r="AH241" s="55"/>
      <c r="AI241" s="55"/>
      <c r="AJ241" s="55"/>
      <c r="AK241" s="55"/>
      <c r="AL241" s="55"/>
      <c r="AM241" s="55"/>
      <c r="AN241" s="55"/>
      <c r="AO241" s="55"/>
      <c r="AP241" s="55"/>
      <c r="AQ241" s="55"/>
      <c r="AR241" s="55"/>
      <c r="AS241" s="55"/>
      <c r="AT241" s="55"/>
      <c r="AU241" s="55"/>
      <c r="AV241" s="55"/>
      <c r="AW241" s="55"/>
      <c r="AX241" s="55"/>
      <c r="AY241" s="55"/>
      <c r="AZ241" s="55"/>
      <c r="BA241" s="55"/>
      <c r="BB241" s="55"/>
      <c r="BC241" s="55"/>
      <c r="BD241" s="55"/>
      <c r="BE241" s="55"/>
      <c r="BF241" s="55"/>
      <c r="BG241" s="55"/>
      <c r="BH241" s="55"/>
      <c r="BI241" s="55"/>
      <c r="BJ241" s="55"/>
      <c r="BK241" s="55"/>
      <c r="BL241" s="55"/>
      <c r="BM241" s="55"/>
      <c r="BN241" s="55"/>
      <c r="BO241" s="55"/>
      <c r="BP241" s="55"/>
      <c r="BQ241" s="55"/>
      <c r="BR241" s="55"/>
      <c r="BS241" s="55"/>
      <c r="BT241" s="55"/>
      <c r="BU241" s="55"/>
      <c r="BV241" s="55"/>
      <c r="BW241" s="55"/>
      <c r="BX241" s="55"/>
      <c r="BY241" s="55"/>
      <c r="BZ241" s="55"/>
      <c r="CA241" s="55"/>
      <c r="CB241" s="55"/>
      <c r="CC241" s="55"/>
      <c r="CD241" s="55"/>
      <c r="CE241" s="55"/>
      <c r="CF241" s="55"/>
      <c r="CG241" s="55"/>
      <c r="CH241" s="55"/>
      <c r="CI241" s="55"/>
      <c r="CJ241" s="55"/>
      <c r="CK241" s="55"/>
      <c r="CL241" s="55"/>
      <c r="CM241" s="55"/>
      <c r="CN241" s="55"/>
      <c r="CO241" s="55"/>
      <c r="CP241" s="55"/>
      <c r="CQ241" s="55"/>
      <c r="CR241" s="55"/>
      <c r="CS241" s="55"/>
      <c r="CT241" s="55"/>
      <c r="CU241" s="55"/>
      <c r="CV241" s="55"/>
      <c r="CW241" s="55"/>
      <c r="CX241" s="55"/>
      <c r="CY241" s="55"/>
      <c r="CZ241" s="55"/>
      <c r="DA241" s="55"/>
      <c r="DB241" s="55"/>
      <c r="DC241" s="55"/>
      <c r="DD241" s="55"/>
      <c r="DE241" s="55"/>
      <c r="DF241" s="55"/>
      <c r="DG241" s="55"/>
      <c r="DH241" s="55"/>
      <c r="DI241" s="55"/>
    </row>
    <row r="242" spans="1:113" x14ac:dyDescent="0.25">
      <c r="A242" s="152">
        <v>11</v>
      </c>
      <c r="B242" s="213" t="s">
        <v>839</v>
      </c>
      <c r="C242" s="43">
        <v>10000</v>
      </c>
      <c r="D242" s="182">
        <v>2120.48</v>
      </c>
      <c r="E242" s="43">
        <v>800</v>
      </c>
      <c r="F242" s="59">
        <f t="shared" ref="F242" si="135">12000-12000</f>
        <v>0</v>
      </c>
      <c r="G242" s="139">
        <f t="shared" si="131"/>
        <v>800</v>
      </c>
      <c r="H242" s="139">
        <f>300-300+4000-4000</f>
        <v>0</v>
      </c>
      <c r="I242" s="56">
        <f t="shared" si="132"/>
        <v>800</v>
      </c>
      <c r="J242" s="56">
        <f t="shared" si="133"/>
        <v>8000000</v>
      </c>
      <c r="K242" s="57">
        <f t="shared" si="134"/>
        <v>1696384</v>
      </c>
      <c r="L242"/>
      <c r="M242" s="314">
        <f t="shared" si="130"/>
        <v>0</v>
      </c>
      <c r="N242" s="310"/>
      <c r="O242" s="315"/>
      <c r="P242" s="315"/>
      <c r="Q242" s="315"/>
      <c r="R242" s="315"/>
      <c r="S242" s="55"/>
      <c r="T242" s="55"/>
      <c r="U242" s="55"/>
      <c r="V242" s="55"/>
      <c r="W242" s="55"/>
      <c r="X242" s="55"/>
      <c r="Y242" s="55"/>
      <c r="Z242" s="55"/>
      <c r="AA242" s="55"/>
      <c r="AB242" s="55"/>
      <c r="AC242" s="55"/>
      <c r="AD242" s="55"/>
      <c r="AE242" s="55"/>
      <c r="AF242" s="55"/>
      <c r="AG242" s="55"/>
      <c r="AH242" s="55"/>
      <c r="AI242" s="55"/>
      <c r="AJ242" s="55"/>
      <c r="AK242" s="55"/>
      <c r="AL242" s="55"/>
      <c r="AM242" s="55"/>
      <c r="AN242" s="55"/>
      <c r="AO242" s="55"/>
      <c r="AP242" s="55"/>
      <c r="AQ242" s="55"/>
      <c r="AR242" s="55"/>
      <c r="AS242" s="55"/>
      <c r="AT242" s="55"/>
      <c r="AU242" s="55"/>
      <c r="AV242" s="55"/>
      <c r="AW242" s="55"/>
      <c r="AX242" s="55"/>
      <c r="AY242" s="55"/>
      <c r="AZ242" s="55"/>
      <c r="BA242" s="55"/>
      <c r="BB242" s="55"/>
      <c r="BC242" s="55"/>
      <c r="BD242" s="55"/>
      <c r="BE242" s="55"/>
      <c r="BF242" s="55"/>
      <c r="BG242" s="55"/>
      <c r="BH242" s="55"/>
      <c r="BI242" s="55"/>
      <c r="BJ242" s="55"/>
      <c r="BK242" s="55"/>
      <c r="BL242" s="55"/>
      <c r="BM242" s="55"/>
      <c r="BN242" s="55"/>
      <c r="BO242" s="55"/>
      <c r="BP242" s="55"/>
      <c r="BQ242" s="55"/>
      <c r="BR242" s="55"/>
      <c r="BS242" s="55"/>
      <c r="BT242" s="55"/>
      <c r="BU242" s="55"/>
      <c r="BV242" s="55"/>
      <c r="BW242" s="55"/>
      <c r="BX242" s="55"/>
      <c r="BY242" s="55"/>
      <c r="BZ242" s="55"/>
      <c r="CA242" s="55"/>
      <c r="CB242" s="55"/>
      <c r="CC242" s="55"/>
      <c r="CD242" s="55"/>
      <c r="CE242" s="55"/>
      <c r="CF242" s="55"/>
      <c r="CG242" s="55"/>
      <c r="CH242" s="55"/>
      <c r="CI242" s="55"/>
      <c r="CJ242" s="55"/>
      <c r="CK242" s="55"/>
      <c r="CL242" s="55"/>
      <c r="CM242" s="55"/>
      <c r="CN242" s="55"/>
      <c r="CO242" s="55"/>
      <c r="CP242" s="55"/>
      <c r="CQ242" s="55"/>
      <c r="CR242" s="55"/>
      <c r="CS242" s="55"/>
      <c r="CT242" s="55"/>
      <c r="CU242" s="55"/>
      <c r="CV242" s="55"/>
      <c r="CW242" s="55"/>
      <c r="CX242" s="55"/>
      <c r="CY242" s="55"/>
      <c r="CZ242" s="55"/>
      <c r="DA242" s="55"/>
      <c r="DB242" s="55"/>
      <c r="DC242" s="55"/>
      <c r="DD242" s="55"/>
      <c r="DE242" s="55"/>
      <c r="DF242" s="55"/>
      <c r="DG242" s="55"/>
      <c r="DH242" s="55"/>
      <c r="DI242" s="55"/>
    </row>
    <row r="243" spans="1:113" x14ac:dyDescent="0.25">
      <c r="A243" s="152">
        <v>12</v>
      </c>
      <c r="B243" s="213" t="s">
        <v>847</v>
      </c>
      <c r="C243" s="43">
        <v>10000</v>
      </c>
      <c r="D243" s="270">
        <v>2120.25</v>
      </c>
      <c r="E243" s="43">
        <v>0</v>
      </c>
      <c r="F243" s="59">
        <f>15000-15000</f>
        <v>0</v>
      </c>
      <c r="G243" s="139">
        <f t="shared" si="131"/>
        <v>0</v>
      </c>
      <c r="H243" s="139">
        <f>7000+4000-11000+1000-1000+2000-2000+1000-1000</f>
        <v>0</v>
      </c>
      <c r="I243" s="56">
        <f t="shared" ref="I243:I244" si="136">+G243-H243</f>
        <v>0</v>
      </c>
      <c r="J243" s="56">
        <f t="shared" ref="J243:J244" si="137">I243*C243</f>
        <v>0</v>
      </c>
      <c r="K243" s="57">
        <f t="shared" ref="K243:K244" si="138">+D243*I243</f>
        <v>0</v>
      </c>
      <c r="L243"/>
      <c r="M243" s="314">
        <f t="shared" si="130"/>
        <v>0</v>
      </c>
      <c r="N243" s="310"/>
      <c r="O243" s="315"/>
      <c r="P243" s="315"/>
      <c r="Q243" s="315"/>
      <c r="R243" s="315"/>
      <c r="S243" s="55"/>
      <c r="T243" s="55"/>
      <c r="U243" s="55"/>
      <c r="V243" s="55"/>
      <c r="W243" s="55"/>
      <c r="X243" s="55"/>
      <c r="Y243" s="55"/>
      <c r="Z243" s="55"/>
      <c r="AA243" s="55"/>
      <c r="AB243" s="55"/>
      <c r="AC243" s="55"/>
      <c r="AD243" s="55"/>
      <c r="AE243" s="55"/>
      <c r="AF243" s="55"/>
      <c r="AG243" s="55"/>
      <c r="AH243" s="55"/>
      <c r="AI243" s="55"/>
      <c r="AJ243" s="55"/>
      <c r="AK243" s="55"/>
      <c r="AL243" s="55"/>
      <c r="AM243" s="55"/>
      <c r="AN243" s="55"/>
      <c r="AO243" s="55"/>
      <c r="AP243" s="55"/>
      <c r="AQ243" s="55"/>
      <c r="AR243" s="55"/>
      <c r="AS243" s="55"/>
      <c r="AT243" s="55"/>
      <c r="AU243" s="55"/>
      <c r="AV243" s="55"/>
      <c r="AW243" s="55"/>
      <c r="AX243" s="55"/>
      <c r="AY243" s="55"/>
      <c r="AZ243" s="55"/>
      <c r="BA243" s="55"/>
      <c r="BB243" s="55"/>
      <c r="BC243" s="55"/>
      <c r="BD243" s="55"/>
      <c r="BE243" s="55"/>
      <c r="BF243" s="55"/>
      <c r="BG243" s="55"/>
      <c r="BH243" s="55"/>
      <c r="BI243" s="55"/>
      <c r="BJ243" s="55"/>
      <c r="BK243" s="55"/>
      <c r="BL243" s="55"/>
      <c r="BM243" s="55"/>
      <c r="BN243" s="55"/>
      <c r="BO243" s="55"/>
      <c r="BP243" s="55"/>
      <c r="BQ243" s="55"/>
      <c r="BR243" s="55"/>
      <c r="BS243" s="55"/>
      <c r="BT243" s="55"/>
      <c r="BU243" s="55"/>
      <c r="BV243" s="55"/>
      <c r="BW243" s="55"/>
      <c r="BX243" s="55"/>
      <c r="BY243" s="55"/>
      <c r="BZ243" s="55"/>
      <c r="CA243" s="55"/>
      <c r="CB243" s="55"/>
      <c r="CC243" s="55"/>
      <c r="CD243" s="55"/>
      <c r="CE243" s="55"/>
      <c r="CF243" s="55"/>
      <c r="CG243" s="55"/>
      <c r="CH243" s="55"/>
      <c r="CI243" s="55"/>
      <c r="CJ243" s="55"/>
      <c r="CK243" s="55"/>
      <c r="CL243" s="55"/>
      <c r="CM243" s="55"/>
      <c r="CN243" s="55"/>
      <c r="CO243" s="55"/>
      <c r="CP243" s="55"/>
      <c r="CQ243" s="55"/>
      <c r="CR243" s="55"/>
      <c r="CS243" s="55"/>
      <c r="CT243" s="55"/>
      <c r="CU243" s="55"/>
      <c r="CV243" s="55"/>
      <c r="CW243" s="55"/>
      <c r="CX243" s="55"/>
      <c r="CY243" s="55"/>
      <c r="CZ243" s="55"/>
      <c r="DA243" s="55"/>
      <c r="DB243" s="55"/>
      <c r="DC243" s="55"/>
      <c r="DD243" s="55"/>
      <c r="DE243" s="55"/>
      <c r="DF243" s="55"/>
      <c r="DG243" s="55"/>
      <c r="DH243" s="55"/>
      <c r="DI243" s="55"/>
    </row>
    <row r="244" spans="1:113" x14ac:dyDescent="0.25">
      <c r="A244" s="152">
        <v>13</v>
      </c>
      <c r="B244" s="213" t="s">
        <v>899</v>
      </c>
      <c r="C244" s="43">
        <v>18000</v>
      </c>
      <c r="D244" s="271">
        <v>3322</v>
      </c>
      <c r="E244" s="102">
        <v>0</v>
      </c>
      <c r="F244" s="59">
        <f>100000-100000</f>
        <v>0</v>
      </c>
      <c r="G244" s="139">
        <f t="shared" si="131"/>
        <v>0</v>
      </c>
      <c r="H244" s="139">
        <f>3000+9000+9000-21000+5200+12400+1700+6300-25600+1300-1300</f>
        <v>0</v>
      </c>
      <c r="I244" s="56">
        <f t="shared" si="136"/>
        <v>0</v>
      </c>
      <c r="J244" s="56">
        <f t="shared" si="137"/>
        <v>0</v>
      </c>
      <c r="K244" s="57">
        <f t="shared" si="138"/>
        <v>0</v>
      </c>
      <c r="L244"/>
      <c r="M244" s="314">
        <f t="shared" si="130"/>
        <v>0</v>
      </c>
      <c r="N244" s="310"/>
      <c r="O244" s="315"/>
      <c r="P244" s="315"/>
      <c r="Q244" s="315"/>
      <c r="R244" s="315"/>
      <c r="S244" s="55"/>
      <c r="T244" s="55"/>
      <c r="U244" s="55"/>
      <c r="V244" s="55"/>
      <c r="W244" s="55"/>
      <c r="X244" s="55"/>
      <c r="Y244" s="55"/>
      <c r="Z244" s="55"/>
      <c r="AA244" s="55"/>
      <c r="AB244" s="55"/>
      <c r="AC244" s="55"/>
      <c r="AD244" s="55"/>
      <c r="AE244" s="55"/>
      <c r="AF244" s="55"/>
      <c r="AG244" s="55"/>
      <c r="AH244" s="55"/>
      <c r="AI244" s="55"/>
      <c r="AJ244" s="55"/>
      <c r="AK244" s="55"/>
      <c r="AL244" s="55"/>
      <c r="AM244" s="55"/>
      <c r="AN244" s="55"/>
      <c r="AO244" s="55"/>
      <c r="AP244" s="55"/>
      <c r="AQ244" s="55"/>
      <c r="AR244" s="55"/>
      <c r="AS244" s="55"/>
      <c r="AT244" s="55"/>
      <c r="AU244" s="55"/>
      <c r="AV244" s="55"/>
      <c r="AW244" s="55"/>
      <c r="AX244" s="55"/>
      <c r="AY244" s="55"/>
      <c r="AZ244" s="55"/>
      <c r="BA244" s="55"/>
      <c r="BB244" s="55"/>
      <c r="BC244" s="55"/>
      <c r="BD244" s="55"/>
      <c r="BE244" s="55"/>
      <c r="BF244" s="55"/>
      <c r="BG244" s="55"/>
      <c r="BH244" s="55"/>
      <c r="BI244" s="55"/>
      <c r="BJ244" s="55"/>
      <c r="BK244" s="55"/>
      <c r="BL244" s="55"/>
      <c r="BM244" s="55"/>
      <c r="BN244" s="55"/>
      <c r="BO244" s="55"/>
      <c r="BP244" s="55"/>
      <c r="BQ244" s="55"/>
      <c r="BR244" s="55"/>
      <c r="BS244" s="55"/>
      <c r="BT244" s="55"/>
      <c r="BU244" s="55"/>
      <c r="BV244" s="55"/>
      <c r="BW244" s="55"/>
      <c r="BX244" s="55"/>
      <c r="BY244" s="55"/>
      <c r="BZ244" s="55"/>
      <c r="CA244" s="55"/>
      <c r="CB244" s="55"/>
      <c r="CC244" s="55"/>
      <c r="CD244" s="55"/>
      <c r="CE244" s="55"/>
      <c r="CF244" s="55"/>
      <c r="CG244" s="55"/>
      <c r="CH244" s="55"/>
      <c r="CI244" s="55"/>
      <c r="CJ244" s="55"/>
      <c r="CK244" s="55"/>
      <c r="CL244" s="55"/>
      <c r="CM244" s="55"/>
      <c r="CN244" s="55"/>
      <c r="CO244" s="55"/>
      <c r="CP244" s="55"/>
      <c r="CQ244" s="55"/>
      <c r="CR244" s="55"/>
      <c r="CS244" s="55"/>
      <c r="CT244" s="55"/>
      <c r="CU244" s="55"/>
      <c r="CV244" s="55"/>
      <c r="CW244" s="55"/>
      <c r="CX244" s="55"/>
      <c r="CY244" s="55"/>
      <c r="CZ244" s="55"/>
      <c r="DA244" s="55"/>
      <c r="DB244" s="55"/>
      <c r="DC244" s="55"/>
      <c r="DD244" s="55"/>
      <c r="DE244" s="55"/>
      <c r="DF244" s="55"/>
      <c r="DG244" s="55"/>
      <c r="DH244" s="55"/>
      <c r="DI244" s="55"/>
    </row>
    <row r="245" spans="1:113" x14ac:dyDescent="0.25">
      <c r="A245" s="170">
        <v>14</v>
      </c>
      <c r="B245" s="121" t="s">
        <v>856</v>
      </c>
      <c r="C245" s="122">
        <v>10000</v>
      </c>
      <c r="D245" s="272">
        <v>1400.48</v>
      </c>
      <c r="E245" s="242">
        <v>9000</v>
      </c>
      <c r="F245" s="59">
        <f>30000-30000</f>
        <v>0</v>
      </c>
      <c r="G245" s="139">
        <f t="shared" si="131"/>
        <v>9000</v>
      </c>
      <c r="H245" s="139">
        <f>20350+100+50-20500+500-500</f>
        <v>0</v>
      </c>
      <c r="I245" s="56">
        <f t="shared" ref="I245" si="139">+G245-H245</f>
        <v>9000</v>
      </c>
      <c r="J245" s="56">
        <f t="shared" ref="J245" si="140">I245*C245</f>
        <v>90000000</v>
      </c>
      <c r="K245" s="57">
        <f t="shared" ref="K245" si="141">+D245*I245</f>
        <v>12604320</v>
      </c>
      <c r="L245"/>
      <c r="M245" s="314">
        <f t="shared" si="130"/>
        <v>0</v>
      </c>
      <c r="N245" s="310"/>
      <c r="O245" s="315"/>
      <c r="P245" s="315"/>
      <c r="Q245" s="315"/>
      <c r="R245" s="315"/>
      <c r="S245" s="55"/>
      <c r="T245" s="55"/>
      <c r="U245" s="55"/>
      <c r="V245" s="55"/>
      <c r="W245" s="55"/>
      <c r="X245" s="55"/>
      <c r="Y245" s="55"/>
      <c r="Z245" s="55"/>
      <c r="AA245" s="55"/>
      <c r="AB245" s="55"/>
      <c r="AC245" s="55"/>
      <c r="AD245" s="55"/>
      <c r="AE245" s="55"/>
      <c r="AF245" s="55"/>
      <c r="AG245" s="55"/>
      <c r="AH245" s="55"/>
      <c r="AI245" s="55"/>
      <c r="AJ245" s="55"/>
      <c r="AK245" s="55"/>
      <c r="AL245" s="55"/>
      <c r="AM245" s="55"/>
      <c r="AN245" s="55"/>
      <c r="AO245" s="55"/>
      <c r="AP245" s="55"/>
      <c r="AQ245" s="55"/>
      <c r="AR245" s="55"/>
      <c r="AS245" s="55"/>
      <c r="AT245" s="55"/>
      <c r="AU245" s="55"/>
      <c r="AV245" s="55"/>
      <c r="AW245" s="55"/>
      <c r="AX245" s="55"/>
      <c r="AY245" s="55"/>
      <c r="AZ245" s="55"/>
      <c r="BA245" s="55"/>
      <c r="BB245" s="55"/>
      <c r="BC245" s="55"/>
      <c r="BD245" s="55"/>
      <c r="BE245" s="55"/>
      <c r="BF245" s="55"/>
      <c r="BG245" s="55"/>
      <c r="BH245" s="55"/>
      <c r="BI245" s="55"/>
      <c r="BJ245" s="55"/>
      <c r="BK245" s="55"/>
      <c r="BL245" s="55"/>
      <c r="BM245" s="55"/>
      <c r="BN245" s="55"/>
      <c r="BO245" s="55"/>
      <c r="BP245" s="55"/>
      <c r="BQ245" s="55"/>
      <c r="BR245" s="55"/>
      <c r="BS245" s="55"/>
      <c r="BT245" s="55"/>
      <c r="BU245" s="55"/>
      <c r="BV245" s="55"/>
      <c r="BW245" s="55"/>
      <c r="BX245" s="55"/>
      <c r="BY245" s="55"/>
      <c r="BZ245" s="55"/>
      <c r="CA245" s="55"/>
      <c r="CB245" s="55"/>
      <c r="CC245" s="55"/>
      <c r="CD245" s="55"/>
      <c r="CE245" s="55"/>
      <c r="CF245" s="55"/>
      <c r="CG245" s="55"/>
      <c r="CH245" s="55"/>
      <c r="CI245" s="55"/>
      <c r="CJ245" s="55"/>
      <c r="CK245" s="55"/>
      <c r="CL245" s="55"/>
      <c r="CM245" s="55"/>
      <c r="CN245" s="55"/>
      <c r="CO245" s="55"/>
      <c r="CP245" s="55"/>
      <c r="CQ245" s="55"/>
      <c r="CR245" s="55"/>
      <c r="CS245" s="55"/>
      <c r="CT245" s="55"/>
      <c r="CU245" s="55"/>
      <c r="CV245" s="55"/>
      <c r="CW245" s="55"/>
      <c r="CX245" s="55"/>
      <c r="CY245" s="55"/>
      <c r="CZ245" s="55"/>
      <c r="DA245" s="55"/>
      <c r="DB245" s="55"/>
      <c r="DC245" s="55"/>
      <c r="DD245" s="55"/>
      <c r="DE245" s="55"/>
      <c r="DF245" s="55"/>
      <c r="DG245" s="55"/>
      <c r="DH245" s="55"/>
      <c r="DI245" s="55"/>
    </row>
    <row r="246" spans="1:113" x14ac:dyDescent="0.25">
      <c r="A246" s="170">
        <v>15</v>
      </c>
      <c r="B246" s="231" t="s">
        <v>860</v>
      </c>
      <c r="C246" s="122">
        <v>10000</v>
      </c>
      <c r="D246" s="273">
        <v>4905.25</v>
      </c>
      <c r="E246" s="242">
        <v>0</v>
      </c>
      <c r="F246" s="59">
        <f>8000-8000</f>
        <v>0</v>
      </c>
      <c r="G246" s="139">
        <f t="shared" si="131"/>
        <v>0</v>
      </c>
      <c r="H246" s="139">
        <f>1000+2000+2000+1000-6000+2000-2000</f>
        <v>0</v>
      </c>
      <c r="I246" s="56">
        <f t="shared" ref="I246:I248" si="142">+G246-H246</f>
        <v>0</v>
      </c>
      <c r="J246" s="56">
        <f t="shared" ref="J246:J248" si="143">I246*C246</f>
        <v>0</v>
      </c>
      <c r="K246" s="57">
        <f t="shared" ref="K246:K248" si="144">+D246*I246</f>
        <v>0</v>
      </c>
      <c r="L246"/>
      <c r="M246" s="314">
        <f t="shared" si="130"/>
        <v>0</v>
      </c>
      <c r="N246" s="310"/>
      <c r="O246" s="315"/>
      <c r="P246" s="315"/>
      <c r="Q246" s="315"/>
      <c r="R246" s="315"/>
      <c r="S246" s="55"/>
      <c r="T246" s="55"/>
      <c r="U246" s="55"/>
      <c r="V246" s="55"/>
      <c r="W246" s="55"/>
      <c r="X246" s="55"/>
      <c r="Y246" s="55"/>
      <c r="Z246" s="55"/>
      <c r="AA246" s="55"/>
      <c r="AB246" s="55"/>
      <c r="AC246" s="55"/>
      <c r="AD246" s="55"/>
      <c r="AE246" s="55"/>
      <c r="AF246" s="55"/>
      <c r="AG246" s="55"/>
      <c r="AH246" s="55"/>
      <c r="AI246" s="55"/>
      <c r="AJ246" s="55"/>
      <c r="AK246" s="55"/>
      <c r="AL246" s="55"/>
      <c r="AM246" s="55"/>
      <c r="AN246" s="55"/>
      <c r="AO246" s="55"/>
      <c r="AP246" s="55"/>
      <c r="AQ246" s="55"/>
      <c r="AR246" s="55"/>
      <c r="AS246" s="55"/>
      <c r="AT246" s="55"/>
      <c r="AU246" s="55"/>
      <c r="AV246" s="55"/>
      <c r="AW246" s="55"/>
      <c r="AX246" s="55"/>
      <c r="AY246" s="55"/>
      <c r="AZ246" s="55"/>
      <c r="BA246" s="55"/>
      <c r="BB246" s="55"/>
      <c r="BC246" s="55"/>
      <c r="BD246" s="55"/>
      <c r="BE246" s="55"/>
      <c r="BF246" s="55"/>
      <c r="BG246" s="55"/>
      <c r="BH246" s="55"/>
      <c r="BI246" s="55"/>
      <c r="BJ246" s="55"/>
      <c r="BK246" s="55"/>
      <c r="BL246" s="55"/>
      <c r="BM246" s="55"/>
      <c r="BN246" s="55"/>
      <c r="BO246" s="55"/>
      <c r="BP246" s="55"/>
      <c r="BQ246" s="55"/>
      <c r="BR246" s="55"/>
      <c r="BS246" s="55"/>
      <c r="BT246" s="55"/>
      <c r="BU246" s="55"/>
      <c r="BV246" s="55"/>
      <c r="BW246" s="55"/>
      <c r="BX246" s="55"/>
      <c r="BY246" s="55"/>
      <c r="BZ246" s="55"/>
      <c r="CA246" s="55"/>
      <c r="CB246" s="55"/>
      <c r="CC246" s="55"/>
      <c r="CD246" s="55"/>
      <c r="CE246" s="55"/>
      <c r="CF246" s="55"/>
      <c r="CG246" s="55"/>
      <c r="CH246" s="55"/>
      <c r="CI246" s="55"/>
      <c r="CJ246" s="55"/>
      <c r="CK246" s="55"/>
      <c r="CL246" s="55"/>
      <c r="CM246" s="55"/>
      <c r="CN246" s="55"/>
      <c r="CO246" s="55"/>
      <c r="CP246" s="55"/>
      <c r="CQ246" s="55"/>
      <c r="CR246" s="55"/>
      <c r="CS246" s="55"/>
      <c r="CT246" s="55"/>
      <c r="CU246" s="55"/>
      <c r="CV246" s="55"/>
      <c r="CW246" s="55"/>
      <c r="CX246" s="55"/>
      <c r="CY246" s="55"/>
      <c r="CZ246" s="55"/>
      <c r="DA246" s="55"/>
      <c r="DB246" s="55"/>
      <c r="DC246" s="55"/>
      <c r="DD246" s="55"/>
      <c r="DE246" s="55"/>
      <c r="DF246" s="55"/>
      <c r="DG246" s="55"/>
      <c r="DH246" s="55"/>
      <c r="DI246" s="55"/>
    </row>
    <row r="247" spans="1:113" x14ac:dyDescent="0.25">
      <c r="A247" s="170">
        <v>16</v>
      </c>
      <c r="B247" s="231" t="s">
        <v>862</v>
      </c>
      <c r="C247" s="122">
        <v>160000</v>
      </c>
      <c r="D247" s="273">
        <v>20160.16</v>
      </c>
      <c r="E247" s="242">
        <v>0</v>
      </c>
      <c r="F247" s="59">
        <f>888-888</f>
        <v>0</v>
      </c>
      <c r="G247" s="139">
        <f t="shared" si="131"/>
        <v>0</v>
      </c>
      <c r="H247" s="139">
        <f>888-888</f>
        <v>0</v>
      </c>
      <c r="I247" s="56">
        <f t="shared" si="142"/>
        <v>0</v>
      </c>
      <c r="J247" s="56">
        <f t="shared" si="143"/>
        <v>0</v>
      </c>
      <c r="K247" s="57">
        <f t="shared" si="144"/>
        <v>0</v>
      </c>
      <c r="L247"/>
      <c r="M247" s="314">
        <f t="shared" si="130"/>
        <v>0</v>
      </c>
      <c r="N247" s="310"/>
      <c r="O247" s="315"/>
      <c r="P247" s="315"/>
      <c r="Q247" s="315"/>
      <c r="R247" s="315"/>
      <c r="S247" s="55"/>
      <c r="T247" s="55"/>
      <c r="U247" s="55"/>
      <c r="V247" s="55"/>
      <c r="W247" s="55"/>
      <c r="X247" s="55"/>
      <c r="Y247" s="55"/>
      <c r="Z247" s="55"/>
      <c r="AA247" s="55"/>
      <c r="AB247" s="55"/>
      <c r="AC247" s="55"/>
      <c r="AD247" s="55"/>
      <c r="AE247" s="55"/>
      <c r="AF247" s="55"/>
      <c r="AG247" s="55"/>
      <c r="AH247" s="55"/>
      <c r="AI247" s="55"/>
      <c r="AJ247" s="55"/>
      <c r="AK247" s="55"/>
      <c r="AL247" s="55"/>
      <c r="AM247" s="55"/>
      <c r="AN247" s="55"/>
      <c r="AO247" s="55"/>
      <c r="AP247" s="55"/>
      <c r="AQ247" s="55"/>
      <c r="AR247" s="55"/>
      <c r="AS247" s="55"/>
      <c r="AT247" s="55"/>
      <c r="AU247" s="55"/>
      <c r="AV247" s="55"/>
      <c r="AW247" s="55"/>
      <c r="AX247" s="55"/>
      <c r="AY247" s="55"/>
      <c r="AZ247" s="55"/>
      <c r="BA247" s="55"/>
      <c r="BB247" s="55"/>
      <c r="BC247" s="55"/>
      <c r="BD247" s="55"/>
      <c r="BE247" s="55"/>
      <c r="BF247" s="55"/>
      <c r="BG247" s="55"/>
      <c r="BH247" s="55"/>
      <c r="BI247" s="55"/>
      <c r="BJ247" s="55"/>
      <c r="BK247" s="55"/>
      <c r="BL247" s="55"/>
      <c r="BM247" s="55"/>
      <c r="BN247" s="55"/>
      <c r="BO247" s="55"/>
      <c r="BP247" s="55"/>
      <c r="BQ247" s="55"/>
      <c r="BR247" s="55"/>
      <c r="BS247" s="55"/>
      <c r="BT247" s="55"/>
      <c r="BU247" s="55"/>
      <c r="BV247" s="55"/>
      <c r="BW247" s="55"/>
      <c r="BX247" s="55"/>
      <c r="BY247" s="55"/>
      <c r="BZ247" s="55"/>
      <c r="CA247" s="55"/>
      <c r="CB247" s="55"/>
      <c r="CC247" s="55"/>
      <c r="CD247" s="55"/>
      <c r="CE247" s="55"/>
      <c r="CF247" s="55"/>
      <c r="CG247" s="55"/>
      <c r="CH247" s="55"/>
      <c r="CI247" s="55"/>
      <c r="CJ247" s="55"/>
      <c r="CK247" s="55"/>
      <c r="CL247" s="55"/>
      <c r="CM247" s="55"/>
      <c r="CN247" s="55"/>
      <c r="CO247" s="55"/>
      <c r="CP247" s="55"/>
      <c r="CQ247" s="55"/>
      <c r="CR247" s="55"/>
      <c r="CS247" s="55"/>
      <c r="CT247" s="55"/>
      <c r="CU247" s="55"/>
      <c r="CV247" s="55"/>
      <c r="CW247" s="55"/>
      <c r="CX247" s="55"/>
      <c r="CY247" s="55"/>
      <c r="CZ247" s="55"/>
      <c r="DA247" s="55"/>
      <c r="DB247" s="55"/>
      <c r="DC247" s="55"/>
      <c r="DD247" s="55"/>
      <c r="DE247" s="55"/>
      <c r="DF247" s="55"/>
      <c r="DG247" s="55"/>
      <c r="DH247" s="55"/>
      <c r="DI247" s="55"/>
    </row>
    <row r="248" spans="1:113" ht="15.75" thickBot="1" x14ac:dyDescent="0.3">
      <c r="A248" s="153">
        <v>17</v>
      </c>
      <c r="B248" s="214" t="s">
        <v>863</v>
      </c>
      <c r="C248" s="154">
        <v>36000</v>
      </c>
      <c r="D248" s="183">
        <v>34323</v>
      </c>
      <c r="E248" s="154">
        <v>0</v>
      </c>
      <c r="F248" s="59">
        <f>2000-2000</f>
        <v>0</v>
      </c>
      <c r="G248" s="139">
        <f t="shared" si="131"/>
        <v>0</v>
      </c>
      <c r="H248" s="139">
        <f>2000-2000</f>
        <v>0</v>
      </c>
      <c r="I248" s="56">
        <f t="shared" si="142"/>
        <v>0</v>
      </c>
      <c r="J248" s="56">
        <f t="shared" si="143"/>
        <v>0</v>
      </c>
      <c r="K248" s="57">
        <f t="shared" si="144"/>
        <v>0</v>
      </c>
      <c r="L248"/>
      <c r="M248" s="314">
        <f t="shared" si="130"/>
        <v>0</v>
      </c>
      <c r="N248" s="310"/>
      <c r="O248" s="315"/>
      <c r="P248" s="315"/>
      <c r="Q248" s="315"/>
      <c r="R248" s="315"/>
      <c r="S248" s="55"/>
      <c r="T248" s="55"/>
      <c r="U248" s="55"/>
      <c r="V248" s="55"/>
      <c r="W248" s="55"/>
      <c r="X248" s="55"/>
      <c r="Y248" s="55"/>
      <c r="Z248" s="55"/>
      <c r="AA248" s="55"/>
      <c r="AB248" s="55"/>
      <c r="AC248" s="55"/>
      <c r="AD248" s="55"/>
      <c r="AE248" s="55"/>
      <c r="AF248" s="55"/>
      <c r="AG248" s="55"/>
      <c r="AH248" s="55"/>
      <c r="AI248" s="55"/>
      <c r="AJ248" s="55"/>
      <c r="AK248" s="55"/>
      <c r="AL248" s="55"/>
      <c r="AM248" s="55"/>
      <c r="AN248" s="55"/>
      <c r="AO248" s="55"/>
      <c r="AP248" s="55"/>
      <c r="AQ248" s="55"/>
      <c r="AR248" s="55"/>
      <c r="AS248" s="55"/>
      <c r="AT248" s="55"/>
      <c r="AU248" s="55"/>
      <c r="AV248" s="55"/>
      <c r="AW248" s="55"/>
      <c r="AX248" s="55"/>
      <c r="AY248" s="55"/>
      <c r="AZ248" s="55"/>
      <c r="BA248" s="55"/>
      <c r="BB248" s="55"/>
      <c r="BC248" s="55"/>
      <c r="BD248" s="55"/>
      <c r="BE248" s="55"/>
      <c r="BF248" s="55"/>
      <c r="BG248" s="55"/>
      <c r="BH248" s="55"/>
      <c r="BI248" s="55"/>
      <c r="BJ248" s="55"/>
      <c r="BK248" s="55"/>
      <c r="BL248" s="55"/>
      <c r="BM248" s="55"/>
      <c r="BN248" s="55"/>
      <c r="BO248" s="55"/>
      <c r="BP248" s="55"/>
      <c r="BQ248" s="55"/>
      <c r="BR248" s="55"/>
      <c r="BS248" s="55"/>
      <c r="BT248" s="55"/>
      <c r="BU248" s="55"/>
      <c r="BV248" s="55"/>
      <c r="BW248" s="55"/>
      <c r="BX248" s="55"/>
      <c r="BY248" s="55"/>
      <c r="BZ248" s="55"/>
      <c r="CA248" s="55"/>
      <c r="CB248" s="55"/>
      <c r="CC248" s="55"/>
      <c r="CD248" s="55"/>
      <c r="CE248" s="55"/>
      <c r="CF248" s="55"/>
      <c r="CG248" s="55"/>
      <c r="CH248" s="55"/>
      <c r="CI248" s="55"/>
      <c r="CJ248" s="55"/>
      <c r="CK248" s="55"/>
      <c r="CL248" s="55"/>
      <c r="CM248" s="55"/>
      <c r="CN248" s="55"/>
      <c r="CO248" s="55"/>
      <c r="CP248" s="55"/>
      <c r="CQ248" s="55"/>
      <c r="CR248" s="55"/>
      <c r="CS248" s="55"/>
      <c r="CT248" s="55"/>
      <c r="CU248" s="55"/>
      <c r="CV248" s="55"/>
      <c r="CW248" s="55"/>
      <c r="CX248" s="55"/>
      <c r="CY248" s="55"/>
      <c r="CZ248" s="55"/>
      <c r="DA248" s="55"/>
      <c r="DB248" s="55"/>
      <c r="DC248" s="55"/>
      <c r="DD248" s="55"/>
      <c r="DE248" s="55"/>
      <c r="DF248" s="55"/>
      <c r="DG248" s="55"/>
      <c r="DH248" s="55"/>
      <c r="DI248" s="55"/>
    </row>
    <row r="249" spans="1:113" ht="15.75" thickBot="1" x14ac:dyDescent="0.3">
      <c r="A249" s="128"/>
      <c r="B249" s="119" t="s">
        <v>730</v>
      </c>
      <c r="C249" s="36"/>
      <c r="D249" s="36"/>
      <c r="E249" s="29">
        <f>SUM(E232:E248)</f>
        <v>15469</v>
      </c>
      <c r="F249" s="29">
        <f t="shared" ref="F249:K249" si="145">SUM(F232:F248)</f>
        <v>0</v>
      </c>
      <c r="G249" s="29">
        <f t="shared" si="145"/>
        <v>15469</v>
      </c>
      <c r="H249" s="29">
        <f t="shared" si="145"/>
        <v>2500</v>
      </c>
      <c r="I249" s="29">
        <f t="shared" si="145"/>
        <v>12969</v>
      </c>
      <c r="J249" s="29">
        <f t="shared" si="145"/>
        <v>292596000</v>
      </c>
      <c r="K249" s="47">
        <f t="shared" si="145"/>
        <v>49390350.519999996</v>
      </c>
      <c r="L249"/>
      <c r="M249" s="322">
        <f t="shared" si="130"/>
        <v>0</v>
      </c>
      <c r="N249" s="325"/>
      <c r="O249" s="325"/>
      <c r="P249" s="325"/>
      <c r="Q249" s="325"/>
      <c r="R249" s="325"/>
      <c r="S249" s="324"/>
      <c r="T249" s="324"/>
      <c r="U249" s="324"/>
      <c r="V249" s="324"/>
      <c r="W249" s="324"/>
      <c r="X249" s="324"/>
      <c r="Y249" s="324"/>
      <c r="Z249" s="324"/>
      <c r="AA249" s="324"/>
      <c r="AB249" s="324"/>
      <c r="AC249" s="324"/>
      <c r="AD249" s="324"/>
      <c r="AE249" s="324"/>
      <c r="AF249" s="324"/>
      <c r="AG249" s="324"/>
      <c r="AH249" s="324"/>
      <c r="AI249" s="324"/>
      <c r="AJ249" s="324"/>
      <c r="AK249" s="324"/>
      <c r="AL249" s="324"/>
      <c r="AM249" s="324"/>
      <c r="AN249" s="324"/>
      <c r="AO249" s="324"/>
      <c r="AP249" s="324"/>
      <c r="AQ249" s="324"/>
      <c r="AR249" s="324"/>
      <c r="AS249" s="324"/>
      <c r="AT249" s="324"/>
      <c r="AU249" s="324"/>
      <c r="AV249" s="324"/>
      <c r="AW249" s="324"/>
      <c r="AX249" s="324"/>
      <c r="AY249" s="324"/>
      <c r="AZ249" s="324"/>
      <c r="BA249" s="324"/>
      <c r="BB249" s="324"/>
      <c r="BC249" s="324"/>
      <c r="BD249" s="324"/>
      <c r="BE249" s="324"/>
      <c r="BF249" s="324"/>
      <c r="BG249" s="324"/>
      <c r="BH249" s="324"/>
      <c r="BI249" s="324"/>
      <c r="BJ249" s="324"/>
      <c r="BK249" s="324"/>
      <c r="BL249" s="324"/>
      <c r="BM249" s="324"/>
      <c r="BN249" s="324"/>
      <c r="BO249" s="324"/>
      <c r="BP249" s="324"/>
      <c r="BQ249" s="324"/>
      <c r="BR249" s="324"/>
      <c r="BS249" s="324"/>
      <c r="BT249" s="324"/>
      <c r="BU249" s="324"/>
      <c r="BV249" s="324"/>
      <c r="BW249" s="324"/>
      <c r="BX249" s="324"/>
      <c r="BY249" s="324"/>
      <c r="BZ249" s="324"/>
      <c r="CA249" s="324"/>
      <c r="CB249" s="324"/>
      <c r="CC249" s="324"/>
      <c r="CD249" s="324"/>
      <c r="CE249" s="324"/>
      <c r="CF249" s="324"/>
      <c r="CG249" s="324"/>
      <c r="CH249" s="324"/>
      <c r="CI249" s="324"/>
      <c r="CJ249" s="324"/>
      <c r="CK249" s="324"/>
      <c r="CL249" s="324"/>
      <c r="CM249" s="324"/>
      <c r="CN249" s="324"/>
      <c r="CO249" s="324"/>
      <c r="CP249" s="324"/>
      <c r="CQ249" s="324"/>
      <c r="CR249" s="324"/>
      <c r="CS249" s="324"/>
      <c r="CT249" s="324"/>
      <c r="CU249" s="324"/>
      <c r="CV249" s="324"/>
      <c r="CW249" s="324"/>
      <c r="CX249" s="324"/>
      <c r="CY249" s="324"/>
      <c r="CZ249" s="324"/>
      <c r="DA249" s="324"/>
      <c r="DB249" s="324"/>
      <c r="DC249" s="324"/>
      <c r="DD249" s="324"/>
      <c r="DE249" s="324"/>
      <c r="DF249" s="324"/>
      <c r="DG249" s="324"/>
      <c r="DH249" s="324"/>
      <c r="DI249" s="324"/>
    </row>
    <row r="250" spans="1:113" customFormat="1" ht="15.75" thickBot="1" x14ac:dyDescent="0.3"/>
    <row r="251" spans="1:113" ht="15.75" thickBot="1" x14ac:dyDescent="0.3">
      <c r="A251" s="407" t="s">
        <v>657</v>
      </c>
      <c r="B251" s="414" t="s">
        <v>708</v>
      </c>
      <c r="C251" s="414" t="s">
        <v>1</v>
      </c>
      <c r="D251" s="415" t="s">
        <v>649</v>
      </c>
      <c r="E251" s="416" t="s">
        <v>19</v>
      </c>
      <c r="F251" s="416"/>
      <c r="G251" s="416"/>
      <c r="H251" s="416"/>
      <c r="I251" s="416"/>
      <c r="J251" s="410" t="s">
        <v>21</v>
      </c>
      <c r="K251" s="412" t="s">
        <v>602</v>
      </c>
      <c r="L251"/>
      <c r="M251" s="400" t="s">
        <v>601</v>
      </c>
      <c r="N251" s="404" t="s">
        <v>924</v>
      </c>
      <c r="O251" s="405"/>
      <c r="P251" s="405"/>
      <c r="Q251" s="405"/>
      <c r="R251" s="405"/>
      <c r="S251" s="405"/>
      <c r="T251" s="405"/>
      <c r="U251" s="405"/>
      <c r="V251" s="405"/>
      <c r="W251" s="405"/>
      <c r="X251" s="405"/>
      <c r="Y251" s="405"/>
      <c r="Z251" s="405"/>
      <c r="AA251" s="405"/>
      <c r="AB251" s="405"/>
      <c r="AC251" s="405"/>
      <c r="AD251" s="405"/>
      <c r="AE251" s="405"/>
      <c r="AF251" s="405"/>
      <c r="AG251" s="405"/>
      <c r="AH251" s="405"/>
      <c r="AI251" s="405"/>
      <c r="AJ251" s="405"/>
      <c r="AK251" s="405"/>
      <c r="AL251" s="405"/>
      <c r="AM251" s="405"/>
      <c r="AN251" s="405"/>
      <c r="AO251" s="405"/>
      <c r="AP251" s="405"/>
      <c r="AQ251" s="405"/>
      <c r="AR251" s="405"/>
      <c r="AS251" s="405"/>
      <c r="AT251" s="405"/>
      <c r="AU251" s="405"/>
      <c r="AV251" s="405"/>
      <c r="AW251" s="405"/>
      <c r="AX251" s="405"/>
      <c r="AY251" s="405"/>
      <c r="AZ251" s="405"/>
      <c r="BA251" s="405"/>
      <c r="BB251" s="405"/>
      <c r="BC251" s="405"/>
      <c r="BD251" s="405"/>
      <c r="BE251" s="405"/>
      <c r="BF251" s="405"/>
      <c r="BG251" s="405"/>
      <c r="BH251" s="405"/>
      <c r="BI251" s="405"/>
      <c r="BJ251" s="405"/>
      <c r="BK251" s="405"/>
      <c r="BL251" s="405"/>
      <c r="BM251" s="405"/>
      <c r="BN251" s="405"/>
      <c r="BO251" s="405"/>
      <c r="BP251" s="405"/>
      <c r="BQ251" s="405"/>
      <c r="BR251" s="405"/>
      <c r="BS251" s="405"/>
      <c r="BT251" s="405"/>
      <c r="BU251" s="405"/>
      <c r="BV251" s="405"/>
      <c r="BW251" s="405"/>
      <c r="BX251" s="405"/>
      <c r="BY251" s="405"/>
      <c r="BZ251" s="405"/>
      <c r="CA251" s="405"/>
      <c r="CB251" s="405"/>
      <c r="CC251" s="405"/>
      <c r="CD251" s="405"/>
      <c r="CE251" s="405"/>
      <c r="CF251" s="405"/>
      <c r="CG251" s="405"/>
      <c r="CH251" s="405"/>
      <c r="CI251" s="405"/>
      <c r="CJ251" s="405"/>
      <c r="CK251" s="405"/>
      <c r="CL251" s="405"/>
      <c r="CM251" s="405"/>
      <c r="CN251" s="405"/>
      <c r="CO251" s="405"/>
      <c r="CP251" s="405"/>
      <c r="CQ251" s="405"/>
      <c r="CR251" s="405"/>
      <c r="CS251" s="405"/>
      <c r="CT251" s="405"/>
      <c r="CU251" s="405"/>
      <c r="CV251" s="405"/>
      <c r="CW251" s="405"/>
      <c r="CX251" s="405"/>
      <c r="CY251" s="405"/>
      <c r="CZ251" s="405"/>
      <c r="DA251" s="405"/>
      <c r="DB251" s="405"/>
      <c r="DC251" s="405"/>
      <c r="DD251" s="405"/>
      <c r="DE251" s="405"/>
      <c r="DF251" s="405"/>
      <c r="DG251" s="405"/>
      <c r="DH251" s="405"/>
      <c r="DI251" s="406"/>
    </row>
    <row r="252" spans="1:113" ht="15.75" thickBot="1" x14ac:dyDescent="0.3">
      <c r="A252" s="408"/>
      <c r="B252" s="414"/>
      <c r="C252" s="414"/>
      <c r="D252" s="415"/>
      <c r="E252" s="68" t="s">
        <v>22</v>
      </c>
      <c r="F252" s="68" t="s">
        <v>600</v>
      </c>
      <c r="G252" s="68" t="s">
        <v>601</v>
      </c>
      <c r="H252" s="68" t="s">
        <v>589</v>
      </c>
      <c r="I252" s="68" t="s">
        <v>601</v>
      </c>
      <c r="J252" s="411"/>
      <c r="K252" s="413"/>
      <c r="L252"/>
      <c r="M252" s="401"/>
      <c r="N252" s="400" t="s">
        <v>925</v>
      </c>
      <c r="O252" s="400" t="s">
        <v>926</v>
      </c>
      <c r="P252" s="400"/>
      <c r="Q252" s="400"/>
      <c r="R252" s="400"/>
      <c r="S252" s="398"/>
      <c r="T252" s="398"/>
      <c r="U252" s="398"/>
      <c r="V252" s="398"/>
      <c r="W252" s="398"/>
      <c r="X252" s="398"/>
      <c r="Y252" s="398"/>
      <c r="Z252" s="398"/>
      <c r="AA252" s="398"/>
      <c r="AB252" s="398"/>
      <c r="AC252" s="398"/>
      <c r="AD252" s="398"/>
      <c r="AE252" s="398"/>
      <c r="AF252" s="398"/>
      <c r="AG252" s="398"/>
      <c r="AH252" s="398"/>
      <c r="AI252" s="398"/>
      <c r="AJ252" s="398"/>
      <c r="AK252" s="398"/>
      <c r="AL252" s="398"/>
      <c r="AM252" s="398"/>
      <c r="AN252" s="398"/>
      <c r="AO252" s="398"/>
      <c r="AP252" s="398"/>
      <c r="AQ252" s="398"/>
      <c r="AR252" s="398"/>
      <c r="AS252" s="398"/>
      <c r="AT252" s="398"/>
      <c r="AU252" s="398"/>
      <c r="AV252" s="398"/>
      <c r="AW252" s="398"/>
      <c r="AX252" s="398"/>
      <c r="AY252" s="398"/>
      <c r="AZ252" s="398"/>
      <c r="BA252" s="398"/>
      <c r="BB252" s="398"/>
      <c r="BC252" s="398"/>
      <c r="BD252" s="398"/>
      <c r="BE252" s="398"/>
      <c r="BF252" s="398"/>
      <c r="BG252" s="398"/>
      <c r="BH252" s="398"/>
      <c r="BI252" s="398"/>
      <c r="BJ252" s="398"/>
      <c r="BK252" s="398"/>
      <c r="BL252" s="398"/>
      <c r="BM252" s="398"/>
      <c r="BN252" s="398"/>
      <c r="BO252" s="398"/>
      <c r="BP252" s="398"/>
      <c r="BQ252" s="398"/>
      <c r="BR252" s="398"/>
      <c r="BS252" s="398"/>
      <c r="BT252" s="398"/>
      <c r="BU252" s="398"/>
      <c r="BV252" s="398"/>
      <c r="BW252" s="398"/>
      <c r="BX252" s="398"/>
      <c r="BY252" s="398"/>
      <c r="BZ252" s="398"/>
      <c r="CA252" s="398"/>
      <c r="CB252" s="398"/>
      <c r="CC252" s="398"/>
      <c r="CD252" s="398"/>
      <c r="CE252" s="398"/>
      <c r="CF252" s="398"/>
      <c r="CG252" s="398"/>
      <c r="CH252" s="398"/>
      <c r="CI252" s="398"/>
      <c r="CJ252" s="398"/>
      <c r="CK252" s="398"/>
      <c r="CL252" s="398"/>
      <c r="CM252" s="398"/>
      <c r="CN252" s="398"/>
      <c r="CO252" s="398"/>
      <c r="CP252" s="398"/>
      <c r="CQ252" s="398"/>
      <c r="CR252" s="398"/>
      <c r="CS252" s="398"/>
      <c r="CT252" s="398"/>
      <c r="CU252" s="398"/>
      <c r="CV252" s="398"/>
      <c r="CW252" s="398"/>
      <c r="CX252" s="398"/>
      <c r="CY252" s="398"/>
      <c r="CZ252" s="398"/>
      <c r="DA252" s="398"/>
      <c r="DB252" s="398"/>
      <c r="DC252" s="398"/>
      <c r="DD252" s="398"/>
      <c r="DE252" s="398"/>
      <c r="DF252" s="398"/>
      <c r="DG252" s="398"/>
      <c r="DH252" s="398"/>
      <c r="DI252" s="398"/>
    </row>
    <row r="253" spans="1:113" ht="15.75" thickBot="1" x14ac:dyDescent="0.3">
      <c r="A253" s="409"/>
      <c r="B253" s="286">
        <v>1</v>
      </c>
      <c r="C253" s="286">
        <v>2</v>
      </c>
      <c r="D253" s="286">
        <v>3</v>
      </c>
      <c r="E253" s="70">
        <v>4</v>
      </c>
      <c r="F253" s="70">
        <f>+E253+1</f>
        <v>5</v>
      </c>
      <c r="G253" s="70" t="s">
        <v>652</v>
      </c>
      <c r="H253" s="70">
        <v>7</v>
      </c>
      <c r="I253" s="71" t="s">
        <v>651</v>
      </c>
      <c r="J253" s="42" t="s">
        <v>650</v>
      </c>
      <c r="K253" s="303" t="s">
        <v>653</v>
      </c>
      <c r="L253"/>
      <c r="M253" s="402"/>
      <c r="N253" s="402"/>
      <c r="O253" s="402"/>
      <c r="P253" s="402"/>
      <c r="Q253" s="402"/>
      <c r="R253" s="402"/>
      <c r="S253" s="399"/>
      <c r="T253" s="399"/>
      <c r="U253" s="399"/>
      <c r="V253" s="399"/>
      <c r="W253" s="399"/>
      <c r="X253" s="399"/>
      <c r="Y253" s="399"/>
      <c r="Z253" s="399"/>
      <c r="AA253" s="399"/>
      <c r="AB253" s="399"/>
      <c r="AC253" s="399"/>
      <c r="AD253" s="399"/>
      <c r="AE253" s="399"/>
      <c r="AF253" s="399"/>
      <c r="AG253" s="399"/>
      <c r="AH253" s="399"/>
      <c r="AI253" s="399"/>
      <c r="AJ253" s="399"/>
      <c r="AK253" s="399"/>
      <c r="AL253" s="399"/>
      <c r="AM253" s="399"/>
      <c r="AN253" s="399"/>
      <c r="AO253" s="399"/>
      <c r="AP253" s="399"/>
      <c r="AQ253" s="399"/>
      <c r="AR253" s="399"/>
      <c r="AS253" s="399"/>
      <c r="AT253" s="399"/>
      <c r="AU253" s="399"/>
      <c r="AV253" s="399"/>
      <c r="AW253" s="399"/>
      <c r="AX253" s="399"/>
      <c r="AY253" s="399"/>
      <c r="AZ253" s="399"/>
      <c r="BA253" s="399"/>
      <c r="BB253" s="399"/>
      <c r="BC253" s="399"/>
      <c r="BD253" s="399"/>
      <c r="BE253" s="399"/>
      <c r="BF253" s="399"/>
      <c r="BG253" s="399"/>
      <c r="BH253" s="399"/>
      <c r="BI253" s="399"/>
      <c r="BJ253" s="399"/>
      <c r="BK253" s="399"/>
      <c r="BL253" s="399"/>
      <c r="BM253" s="399"/>
      <c r="BN253" s="399"/>
      <c r="BO253" s="399"/>
      <c r="BP253" s="399"/>
      <c r="BQ253" s="399"/>
      <c r="BR253" s="399"/>
      <c r="BS253" s="399"/>
      <c r="BT253" s="399"/>
      <c r="BU253" s="399"/>
      <c r="BV253" s="399"/>
      <c r="BW253" s="399"/>
      <c r="BX253" s="399"/>
      <c r="BY253" s="399"/>
      <c r="BZ253" s="399"/>
      <c r="CA253" s="399"/>
      <c r="CB253" s="399"/>
      <c r="CC253" s="399"/>
      <c r="CD253" s="399"/>
      <c r="CE253" s="399"/>
      <c r="CF253" s="399"/>
      <c r="CG253" s="399"/>
      <c r="CH253" s="399"/>
      <c r="CI253" s="399"/>
      <c r="CJ253" s="399"/>
      <c r="CK253" s="399"/>
      <c r="CL253" s="399"/>
      <c r="CM253" s="399"/>
      <c r="CN253" s="399"/>
      <c r="CO253" s="399"/>
      <c r="CP253" s="399"/>
      <c r="CQ253" s="399"/>
      <c r="CR253" s="399"/>
      <c r="CS253" s="399"/>
      <c r="CT253" s="399"/>
      <c r="CU253" s="399"/>
      <c r="CV253" s="399"/>
      <c r="CW253" s="399"/>
      <c r="CX253" s="399"/>
      <c r="CY253" s="399"/>
      <c r="CZ253" s="399"/>
      <c r="DA253" s="399"/>
      <c r="DB253" s="399"/>
      <c r="DC253" s="399"/>
      <c r="DD253" s="399"/>
      <c r="DE253" s="399"/>
      <c r="DF253" s="399"/>
      <c r="DG253" s="399"/>
      <c r="DH253" s="399"/>
      <c r="DI253" s="399"/>
    </row>
    <row r="254" spans="1:113" x14ac:dyDescent="0.25">
      <c r="A254" s="160"/>
      <c r="B254" s="177" t="s">
        <v>883</v>
      </c>
      <c r="C254" s="54"/>
      <c r="D254" s="54"/>
      <c r="E254" s="54"/>
      <c r="F254" s="54"/>
      <c r="G254" s="178">
        <f t="shared" ref="G254:G266" si="146">+E254+F254</f>
        <v>0</v>
      </c>
      <c r="H254" s="160"/>
      <c r="I254" s="179">
        <f t="shared" ref="I254:I266" si="147">+G254-H254</f>
        <v>0</v>
      </c>
      <c r="J254" s="179">
        <f t="shared" ref="J254:J266" si="148">I254*C254</f>
        <v>0</v>
      </c>
      <c r="K254" s="180">
        <f t="shared" ref="K254:K266" si="149">+D254*I254</f>
        <v>0</v>
      </c>
      <c r="L254"/>
      <c r="M254" s="314">
        <f t="shared" ref="M254:M257" si="150">SUM(N254:DJ254)</f>
        <v>0</v>
      </c>
      <c r="N254" s="310"/>
      <c r="O254" s="315"/>
      <c r="P254" s="315"/>
      <c r="Q254" s="315"/>
      <c r="R254" s="315"/>
      <c r="S254" s="55"/>
      <c r="T254" s="55"/>
      <c r="U254" s="55"/>
      <c r="V254" s="55"/>
      <c r="W254" s="55"/>
      <c r="X254" s="55"/>
      <c r="Y254" s="55"/>
      <c r="Z254" s="55"/>
      <c r="AA254" s="55"/>
      <c r="AB254" s="55"/>
      <c r="AC254" s="55"/>
      <c r="AD254" s="55"/>
      <c r="AE254" s="55"/>
      <c r="AF254" s="55"/>
      <c r="AG254" s="55"/>
      <c r="AH254" s="55"/>
      <c r="AI254" s="55"/>
      <c r="AJ254" s="55"/>
      <c r="AK254" s="55"/>
      <c r="AL254" s="55"/>
      <c r="AM254" s="55"/>
      <c r="AN254" s="55"/>
      <c r="AO254" s="55"/>
      <c r="AP254" s="55"/>
      <c r="AQ254" s="55"/>
      <c r="AR254" s="55"/>
      <c r="AS254" s="55"/>
      <c r="AT254" s="55"/>
      <c r="AU254" s="55"/>
      <c r="AV254" s="55"/>
      <c r="AW254" s="55"/>
      <c r="AX254" s="55"/>
      <c r="AY254" s="55"/>
      <c r="AZ254" s="55"/>
      <c r="BA254" s="55"/>
      <c r="BB254" s="55"/>
      <c r="BC254" s="55"/>
      <c r="BD254" s="55"/>
      <c r="BE254" s="55"/>
      <c r="BF254" s="55"/>
      <c r="BG254" s="55"/>
      <c r="BH254" s="55"/>
      <c r="BI254" s="55"/>
      <c r="BJ254" s="55"/>
      <c r="BK254" s="55"/>
      <c r="BL254" s="55"/>
      <c r="BM254" s="55"/>
      <c r="BN254" s="55"/>
      <c r="BO254" s="55"/>
      <c r="BP254" s="55"/>
      <c r="BQ254" s="55"/>
      <c r="BR254" s="55"/>
      <c r="BS254" s="55"/>
      <c r="BT254" s="55"/>
      <c r="BU254" s="55"/>
      <c r="BV254" s="55"/>
      <c r="BW254" s="55"/>
      <c r="BX254" s="55"/>
      <c r="BY254" s="55"/>
      <c r="BZ254" s="55"/>
      <c r="CA254" s="55"/>
      <c r="CB254" s="55"/>
      <c r="CC254" s="55"/>
      <c r="CD254" s="55"/>
      <c r="CE254" s="55"/>
      <c r="CF254" s="55"/>
      <c r="CG254" s="55"/>
      <c r="CH254" s="55"/>
      <c r="CI254" s="55"/>
      <c r="CJ254" s="55"/>
      <c r="CK254" s="55"/>
      <c r="CL254" s="55"/>
      <c r="CM254" s="55"/>
      <c r="CN254" s="55"/>
      <c r="CO254" s="55"/>
      <c r="CP254" s="55"/>
      <c r="CQ254" s="55"/>
      <c r="CR254" s="55"/>
      <c r="CS254" s="55"/>
      <c r="CT254" s="55"/>
      <c r="CU254" s="55"/>
      <c r="CV254" s="55"/>
      <c r="CW254" s="55"/>
      <c r="CX254" s="55"/>
      <c r="CY254" s="55"/>
      <c r="CZ254" s="55"/>
      <c r="DA254" s="55"/>
      <c r="DB254" s="55"/>
      <c r="DC254" s="55"/>
      <c r="DD254" s="55"/>
      <c r="DE254" s="55"/>
      <c r="DF254" s="55"/>
      <c r="DG254" s="55"/>
      <c r="DH254" s="55"/>
      <c r="DI254" s="55"/>
    </row>
    <row r="255" spans="1:113" x14ac:dyDescent="0.25">
      <c r="A255" s="152">
        <v>1</v>
      </c>
      <c r="B255" s="213" t="s">
        <v>890</v>
      </c>
      <c r="C255" s="43">
        <v>18000</v>
      </c>
      <c r="D255" s="232">
        <v>0</v>
      </c>
      <c r="E255" s="43">
        <v>50</v>
      </c>
      <c r="F255" s="244">
        <f>40000-40000</f>
        <v>0</v>
      </c>
      <c r="G255" s="139">
        <f t="shared" si="146"/>
        <v>50</v>
      </c>
      <c r="H255" s="59">
        <f>25000+100-25100+50-50+13800+1000-14800+50</f>
        <v>50</v>
      </c>
      <c r="I255" s="290">
        <f t="shared" si="147"/>
        <v>0</v>
      </c>
      <c r="J255" s="56">
        <f t="shared" si="148"/>
        <v>0</v>
      </c>
      <c r="K255" s="57">
        <f t="shared" si="149"/>
        <v>0</v>
      </c>
      <c r="L255"/>
      <c r="M255" s="314">
        <f t="shared" si="150"/>
        <v>0</v>
      </c>
      <c r="N255" s="310"/>
      <c r="O255" s="315"/>
      <c r="P255" s="315"/>
      <c r="Q255" s="315"/>
      <c r="R255" s="315"/>
      <c r="S255" s="55"/>
      <c r="T255" s="55"/>
      <c r="U255" s="55"/>
      <c r="V255" s="55"/>
      <c r="W255" s="55"/>
      <c r="X255" s="55"/>
      <c r="Y255" s="55"/>
      <c r="Z255" s="55"/>
      <c r="AA255" s="55"/>
      <c r="AB255" s="55"/>
      <c r="AC255" s="55"/>
      <c r="AD255" s="55"/>
      <c r="AE255" s="55"/>
      <c r="AF255" s="55"/>
      <c r="AG255" s="55"/>
      <c r="AH255" s="55"/>
      <c r="AI255" s="55"/>
      <c r="AJ255" s="55"/>
      <c r="AK255" s="55"/>
      <c r="AL255" s="55"/>
      <c r="AM255" s="55"/>
      <c r="AN255" s="55"/>
      <c r="AO255" s="55"/>
      <c r="AP255" s="55"/>
      <c r="AQ255" s="55"/>
      <c r="AR255" s="55"/>
      <c r="AS255" s="55"/>
      <c r="AT255" s="55"/>
      <c r="AU255" s="55"/>
      <c r="AV255" s="55"/>
      <c r="AW255" s="55"/>
      <c r="AX255" s="55"/>
      <c r="AY255" s="55"/>
      <c r="AZ255" s="55"/>
      <c r="BA255" s="55"/>
      <c r="BB255" s="55"/>
      <c r="BC255" s="55"/>
      <c r="BD255" s="55"/>
      <c r="BE255" s="55"/>
      <c r="BF255" s="55"/>
      <c r="BG255" s="55"/>
      <c r="BH255" s="55"/>
      <c r="BI255" s="55"/>
      <c r="BJ255" s="55"/>
      <c r="BK255" s="55"/>
      <c r="BL255" s="55"/>
      <c r="BM255" s="55"/>
      <c r="BN255" s="55"/>
      <c r="BO255" s="55"/>
      <c r="BP255" s="55"/>
      <c r="BQ255" s="55"/>
      <c r="BR255" s="55"/>
      <c r="BS255" s="55"/>
      <c r="BT255" s="55"/>
      <c r="BU255" s="55"/>
      <c r="BV255" s="55"/>
      <c r="BW255" s="55"/>
      <c r="BX255" s="55"/>
      <c r="BY255" s="55"/>
      <c r="BZ255" s="55"/>
      <c r="CA255" s="55"/>
      <c r="CB255" s="55"/>
      <c r="CC255" s="55"/>
      <c r="CD255" s="55"/>
      <c r="CE255" s="55"/>
      <c r="CF255" s="55"/>
      <c r="CG255" s="55"/>
      <c r="CH255" s="55"/>
      <c r="CI255" s="55"/>
      <c r="CJ255" s="55"/>
      <c r="CK255" s="55"/>
      <c r="CL255" s="55"/>
      <c r="CM255" s="55"/>
      <c r="CN255" s="55"/>
      <c r="CO255" s="55"/>
      <c r="CP255" s="55"/>
      <c r="CQ255" s="55"/>
      <c r="CR255" s="55"/>
      <c r="CS255" s="55"/>
      <c r="CT255" s="55"/>
      <c r="CU255" s="55"/>
      <c r="CV255" s="55"/>
      <c r="CW255" s="55"/>
      <c r="CX255" s="55"/>
      <c r="CY255" s="55"/>
      <c r="CZ255" s="55"/>
      <c r="DA255" s="55"/>
      <c r="DB255" s="55"/>
      <c r="DC255" s="55"/>
      <c r="DD255" s="55"/>
      <c r="DE255" s="55"/>
      <c r="DF255" s="55"/>
      <c r="DG255" s="55"/>
      <c r="DH255" s="55"/>
      <c r="DI255" s="55"/>
    </row>
    <row r="256" spans="1:113" x14ac:dyDescent="0.25">
      <c r="A256" s="152">
        <v>2</v>
      </c>
      <c r="B256" s="213" t="s">
        <v>891</v>
      </c>
      <c r="C256" s="43">
        <v>10000</v>
      </c>
      <c r="D256" s="232">
        <v>0</v>
      </c>
      <c r="E256" s="102">
        <v>300</v>
      </c>
      <c r="F256" s="59">
        <f>24000-24000</f>
        <v>0</v>
      </c>
      <c r="G256" s="139">
        <f t="shared" si="146"/>
        <v>300</v>
      </c>
      <c r="H256" s="139">
        <f>17000+100+4000-21100+100-100+2500-2500</f>
        <v>0</v>
      </c>
      <c r="I256" s="290">
        <f t="shared" si="147"/>
        <v>300</v>
      </c>
      <c r="J256" s="56">
        <f t="shared" si="148"/>
        <v>3000000</v>
      </c>
      <c r="K256" s="57">
        <f t="shared" si="149"/>
        <v>0</v>
      </c>
      <c r="L256"/>
      <c r="M256" s="314">
        <f t="shared" si="150"/>
        <v>0</v>
      </c>
      <c r="N256" s="310"/>
      <c r="O256" s="315"/>
      <c r="P256" s="315"/>
      <c r="Q256" s="315"/>
      <c r="R256" s="315"/>
      <c r="S256" s="55"/>
      <c r="T256" s="55"/>
      <c r="U256" s="55"/>
      <c r="V256" s="55"/>
      <c r="W256" s="55"/>
      <c r="X256" s="55"/>
      <c r="Y256" s="55"/>
      <c r="Z256" s="55"/>
      <c r="AA256" s="55"/>
      <c r="AB256" s="55"/>
      <c r="AC256" s="55"/>
      <c r="AD256" s="55"/>
      <c r="AE256" s="55"/>
      <c r="AF256" s="55"/>
      <c r="AG256" s="55"/>
      <c r="AH256" s="55"/>
      <c r="AI256" s="55"/>
      <c r="AJ256" s="55"/>
      <c r="AK256" s="55"/>
      <c r="AL256" s="55"/>
      <c r="AM256" s="55"/>
      <c r="AN256" s="55"/>
      <c r="AO256" s="55"/>
      <c r="AP256" s="55"/>
      <c r="AQ256" s="55"/>
      <c r="AR256" s="55"/>
      <c r="AS256" s="55"/>
      <c r="AT256" s="55"/>
      <c r="AU256" s="55"/>
      <c r="AV256" s="55"/>
      <c r="AW256" s="55"/>
      <c r="AX256" s="55"/>
      <c r="AY256" s="55"/>
      <c r="AZ256" s="55"/>
      <c r="BA256" s="55"/>
      <c r="BB256" s="55"/>
      <c r="BC256" s="55"/>
      <c r="BD256" s="55"/>
      <c r="BE256" s="55"/>
      <c r="BF256" s="55"/>
      <c r="BG256" s="55"/>
      <c r="BH256" s="55"/>
      <c r="BI256" s="55"/>
      <c r="BJ256" s="55"/>
      <c r="BK256" s="55"/>
      <c r="BL256" s="55"/>
      <c r="BM256" s="55"/>
      <c r="BN256" s="55"/>
      <c r="BO256" s="55"/>
      <c r="BP256" s="55"/>
      <c r="BQ256" s="55"/>
      <c r="BR256" s="55"/>
      <c r="BS256" s="55"/>
      <c r="BT256" s="55"/>
      <c r="BU256" s="55"/>
      <c r="BV256" s="55"/>
      <c r="BW256" s="55"/>
      <c r="BX256" s="55"/>
      <c r="BY256" s="55"/>
      <c r="BZ256" s="55"/>
      <c r="CA256" s="55"/>
      <c r="CB256" s="55"/>
      <c r="CC256" s="55"/>
      <c r="CD256" s="55"/>
      <c r="CE256" s="55"/>
      <c r="CF256" s="55"/>
      <c r="CG256" s="55"/>
      <c r="CH256" s="55"/>
      <c r="CI256" s="55"/>
      <c r="CJ256" s="55"/>
      <c r="CK256" s="55"/>
      <c r="CL256" s="55"/>
      <c r="CM256" s="55"/>
      <c r="CN256" s="55"/>
      <c r="CO256" s="55"/>
      <c r="CP256" s="55"/>
      <c r="CQ256" s="55"/>
      <c r="CR256" s="55"/>
      <c r="CS256" s="55"/>
      <c r="CT256" s="55"/>
      <c r="CU256" s="55"/>
      <c r="CV256" s="55"/>
      <c r="CW256" s="55"/>
      <c r="CX256" s="55"/>
      <c r="CY256" s="55"/>
      <c r="CZ256" s="55"/>
      <c r="DA256" s="55"/>
      <c r="DB256" s="55"/>
      <c r="DC256" s="55"/>
      <c r="DD256" s="55"/>
      <c r="DE256" s="55"/>
      <c r="DF256" s="55"/>
      <c r="DG256" s="55"/>
      <c r="DH256" s="55"/>
      <c r="DI256" s="55"/>
    </row>
    <row r="257" spans="1:115" x14ac:dyDescent="0.25">
      <c r="A257" s="152">
        <v>3</v>
      </c>
      <c r="B257" s="213" t="s">
        <v>896</v>
      </c>
      <c r="C257" s="43">
        <v>40000</v>
      </c>
      <c r="D257" s="232">
        <v>3335</v>
      </c>
      <c r="E257" s="43">
        <v>1360</v>
      </c>
      <c r="F257" s="59">
        <f>100000-100000</f>
        <v>0</v>
      </c>
      <c r="G257" s="139">
        <f t="shared" si="146"/>
        <v>1360</v>
      </c>
      <c r="H257" s="139">
        <f>7200+14800+10+1500-23510+3800+3600-7400+5500+2200+2060+2000+370-12130+240</f>
        <v>240</v>
      </c>
      <c r="I257" s="290">
        <f t="shared" si="147"/>
        <v>1120</v>
      </c>
      <c r="J257" s="56">
        <f t="shared" si="148"/>
        <v>44800000</v>
      </c>
      <c r="K257" s="57">
        <f t="shared" si="149"/>
        <v>3735200</v>
      </c>
      <c r="L257"/>
      <c r="M257" s="314">
        <f t="shared" si="150"/>
        <v>0</v>
      </c>
      <c r="N257" s="310"/>
      <c r="O257" s="315"/>
      <c r="P257" s="315"/>
      <c r="Q257" s="315"/>
      <c r="R257" s="315"/>
      <c r="S257" s="55"/>
      <c r="T257" s="55"/>
      <c r="U257" s="55"/>
      <c r="V257" s="55"/>
      <c r="W257" s="55"/>
      <c r="X257" s="55"/>
      <c r="Y257" s="55"/>
      <c r="Z257" s="55"/>
      <c r="AA257" s="55"/>
      <c r="AB257" s="55"/>
      <c r="AC257" s="55"/>
      <c r="AD257" s="55"/>
      <c r="AE257" s="55"/>
      <c r="AF257" s="55"/>
      <c r="AG257" s="55"/>
      <c r="AH257" s="55"/>
      <c r="AI257" s="55"/>
      <c r="AJ257" s="55"/>
      <c r="AK257" s="55"/>
      <c r="AL257" s="55"/>
      <c r="AM257" s="55"/>
      <c r="AN257" s="55"/>
      <c r="AO257" s="55"/>
      <c r="AP257" s="55"/>
      <c r="AQ257" s="55"/>
      <c r="AR257" s="55"/>
      <c r="AS257" s="55"/>
      <c r="AT257" s="55"/>
      <c r="AU257" s="55"/>
      <c r="AV257" s="55"/>
      <c r="AW257" s="55"/>
      <c r="AX257" s="55"/>
      <c r="AY257" s="55"/>
      <c r="AZ257" s="55"/>
      <c r="BA257" s="55"/>
      <c r="BB257" s="55"/>
      <c r="BC257" s="55"/>
      <c r="BD257" s="55"/>
      <c r="BE257" s="55"/>
      <c r="BF257" s="55"/>
      <c r="BG257" s="55"/>
      <c r="BH257" s="55"/>
      <c r="BI257" s="55"/>
      <c r="BJ257" s="55"/>
      <c r="BK257" s="55"/>
      <c r="BL257" s="55"/>
      <c r="BM257" s="55"/>
      <c r="BN257" s="55"/>
      <c r="BO257" s="55"/>
      <c r="BP257" s="55"/>
      <c r="BQ257" s="55"/>
      <c r="BR257" s="55"/>
      <c r="BS257" s="55"/>
      <c r="BT257" s="55"/>
      <c r="BU257" s="55"/>
      <c r="BV257" s="55"/>
      <c r="BW257" s="55"/>
      <c r="BX257" s="55"/>
      <c r="BY257" s="55"/>
      <c r="BZ257" s="55"/>
      <c r="CA257" s="55"/>
      <c r="CB257" s="55"/>
      <c r="CC257" s="55"/>
      <c r="CD257" s="55"/>
      <c r="CE257" s="55"/>
      <c r="CF257" s="55"/>
      <c r="CG257" s="55"/>
      <c r="CH257" s="55"/>
      <c r="CI257" s="55"/>
      <c r="CJ257" s="55"/>
      <c r="CK257" s="55"/>
      <c r="CL257" s="55"/>
      <c r="CM257" s="55"/>
      <c r="CN257" s="55"/>
      <c r="CO257" s="55"/>
      <c r="CP257" s="55"/>
      <c r="CQ257" s="55"/>
      <c r="CR257" s="55"/>
      <c r="CS257" s="55"/>
      <c r="CT257" s="55"/>
      <c r="CU257" s="55"/>
      <c r="CV257" s="55"/>
      <c r="CW257" s="55"/>
      <c r="CX257" s="55"/>
      <c r="CY257" s="55"/>
      <c r="CZ257" s="55"/>
      <c r="DA257" s="55"/>
      <c r="DB257" s="55"/>
      <c r="DC257" s="55"/>
      <c r="DD257" s="55"/>
      <c r="DE257" s="55"/>
      <c r="DF257" s="55"/>
      <c r="DG257" s="55"/>
      <c r="DH257" s="55"/>
      <c r="DI257" s="55"/>
    </row>
    <row r="258" spans="1:115" x14ac:dyDescent="0.25">
      <c r="A258" s="152">
        <v>4</v>
      </c>
      <c r="B258" s="213" t="s">
        <v>897</v>
      </c>
      <c r="C258" s="43">
        <v>8000</v>
      </c>
      <c r="D258" s="232">
        <v>1354.83</v>
      </c>
      <c r="E258" s="102">
        <v>4399</v>
      </c>
      <c r="F258" s="59">
        <f>24000-24000</f>
        <v>0</v>
      </c>
      <c r="G258" s="139">
        <f t="shared" si="146"/>
        <v>4399</v>
      </c>
      <c r="H258" s="139">
        <f>17000+101-17101+2500-2500</f>
        <v>0</v>
      </c>
      <c r="I258" s="290">
        <f t="shared" si="147"/>
        <v>4399</v>
      </c>
      <c r="J258" s="56">
        <f t="shared" si="148"/>
        <v>35192000</v>
      </c>
      <c r="K258" s="57">
        <f t="shared" si="149"/>
        <v>5959897.1699999999</v>
      </c>
      <c r="L258"/>
      <c r="M258" s="314">
        <f t="shared" ref="M258:M267" si="151">SUM(N258:DJ258)</f>
        <v>0</v>
      </c>
      <c r="N258" s="310"/>
      <c r="O258" s="315"/>
      <c r="P258" s="315"/>
      <c r="Q258" s="315"/>
      <c r="R258" s="315"/>
      <c r="S258" s="55"/>
      <c r="T258" s="55"/>
      <c r="U258" s="55"/>
      <c r="V258" s="55"/>
      <c r="W258" s="55"/>
      <c r="X258" s="55"/>
      <c r="Y258" s="55"/>
      <c r="Z258" s="55"/>
      <c r="AA258" s="55"/>
      <c r="AB258" s="55"/>
      <c r="AC258" s="55"/>
      <c r="AD258" s="55"/>
      <c r="AE258" s="55"/>
      <c r="AF258" s="55"/>
      <c r="AG258" s="55"/>
      <c r="AH258" s="55"/>
      <c r="AI258" s="55"/>
      <c r="AJ258" s="55"/>
      <c r="AK258" s="55"/>
      <c r="AL258" s="55"/>
      <c r="AM258" s="55"/>
      <c r="AN258" s="55"/>
      <c r="AO258" s="55"/>
      <c r="AP258" s="55"/>
      <c r="AQ258" s="55"/>
      <c r="AR258" s="55"/>
      <c r="AS258" s="55"/>
      <c r="AT258" s="55"/>
      <c r="AU258" s="55"/>
      <c r="AV258" s="55"/>
      <c r="AW258" s="55"/>
      <c r="AX258" s="55"/>
      <c r="AY258" s="55"/>
      <c r="AZ258" s="55"/>
      <c r="BA258" s="55"/>
      <c r="BB258" s="55"/>
      <c r="BC258" s="55"/>
      <c r="BD258" s="55"/>
      <c r="BE258" s="55"/>
      <c r="BF258" s="55"/>
      <c r="BG258" s="55"/>
      <c r="BH258" s="55"/>
      <c r="BI258" s="55"/>
      <c r="BJ258" s="55"/>
      <c r="BK258" s="55"/>
      <c r="BL258" s="55"/>
      <c r="BM258" s="55"/>
      <c r="BN258" s="55"/>
      <c r="BO258" s="55"/>
      <c r="BP258" s="55"/>
      <c r="BQ258" s="55"/>
      <c r="BR258" s="55"/>
      <c r="BS258" s="55"/>
      <c r="BT258" s="55"/>
      <c r="BU258" s="55"/>
      <c r="BV258" s="55"/>
      <c r="BW258" s="55"/>
      <c r="BX258" s="55"/>
      <c r="BY258" s="55"/>
      <c r="BZ258" s="55"/>
      <c r="CA258" s="55"/>
      <c r="CB258" s="55"/>
      <c r="CC258" s="55"/>
      <c r="CD258" s="55"/>
      <c r="CE258" s="55"/>
      <c r="CF258" s="55"/>
      <c r="CG258" s="55"/>
      <c r="CH258" s="55"/>
      <c r="CI258" s="55"/>
      <c r="CJ258" s="55"/>
      <c r="CK258" s="55"/>
      <c r="CL258" s="55"/>
      <c r="CM258" s="55"/>
      <c r="CN258" s="55"/>
      <c r="CO258" s="55"/>
      <c r="CP258" s="55"/>
      <c r="CQ258" s="55"/>
      <c r="CR258" s="55"/>
      <c r="CS258" s="55"/>
      <c r="CT258" s="55"/>
      <c r="CU258" s="55"/>
      <c r="CV258" s="55"/>
      <c r="CW258" s="55"/>
      <c r="CX258" s="55"/>
      <c r="CY258" s="55"/>
      <c r="CZ258" s="55"/>
      <c r="DA258" s="55"/>
      <c r="DB258" s="55"/>
      <c r="DC258" s="55"/>
      <c r="DD258" s="55"/>
      <c r="DE258" s="55"/>
      <c r="DF258" s="55"/>
      <c r="DG258" s="55"/>
      <c r="DH258" s="55"/>
      <c r="DI258" s="55"/>
    </row>
    <row r="259" spans="1:115" x14ac:dyDescent="0.25">
      <c r="A259" s="152">
        <v>5</v>
      </c>
      <c r="B259" s="213" t="s">
        <v>902</v>
      </c>
      <c r="C259" s="43">
        <v>18000</v>
      </c>
      <c r="D259" s="232">
        <v>0</v>
      </c>
      <c r="E259" s="102">
        <v>0</v>
      </c>
      <c r="F259" s="59">
        <f>1000-1000</f>
        <v>0</v>
      </c>
      <c r="G259" s="139">
        <f t="shared" si="146"/>
        <v>0</v>
      </c>
      <c r="H259" s="139">
        <f>1000-1000</f>
        <v>0</v>
      </c>
      <c r="I259" s="290">
        <f t="shared" si="147"/>
        <v>0</v>
      </c>
      <c r="J259" s="56">
        <f t="shared" si="148"/>
        <v>0</v>
      </c>
      <c r="K259" s="57">
        <f t="shared" si="149"/>
        <v>0</v>
      </c>
      <c r="L259"/>
      <c r="M259" s="314">
        <f t="shared" si="151"/>
        <v>0</v>
      </c>
      <c r="N259" s="310"/>
      <c r="O259" s="315"/>
      <c r="P259" s="315"/>
      <c r="Q259" s="315"/>
      <c r="R259" s="315"/>
      <c r="S259" s="55"/>
      <c r="T259" s="55"/>
      <c r="U259" s="55"/>
      <c r="V259" s="55"/>
      <c r="W259" s="55"/>
      <c r="X259" s="55"/>
      <c r="Y259" s="55"/>
      <c r="Z259" s="55"/>
      <c r="AA259" s="55"/>
      <c r="AB259" s="55"/>
      <c r="AC259" s="55"/>
      <c r="AD259" s="55"/>
      <c r="AE259" s="55"/>
      <c r="AF259" s="55"/>
      <c r="AG259" s="55"/>
      <c r="AH259" s="55"/>
      <c r="AI259" s="55"/>
      <c r="AJ259" s="55"/>
      <c r="AK259" s="55"/>
      <c r="AL259" s="55"/>
      <c r="AM259" s="55"/>
      <c r="AN259" s="55"/>
      <c r="AO259" s="55"/>
      <c r="AP259" s="55"/>
      <c r="AQ259" s="55"/>
      <c r="AR259" s="55"/>
      <c r="AS259" s="55"/>
      <c r="AT259" s="55"/>
      <c r="AU259" s="55"/>
      <c r="AV259" s="55"/>
      <c r="AW259" s="55"/>
      <c r="AX259" s="55"/>
      <c r="AY259" s="55"/>
      <c r="AZ259" s="55"/>
      <c r="BA259" s="55"/>
      <c r="BB259" s="55"/>
      <c r="BC259" s="55"/>
      <c r="BD259" s="55"/>
      <c r="BE259" s="55"/>
      <c r="BF259" s="55"/>
      <c r="BG259" s="55"/>
      <c r="BH259" s="55"/>
      <c r="BI259" s="55"/>
      <c r="BJ259" s="55"/>
      <c r="BK259" s="55"/>
      <c r="BL259" s="55"/>
      <c r="BM259" s="55"/>
      <c r="BN259" s="55"/>
      <c r="BO259" s="55"/>
      <c r="BP259" s="55"/>
      <c r="BQ259" s="55"/>
      <c r="BR259" s="55"/>
      <c r="BS259" s="55"/>
      <c r="BT259" s="55"/>
      <c r="BU259" s="55"/>
      <c r="BV259" s="55"/>
      <c r="BW259" s="55"/>
      <c r="BX259" s="55"/>
      <c r="BY259" s="55"/>
      <c r="BZ259" s="55"/>
      <c r="CA259" s="55"/>
      <c r="CB259" s="55"/>
      <c r="CC259" s="55"/>
      <c r="CD259" s="55"/>
      <c r="CE259" s="55"/>
      <c r="CF259" s="55"/>
      <c r="CG259" s="55"/>
      <c r="CH259" s="55"/>
      <c r="CI259" s="55"/>
      <c r="CJ259" s="55"/>
      <c r="CK259" s="55"/>
      <c r="CL259" s="55"/>
      <c r="CM259" s="55"/>
      <c r="CN259" s="55"/>
      <c r="CO259" s="55"/>
      <c r="CP259" s="55"/>
      <c r="CQ259" s="55"/>
      <c r="CR259" s="55"/>
      <c r="CS259" s="55"/>
      <c r="CT259" s="55"/>
      <c r="CU259" s="55"/>
      <c r="CV259" s="55"/>
      <c r="CW259" s="55"/>
      <c r="CX259" s="55"/>
      <c r="CY259" s="55"/>
      <c r="CZ259" s="55"/>
      <c r="DA259" s="55"/>
      <c r="DB259" s="55"/>
      <c r="DC259" s="55"/>
      <c r="DD259" s="55"/>
      <c r="DE259" s="55"/>
      <c r="DF259" s="55"/>
      <c r="DG259" s="55"/>
      <c r="DH259" s="55"/>
      <c r="DI259" s="55"/>
    </row>
    <row r="260" spans="1:115" x14ac:dyDescent="0.25">
      <c r="A260" s="152">
        <v>6</v>
      </c>
      <c r="B260" s="60" t="s">
        <v>903</v>
      </c>
      <c r="C260" s="43">
        <v>32000</v>
      </c>
      <c r="D260" s="232">
        <v>3729</v>
      </c>
      <c r="E260" s="102">
        <v>1000</v>
      </c>
      <c r="F260" s="59">
        <f>10000-10000</f>
        <v>0</v>
      </c>
      <c r="G260" s="139">
        <f t="shared" si="146"/>
        <v>1000</v>
      </c>
      <c r="H260" s="139">
        <f>9000-9000+500</f>
        <v>500</v>
      </c>
      <c r="I260" s="56">
        <f t="shared" si="147"/>
        <v>500</v>
      </c>
      <c r="J260" s="56">
        <f t="shared" si="148"/>
        <v>16000000</v>
      </c>
      <c r="K260" s="57">
        <f t="shared" si="149"/>
        <v>1864500</v>
      </c>
      <c r="L260"/>
      <c r="M260" s="314">
        <f t="shared" si="151"/>
        <v>0</v>
      </c>
      <c r="N260" s="310"/>
      <c r="O260" s="315"/>
      <c r="P260" s="315"/>
      <c r="Q260" s="315"/>
      <c r="R260" s="315"/>
      <c r="S260" s="55"/>
      <c r="T260" s="55"/>
      <c r="U260" s="55"/>
      <c r="V260" s="55"/>
      <c r="W260" s="55"/>
      <c r="X260" s="55"/>
      <c r="Y260" s="55"/>
      <c r="Z260" s="55"/>
      <c r="AA260" s="55"/>
      <c r="AB260" s="55"/>
      <c r="AC260" s="55"/>
      <c r="AD260" s="55"/>
      <c r="AE260" s="55"/>
      <c r="AF260" s="55"/>
      <c r="AG260" s="55"/>
      <c r="AH260" s="55"/>
      <c r="AI260" s="55"/>
      <c r="AJ260" s="55"/>
      <c r="AK260" s="55"/>
      <c r="AL260" s="55"/>
      <c r="AM260" s="55"/>
      <c r="AN260" s="55"/>
      <c r="AO260" s="55"/>
      <c r="AP260" s="55"/>
      <c r="AQ260" s="55"/>
      <c r="AR260" s="55"/>
      <c r="AS260" s="55"/>
      <c r="AT260" s="55"/>
      <c r="AU260" s="55"/>
      <c r="AV260" s="55"/>
      <c r="AW260" s="55"/>
      <c r="AX260" s="55"/>
      <c r="AY260" s="55"/>
      <c r="AZ260" s="55"/>
      <c r="BA260" s="55"/>
      <c r="BB260" s="55"/>
      <c r="BC260" s="55"/>
      <c r="BD260" s="55"/>
      <c r="BE260" s="55"/>
      <c r="BF260" s="55"/>
      <c r="BG260" s="55"/>
      <c r="BH260" s="55"/>
      <c r="BI260" s="55"/>
      <c r="BJ260" s="55"/>
      <c r="BK260" s="55"/>
      <c r="BL260" s="55"/>
      <c r="BM260" s="55"/>
      <c r="BN260" s="55"/>
      <c r="BO260" s="55"/>
      <c r="BP260" s="55"/>
      <c r="BQ260" s="55"/>
      <c r="BR260" s="55"/>
      <c r="BS260" s="55"/>
      <c r="BT260" s="55"/>
      <c r="BU260" s="55"/>
      <c r="BV260" s="55"/>
      <c r="BW260" s="55"/>
      <c r="BX260" s="55"/>
      <c r="BY260" s="55"/>
      <c r="BZ260" s="55"/>
      <c r="CA260" s="55"/>
      <c r="CB260" s="55"/>
      <c r="CC260" s="55"/>
      <c r="CD260" s="55"/>
      <c r="CE260" s="55"/>
      <c r="CF260" s="55"/>
      <c r="CG260" s="55"/>
      <c r="CH260" s="55"/>
      <c r="CI260" s="55"/>
      <c r="CJ260" s="55"/>
      <c r="CK260" s="55"/>
      <c r="CL260" s="55"/>
      <c r="CM260" s="55"/>
      <c r="CN260" s="55"/>
      <c r="CO260" s="55"/>
      <c r="CP260" s="55"/>
      <c r="CQ260" s="55"/>
      <c r="CR260" s="55"/>
      <c r="CS260" s="55"/>
      <c r="CT260" s="55"/>
      <c r="CU260" s="55"/>
      <c r="CV260" s="55"/>
      <c r="CW260" s="55"/>
      <c r="CX260" s="55"/>
      <c r="CY260" s="55"/>
      <c r="CZ260" s="55"/>
      <c r="DA260" s="55"/>
      <c r="DB260" s="55"/>
      <c r="DC260" s="55"/>
      <c r="DD260" s="55"/>
      <c r="DE260" s="55"/>
      <c r="DF260" s="55"/>
      <c r="DG260" s="55"/>
      <c r="DH260" s="55"/>
      <c r="DI260" s="55"/>
    </row>
    <row r="261" spans="1:115" x14ac:dyDescent="0.25">
      <c r="A261" s="152">
        <v>7</v>
      </c>
      <c r="B261" s="213" t="s">
        <v>909</v>
      </c>
      <c r="C261" s="43">
        <v>102000</v>
      </c>
      <c r="D261" s="232">
        <v>7618</v>
      </c>
      <c r="E261" s="43">
        <v>30050</v>
      </c>
      <c r="F261" s="59">
        <f>1000+2000+3000+14000+6000+14000+500+39000-79500+20500</f>
        <v>20500</v>
      </c>
      <c r="G261" s="139">
        <f t="shared" si="146"/>
        <v>50550</v>
      </c>
      <c r="H261" s="139">
        <f>3000+10+41800+4640-49450+11520+1000+1800+1000</f>
        <v>15320</v>
      </c>
      <c r="I261" s="56">
        <f t="shared" si="147"/>
        <v>35230</v>
      </c>
      <c r="J261" s="56">
        <f t="shared" si="148"/>
        <v>3593460000</v>
      </c>
      <c r="K261" s="57">
        <f t="shared" si="149"/>
        <v>268382140</v>
      </c>
      <c r="L261"/>
      <c r="M261" s="314">
        <f t="shared" si="151"/>
        <v>0</v>
      </c>
      <c r="N261" s="310"/>
      <c r="O261" s="315"/>
      <c r="P261" s="315"/>
      <c r="Q261" s="315"/>
      <c r="R261" s="315"/>
      <c r="S261" s="55"/>
      <c r="T261" s="55"/>
      <c r="U261" s="55"/>
      <c r="V261" s="55"/>
      <c r="W261" s="55"/>
      <c r="X261" s="55"/>
      <c r="Y261" s="55"/>
      <c r="Z261" s="55"/>
      <c r="AA261" s="55"/>
      <c r="AB261" s="55"/>
      <c r="AC261" s="55"/>
      <c r="AD261" s="55"/>
      <c r="AE261" s="55"/>
      <c r="AF261" s="55"/>
      <c r="AG261" s="55"/>
      <c r="AH261" s="55"/>
      <c r="AI261" s="55"/>
      <c r="AJ261" s="55"/>
      <c r="AK261" s="55"/>
      <c r="AL261" s="55"/>
      <c r="AM261" s="55"/>
      <c r="AN261" s="55"/>
      <c r="AO261" s="55"/>
      <c r="AP261" s="55"/>
      <c r="AQ261" s="55"/>
      <c r="AR261" s="55"/>
      <c r="AS261" s="55"/>
      <c r="AT261" s="55"/>
      <c r="AU261" s="55"/>
      <c r="AV261" s="55"/>
      <c r="AW261" s="55"/>
      <c r="AX261" s="55"/>
      <c r="AY261" s="55"/>
      <c r="AZ261" s="55"/>
      <c r="BA261" s="55"/>
      <c r="BB261" s="55"/>
      <c r="BC261" s="55"/>
      <c r="BD261" s="55"/>
      <c r="BE261" s="55"/>
      <c r="BF261" s="55"/>
      <c r="BG261" s="55"/>
      <c r="BH261" s="55"/>
      <c r="BI261" s="55"/>
      <c r="BJ261" s="55"/>
      <c r="BK261" s="55"/>
      <c r="BL261" s="55"/>
      <c r="BM261" s="55"/>
      <c r="BN261" s="55"/>
      <c r="BO261" s="55"/>
      <c r="BP261" s="55"/>
      <c r="BQ261" s="55"/>
      <c r="BR261" s="55"/>
      <c r="BS261" s="55"/>
      <c r="BT261" s="55"/>
      <c r="BU261" s="55"/>
      <c r="BV261" s="55"/>
      <c r="BW261" s="55"/>
      <c r="BX261" s="55"/>
      <c r="BY261" s="55"/>
      <c r="BZ261" s="55"/>
      <c r="CA261" s="55"/>
      <c r="CB261" s="55"/>
      <c r="CC261" s="55"/>
      <c r="CD261" s="55"/>
      <c r="CE261" s="55"/>
      <c r="CF261" s="55"/>
      <c r="CG261" s="55"/>
      <c r="CH261" s="55"/>
      <c r="CI261" s="55"/>
      <c r="CJ261" s="55"/>
      <c r="CK261" s="55"/>
      <c r="CL261" s="55"/>
      <c r="CM261" s="55"/>
      <c r="CN261" s="55"/>
      <c r="CO261" s="55"/>
      <c r="CP261" s="55"/>
      <c r="CQ261" s="55"/>
      <c r="CR261" s="55"/>
      <c r="CS261" s="55"/>
      <c r="CT261" s="55"/>
      <c r="CU261" s="55"/>
      <c r="CV261" s="55"/>
      <c r="CW261" s="55"/>
      <c r="CX261" s="55"/>
      <c r="CY261" s="55"/>
      <c r="CZ261" s="55"/>
      <c r="DA261" s="55"/>
      <c r="DB261" s="55"/>
      <c r="DC261" s="55"/>
      <c r="DD261" s="55"/>
      <c r="DE261" s="55"/>
      <c r="DF261" s="55"/>
      <c r="DG261" s="55"/>
      <c r="DH261" s="55"/>
      <c r="DI261" s="55"/>
    </row>
    <row r="262" spans="1:115" x14ac:dyDescent="0.25">
      <c r="A262" s="152">
        <v>8</v>
      </c>
      <c r="B262" s="213" t="s">
        <v>908</v>
      </c>
      <c r="C262" s="43">
        <v>20000</v>
      </c>
      <c r="D262" s="232">
        <v>5511.62</v>
      </c>
      <c r="E262" s="43">
        <v>1990</v>
      </c>
      <c r="F262" s="59">
        <f>2000+3000+3000+3000+6000+3000-20000</f>
        <v>0</v>
      </c>
      <c r="G262" s="139">
        <f t="shared" si="146"/>
        <v>1990</v>
      </c>
      <c r="H262" s="292">
        <f>10+18000-18010</f>
        <v>0</v>
      </c>
      <c r="I262" s="56">
        <f t="shared" si="147"/>
        <v>1990</v>
      </c>
      <c r="J262" s="56">
        <f t="shared" si="148"/>
        <v>39800000</v>
      </c>
      <c r="K262" s="57">
        <f t="shared" si="149"/>
        <v>10968123.799999999</v>
      </c>
      <c r="L262"/>
      <c r="M262" s="314">
        <f t="shared" si="151"/>
        <v>0</v>
      </c>
      <c r="N262" s="310"/>
      <c r="O262" s="315"/>
      <c r="P262" s="315"/>
      <c r="Q262" s="315"/>
      <c r="R262" s="315"/>
      <c r="S262" s="55"/>
      <c r="T262" s="55"/>
      <c r="U262" s="55"/>
      <c r="V262" s="55"/>
      <c r="W262" s="55"/>
      <c r="X262" s="55"/>
      <c r="Y262" s="55"/>
      <c r="Z262" s="55"/>
      <c r="AA262" s="55"/>
      <c r="AB262" s="55"/>
      <c r="AC262" s="55"/>
      <c r="AD262" s="55"/>
      <c r="AE262" s="55"/>
      <c r="AF262" s="55"/>
      <c r="AG262" s="55"/>
      <c r="AH262" s="55"/>
      <c r="AI262" s="55"/>
      <c r="AJ262" s="55"/>
      <c r="AK262" s="55"/>
      <c r="AL262" s="55"/>
      <c r="AM262" s="55"/>
      <c r="AN262" s="55"/>
      <c r="AO262" s="55"/>
      <c r="AP262" s="55"/>
      <c r="AQ262" s="55"/>
      <c r="AR262" s="55"/>
      <c r="AS262" s="55"/>
      <c r="AT262" s="55"/>
      <c r="AU262" s="55"/>
      <c r="AV262" s="55"/>
      <c r="AW262" s="55"/>
      <c r="AX262" s="55"/>
      <c r="AY262" s="55"/>
      <c r="AZ262" s="55"/>
      <c r="BA262" s="55"/>
      <c r="BB262" s="55"/>
      <c r="BC262" s="55"/>
      <c r="BD262" s="55"/>
      <c r="BE262" s="55"/>
      <c r="BF262" s="55"/>
      <c r="BG262" s="55"/>
      <c r="BH262" s="55"/>
      <c r="BI262" s="55"/>
      <c r="BJ262" s="55"/>
      <c r="BK262" s="55"/>
      <c r="BL262" s="55"/>
      <c r="BM262" s="55"/>
      <c r="BN262" s="55"/>
      <c r="BO262" s="55"/>
      <c r="BP262" s="55"/>
      <c r="BQ262" s="55"/>
      <c r="BR262" s="55"/>
      <c r="BS262" s="55"/>
      <c r="BT262" s="55"/>
      <c r="BU262" s="55"/>
      <c r="BV262" s="55"/>
      <c r="BW262" s="55"/>
      <c r="BX262" s="55"/>
      <c r="BY262" s="55"/>
      <c r="BZ262" s="55"/>
      <c r="CA262" s="55"/>
      <c r="CB262" s="55"/>
      <c r="CC262" s="55"/>
      <c r="CD262" s="55"/>
      <c r="CE262" s="55"/>
      <c r="CF262" s="55"/>
      <c r="CG262" s="55"/>
      <c r="CH262" s="55"/>
      <c r="CI262" s="55"/>
      <c r="CJ262" s="55"/>
      <c r="CK262" s="55"/>
      <c r="CL262" s="55"/>
      <c r="CM262" s="55"/>
      <c r="CN262" s="55"/>
      <c r="CO262" s="55"/>
      <c r="CP262" s="55"/>
      <c r="CQ262" s="55"/>
      <c r="CR262" s="55"/>
      <c r="CS262" s="55"/>
      <c r="CT262" s="55"/>
      <c r="CU262" s="55"/>
      <c r="CV262" s="55"/>
      <c r="CW262" s="55"/>
      <c r="CX262" s="55"/>
      <c r="CY262" s="55"/>
      <c r="CZ262" s="55"/>
      <c r="DA262" s="55"/>
      <c r="DB262" s="55"/>
      <c r="DC262" s="55"/>
      <c r="DD262" s="55"/>
      <c r="DE262" s="55"/>
      <c r="DF262" s="55"/>
      <c r="DG262" s="55"/>
      <c r="DH262" s="55"/>
      <c r="DI262" s="55"/>
    </row>
    <row r="263" spans="1:115" x14ac:dyDescent="0.25">
      <c r="A263" s="170">
        <v>9</v>
      </c>
      <c r="B263" s="213" t="s">
        <v>918</v>
      </c>
      <c r="C263" s="43">
        <v>40000</v>
      </c>
      <c r="D263" s="232">
        <v>3935</v>
      </c>
      <c r="E263" s="102">
        <v>0</v>
      </c>
      <c r="F263" s="59">
        <v>2000</v>
      </c>
      <c r="G263" s="139">
        <f t="shared" si="146"/>
        <v>2000</v>
      </c>
      <c r="H263" s="139">
        <v>2000</v>
      </c>
      <c r="I263" s="56">
        <f t="shared" si="147"/>
        <v>0</v>
      </c>
      <c r="J263" s="56">
        <f t="shared" si="148"/>
        <v>0</v>
      </c>
      <c r="K263" s="57">
        <f t="shared" si="149"/>
        <v>0</v>
      </c>
      <c r="L263"/>
      <c r="M263" s="314">
        <f t="shared" si="151"/>
        <v>0</v>
      </c>
      <c r="N263" s="310"/>
      <c r="O263" s="315"/>
      <c r="P263" s="315"/>
      <c r="Q263" s="315"/>
      <c r="R263" s="315"/>
      <c r="S263" s="55"/>
      <c r="T263" s="55"/>
      <c r="U263" s="55"/>
      <c r="V263" s="55"/>
      <c r="W263" s="55"/>
      <c r="X263" s="55"/>
      <c r="Y263" s="55"/>
      <c r="Z263" s="55"/>
      <c r="AA263" s="55"/>
      <c r="AB263" s="55"/>
      <c r="AC263" s="55"/>
      <c r="AD263" s="55"/>
      <c r="AE263" s="55"/>
      <c r="AF263" s="55"/>
      <c r="AG263" s="55"/>
      <c r="AH263" s="55"/>
      <c r="AI263" s="55"/>
      <c r="AJ263" s="55"/>
      <c r="AK263" s="55"/>
      <c r="AL263" s="55"/>
      <c r="AM263" s="55"/>
      <c r="AN263" s="55"/>
      <c r="AO263" s="55"/>
      <c r="AP263" s="55"/>
      <c r="AQ263" s="55"/>
      <c r="AR263" s="55"/>
      <c r="AS263" s="55"/>
      <c r="AT263" s="55"/>
      <c r="AU263" s="55"/>
      <c r="AV263" s="55"/>
      <c r="AW263" s="55"/>
      <c r="AX263" s="55"/>
      <c r="AY263" s="55"/>
      <c r="AZ263" s="55"/>
      <c r="BA263" s="55"/>
      <c r="BB263" s="55"/>
      <c r="BC263" s="55"/>
      <c r="BD263" s="55"/>
      <c r="BE263" s="55"/>
      <c r="BF263" s="55"/>
      <c r="BG263" s="55"/>
      <c r="BH263" s="55"/>
      <c r="BI263" s="55"/>
      <c r="BJ263" s="55"/>
      <c r="BK263" s="55"/>
      <c r="BL263" s="55"/>
      <c r="BM263" s="55"/>
      <c r="BN263" s="55"/>
      <c r="BO263" s="55"/>
      <c r="BP263" s="55"/>
      <c r="BQ263" s="55"/>
      <c r="BR263" s="55"/>
      <c r="BS263" s="55"/>
      <c r="BT263" s="55"/>
      <c r="BU263" s="55"/>
      <c r="BV263" s="55"/>
      <c r="BW263" s="55"/>
      <c r="BX263" s="55"/>
      <c r="BY263" s="55"/>
      <c r="BZ263" s="55"/>
      <c r="CA263" s="55"/>
      <c r="CB263" s="55"/>
      <c r="CC263" s="55"/>
      <c r="CD263" s="55"/>
      <c r="CE263" s="55"/>
      <c r="CF263" s="55"/>
      <c r="CG263" s="55"/>
      <c r="CH263" s="55"/>
      <c r="CI263" s="55"/>
      <c r="CJ263" s="55"/>
      <c r="CK263" s="55"/>
      <c r="CL263" s="55"/>
      <c r="CM263" s="55"/>
      <c r="CN263" s="55"/>
      <c r="CO263" s="55"/>
      <c r="CP263" s="55"/>
      <c r="CQ263" s="55"/>
      <c r="CR263" s="55"/>
      <c r="CS263" s="55"/>
      <c r="CT263" s="55"/>
      <c r="CU263" s="55"/>
      <c r="CV263" s="55"/>
      <c r="CW263" s="55"/>
      <c r="CX263" s="55"/>
      <c r="CY263" s="55"/>
      <c r="CZ263" s="55"/>
      <c r="DA263" s="55"/>
      <c r="DB263" s="55"/>
      <c r="DC263" s="55"/>
      <c r="DD263" s="55"/>
      <c r="DE263" s="55"/>
      <c r="DF263" s="55"/>
      <c r="DG263" s="55"/>
      <c r="DH263" s="55"/>
      <c r="DI263" s="55"/>
    </row>
    <row r="264" spans="1:115" x14ac:dyDescent="0.25">
      <c r="A264" s="170">
        <v>10</v>
      </c>
      <c r="B264" s="213" t="s">
        <v>176</v>
      </c>
      <c r="C264" s="122">
        <v>10000</v>
      </c>
      <c r="D264" s="232">
        <v>0</v>
      </c>
      <c r="E264" s="102">
        <v>0</v>
      </c>
      <c r="F264" s="59">
        <f>14500+500</f>
        <v>15000</v>
      </c>
      <c r="G264" s="139">
        <f t="shared" si="146"/>
        <v>15000</v>
      </c>
      <c r="H264" s="139">
        <f>1000+9900+3000</f>
        <v>13900</v>
      </c>
      <c r="I264" s="56">
        <f t="shared" si="147"/>
        <v>1100</v>
      </c>
      <c r="J264" s="56">
        <f t="shared" si="148"/>
        <v>11000000</v>
      </c>
      <c r="K264" s="57">
        <f t="shared" si="149"/>
        <v>0</v>
      </c>
      <c r="L264"/>
      <c r="M264" s="314">
        <f t="shared" si="151"/>
        <v>0</v>
      </c>
      <c r="N264" s="310"/>
      <c r="O264" s="315"/>
      <c r="P264" s="315"/>
      <c r="Q264" s="315"/>
      <c r="R264" s="315"/>
      <c r="S264" s="55"/>
      <c r="T264" s="55"/>
      <c r="U264" s="55"/>
      <c r="V264" s="55"/>
      <c r="W264" s="55"/>
      <c r="X264" s="55"/>
      <c r="Y264" s="55"/>
      <c r="Z264" s="55"/>
      <c r="AA264" s="55"/>
      <c r="AB264" s="55"/>
      <c r="AC264" s="55"/>
      <c r="AD264" s="55"/>
      <c r="AE264" s="55"/>
      <c r="AF264" s="55"/>
      <c r="AG264" s="55"/>
      <c r="AH264" s="55"/>
      <c r="AI264" s="55"/>
      <c r="AJ264" s="55"/>
      <c r="AK264" s="55"/>
      <c r="AL264" s="55"/>
      <c r="AM264" s="55"/>
      <c r="AN264" s="55"/>
      <c r="AO264" s="55"/>
      <c r="AP264" s="55"/>
      <c r="AQ264" s="55"/>
      <c r="AR264" s="55"/>
      <c r="AS264" s="55"/>
      <c r="AT264" s="55"/>
      <c r="AU264" s="55"/>
      <c r="AV264" s="55"/>
      <c r="AW264" s="55"/>
      <c r="AX264" s="55"/>
      <c r="AY264" s="55"/>
      <c r="AZ264" s="55"/>
      <c r="BA264" s="55"/>
      <c r="BB264" s="55"/>
      <c r="BC264" s="55"/>
      <c r="BD264" s="55"/>
      <c r="BE264" s="55"/>
      <c r="BF264" s="55"/>
      <c r="BG264" s="55"/>
      <c r="BH264" s="55"/>
      <c r="BI264" s="55"/>
      <c r="BJ264" s="55"/>
      <c r="BK264" s="55"/>
      <c r="BL264" s="55"/>
      <c r="BM264" s="55"/>
      <c r="BN264" s="55"/>
      <c r="BO264" s="55"/>
      <c r="BP264" s="55"/>
      <c r="BQ264" s="55"/>
      <c r="BR264" s="55"/>
      <c r="BS264" s="55"/>
      <c r="BT264" s="55"/>
      <c r="BU264" s="55"/>
      <c r="BV264" s="55"/>
      <c r="BW264" s="55"/>
      <c r="BX264" s="55"/>
      <c r="BY264" s="55"/>
      <c r="BZ264" s="55"/>
      <c r="CA264" s="55"/>
      <c r="CB264" s="55"/>
      <c r="CC264" s="55"/>
      <c r="CD264" s="55"/>
      <c r="CE264" s="55"/>
      <c r="CF264" s="55"/>
      <c r="CG264" s="55"/>
      <c r="CH264" s="55"/>
      <c r="CI264" s="55"/>
      <c r="CJ264" s="55"/>
      <c r="CK264" s="55"/>
      <c r="CL264" s="55"/>
      <c r="CM264" s="55"/>
      <c r="CN264" s="55"/>
      <c r="CO264" s="55"/>
      <c r="CP264" s="55"/>
      <c r="CQ264" s="55"/>
      <c r="CR264" s="55"/>
      <c r="CS264" s="55"/>
      <c r="CT264" s="55"/>
      <c r="CU264" s="55"/>
      <c r="CV264" s="55"/>
      <c r="CW264" s="55"/>
      <c r="CX264" s="55"/>
      <c r="CY264" s="55"/>
      <c r="CZ264" s="55"/>
      <c r="DA264" s="55"/>
      <c r="DB264" s="55"/>
      <c r="DC264" s="55"/>
      <c r="DD264" s="55"/>
      <c r="DE264" s="55"/>
      <c r="DF264" s="55"/>
      <c r="DG264" s="55"/>
      <c r="DH264" s="55"/>
      <c r="DI264" s="55"/>
    </row>
    <row r="265" spans="1:115" x14ac:dyDescent="0.25">
      <c r="A265" s="152">
        <v>11</v>
      </c>
      <c r="B265" s="213"/>
      <c r="C265" s="43"/>
      <c r="D265" s="232">
        <v>0</v>
      </c>
      <c r="E265" s="43">
        <v>0</v>
      </c>
      <c r="F265" s="59"/>
      <c r="G265" s="139">
        <f t="shared" si="146"/>
        <v>0</v>
      </c>
      <c r="H265" s="139">
        <v>0</v>
      </c>
      <c r="I265" s="56">
        <f t="shared" si="147"/>
        <v>0</v>
      </c>
      <c r="J265" s="56">
        <f t="shared" si="148"/>
        <v>0</v>
      </c>
      <c r="K265" s="57">
        <f t="shared" si="149"/>
        <v>0</v>
      </c>
      <c r="L265"/>
      <c r="M265" s="314">
        <f t="shared" si="151"/>
        <v>0</v>
      </c>
      <c r="N265" s="310"/>
      <c r="O265" s="315"/>
      <c r="P265" s="315"/>
      <c r="Q265" s="315"/>
      <c r="R265" s="315"/>
      <c r="S265" s="55"/>
      <c r="T265" s="55"/>
      <c r="U265" s="55"/>
      <c r="V265" s="55"/>
      <c r="W265" s="55"/>
      <c r="X265" s="55"/>
      <c r="Y265" s="55"/>
      <c r="Z265" s="55"/>
      <c r="AA265" s="55"/>
      <c r="AB265" s="55"/>
      <c r="AC265" s="55"/>
      <c r="AD265" s="55"/>
      <c r="AE265" s="55"/>
      <c r="AF265" s="55"/>
      <c r="AG265" s="55"/>
      <c r="AH265" s="55"/>
      <c r="AI265" s="55"/>
      <c r="AJ265" s="55"/>
      <c r="AK265" s="55"/>
      <c r="AL265" s="55"/>
      <c r="AM265" s="55"/>
      <c r="AN265" s="55"/>
      <c r="AO265" s="55"/>
      <c r="AP265" s="55"/>
      <c r="AQ265" s="55"/>
      <c r="AR265" s="55"/>
      <c r="AS265" s="55"/>
      <c r="AT265" s="55"/>
      <c r="AU265" s="55"/>
      <c r="AV265" s="55"/>
      <c r="AW265" s="55"/>
      <c r="AX265" s="55"/>
      <c r="AY265" s="55"/>
      <c r="AZ265" s="55"/>
      <c r="BA265" s="55"/>
      <c r="BB265" s="55"/>
      <c r="BC265" s="55"/>
      <c r="BD265" s="55"/>
      <c r="BE265" s="55"/>
      <c r="BF265" s="55"/>
      <c r="BG265" s="55"/>
      <c r="BH265" s="55"/>
      <c r="BI265" s="55"/>
      <c r="BJ265" s="55"/>
      <c r="BK265" s="55"/>
      <c r="BL265" s="55"/>
      <c r="BM265" s="55"/>
      <c r="BN265" s="55"/>
      <c r="BO265" s="55"/>
      <c r="BP265" s="55"/>
      <c r="BQ265" s="55"/>
      <c r="BR265" s="55"/>
      <c r="BS265" s="55"/>
      <c r="BT265" s="55"/>
      <c r="BU265" s="55"/>
      <c r="BV265" s="55"/>
      <c r="BW265" s="55"/>
      <c r="BX265" s="55"/>
      <c r="BY265" s="55"/>
      <c r="BZ265" s="55"/>
      <c r="CA265" s="55"/>
      <c r="CB265" s="55"/>
      <c r="CC265" s="55"/>
      <c r="CD265" s="55"/>
      <c r="CE265" s="55"/>
      <c r="CF265" s="55"/>
      <c r="CG265" s="55"/>
      <c r="CH265" s="55"/>
      <c r="CI265" s="55"/>
      <c r="CJ265" s="55"/>
      <c r="CK265" s="55"/>
      <c r="CL265" s="55"/>
      <c r="CM265" s="55"/>
      <c r="CN265" s="55"/>
      <c r="CO265" s="55"/>
      <c r="CP265" s="55"/>
      <c r="CQ265" s="55"/>
      <c r="CR265" s="55"/>
      <c r="CS265" s="55"/>
      <c r="CT265" s="55"/>
      <c r="CU265" s="55"/>
      <c r="CV265" s="55"/>
      <c r="CW265" s="55"/>
      <c r="CX265" s="55"/>
      <c r="CY265" s="55"/>
      <c r="CZ265" s="55"/>
      <c r="DA265" s="55"/>
      <c r="DB265" s="55"/>
      <c r="DC265" s="55"/>
      <c r="DD265" s="55"/>
      <c r="DE265" s="55"/>
      <c r="DF265" s="55"/>
      <c r="DG265" s="55"/>
      <c r="DH265" s="55"/>
      <c r="DI265" s="55"/>
    </row>
    <row r="266" spans="1:115" ht="15.75" thickBot="1" x14ac:dyDescent="0.3">
      <c r="A266" s="152">
        <v>12</v>
      </c>
      <c r="B266" s="213"/>
      <c r="C266" s="43"/>
      <c r="D266" s="232">
        <v>0</v>
      </c>
      <c r="E266" s="43">
        <v>0</v>
      </c>
      <c r="F266" s="59"/>
      <c r="G266" s="139">
        <f t="shared" si="146"/>
        <v>0</v>
      </c>
      <c r="H266" s="139">
        <v>0</v>
      </c>
      <c r="I266" s="56">
        <f t="shared" si="147"/>
        <v>0</v>
      </c>
      <c r="J266" s="56">
        <f t="shared" si="148"/>
        <v>0</v>
      </c>
      <c r="K266" s="57">
        <f t="shared" si="149"/>
        <v>0</v>
      </c>
      <c r="L266"/>
      <c r="M266" s="314">
        <f t="shared" si="151"/>
        <v>0</v>
      </c>
      <c r="N266" s="310"/>
      <c r="O266" s="315"/>
      <c r="P266" s="315"/>
      <c r="Q266" s="315"/>
      <c r="R266" s="315"/>
      <c r="S266" s="55"/>
      <c r="T266" s="55"/>
      <c r="U266" s="55"/>
      <c r="V266" s="55"/>
      <c r="W266" s="55"/>
      <c r="X266" s="55"/>
      <c r="Y266" s="55"/>
      <c r="Z266" s="55"/>
      <c r="AA266" s="55"/>
      <c r="AB266" s="55"/>
      <c r="AC266" s="55"/>
      <c r="AD266" s="55"/>
      <c r="AE266" s="55"/>
      <c r="AF266" s="55"/>
      <c r="AG266" s="55"/>
      <c r="AH266" s="55"/>
      <c r="AI266" s="55"/>
      <c r="AJ266" s="55"/>
      <c r="AK266" s="55"/>
      <c r="AL266" s="55"/>
      <c r="AM266" s="55"/>
      <c r="AN266" s="55"/>
      <c r="AO266" s="55"/>
      <c r="AP266" s="55"/>
      <c r="AQ266" s="55"/>
      <c r="AR266" s="55"/>
      <c r="AS266" s="55"/>
      <c r="AT266" s="55"/>
      <c r="AU266" s="55"/>
      <c r="AV266" s="55"/>
      <c r="AW266" s="55"/>
      <c r="AX266" s="55"/>
      <c r="AY266" s="55"/>
      <c r="AZ266" s="55"/>
      <c r="BA266" s="55"/>
      <c r="BB266" s="55"/>
      <c r="BC266" s="55"/>
      <c r="BD266" s="55"/>
      <c r="BE266" s="55"/>
      <c r="BF266" s="55"/>
      <c r="BG266" s="55"/>
      <c r="BH266" s="55"/>
      <c r="BI266" s="55"/>
      <c r="BJ266" s="55"/>
      <c r="BK266" s="55"/>
      <c r="BL266" s="55"/>
      <c r="BM266" s="55"/>
      <c r="BN266" s="55"/>
      <c r="BO266" s="55"/>
      <c r="BP266" s="55"/>
      <c r="BQ266" s="55"/>
      <c r="BR266" s="55"/>
      <c r="BS266" s="55"/>
      <c r="BT266" s="55"/>
      <c r="BU266" s="55"/>
      <c r="BV266" s="55"/>
      <c r="BW266" s="55"/>
      <c r="BX266" s="55"/>
      <c r="BY266" s="55"/>
      <c r="BZ266" s="55"/>
      <c r="CA266" s="55"/>
      <c r="CB266" s="55"/>
      <c r="CC266" s="55"/>
      <c r="CD266" s="55"/>
      <c r="CE266" s="55"/>
      <c r="CF266" s="55"/>
      <c r="CG266" s="55"/>
      <c r="CH266" s="55"/>
      <c r="CI266" s="55"/>
      <c r="CJ266" s="55"/>
      <c r="CK266" s="55"/>
      <c r="CL266" s="55"/>
      <c r="CM266" s="55"/>
      <c r="CN266" s="55"/>
      <c r="CO266" s="55"/>
      <c r="CP266" s="55"/>
      <c r="CQ266" s="55"/>
      <c r="CR266" s="55"/>
      <c r="CS266" s="55"/>
      <c r="CT266" s="55"/>
      <c r="CU266" s="55"/>
      <c r="CV266" s="55"/>
      <c r="CW266" s="55"/>
      <c r="CX266" s="55"/>
      <c r="CY266" s="55"/>
      <c r="CZ266" s="55"/>
      <c r="DA266" s="55"/>
      <c r="DB266" s="55"/>
      <c r="DC266" s="55"/>
      <c r="DD266" s="55"/>
      <c r="DE266" s="55"/>
      <c r="DF266" s="55"/>
      <c r="DG266" s="55"/>
      <c r="DH266" s="55"/>
      <c r="DI266" s="55"/>
    </row>
    <row r="267" spans="1:115" ht="15.75" thickBot="1" x14ac:dyDescent="0.3">
      <c r="A267" s="128"/>
      <c r="B267" s="119" t="s">
        <v>882</v>
      </c>
      <c r="C267" s="36"/>
      <c r="D267" s="36"/>
      <c r="E267" s="29">
        <f>SUM(E255:E266)</f>
        <v>39149</v>
      </c>
      <c r="F267" s="29">
        <f t="shared" ref="F267:J267" si="152">SUM(F255:F266)</f>
        <v>37500</v>
      </c>
      <c r="G267" s="29">
        <f t="shared" si="152"/>
        <v>76649</v>
      </c>
      <c r="H267" s="29">
        <f t="shared" si="152"/>
        <v>32010</v>
      </c>
      <c r="I267" s="29">
        <f t="shared" si="152"/>
        <v>44639</v>
      </c>
      <c r="J267" s="29">
        <f t="shared" si="152"/>
        <v>3743252000</v>
      </c>
      <c r="K267" s="172">
        <f>SUM(K254:K266)</f>
        <v>290909860.97000003</v>
      </c>
      <c r="L267"/>
      <c r="M267" s="322">
        <f t="shared" si="151"/>
        <v>0</v>
      </c>
      <c r="N267" s="325"/>
      <c r="O267" s="325"/>
      <c r="P267" s="325"/>
      <c r="Q267" s="325"/>
      <c r="R267" s="325"/>
      <c r="S267" s="324"/>
      <c r="T267" s="324"/>
      <c r="U267" s="324"/>
      <c r="V267" s="324"/>
      <c r="W267" s="324"/>
      <c r="X267" s="324"/>
      <c r="Y267" s="324"/>
      <c r="Z267" s="324"/>
      <c r="AA267" s="324"/>
      <c r="AB267" s="324"/>
      <c r="AC267" s="324"/>
      <c r="AD267" s="324"/>
      <c r="AE267" s="324"/>
      <c r="AF267" s="324"/>
      <c r="AG267" s="324"/>
      <c r="AH267" s="324"/>
      <c r="AI267" s="324"/>
      <c r="AJ267" s="324"/>
      <c r="AK267" s="324"/>
      <c r="AL267" s="324"/>
      <c r="AM267" s="324"/>
      <c r="AN267" s="324"/>
      <c r="AO267" s="324"/>
      <c r="AP267" s="324"/>
      <c r="AQ267" s="324"/>
      <c r="AR267" s="324"/>
      <c r="AS267" s="324"/>
      <c r="AT267" s="324"/>
      <c r="AU267" s="324"/>
      <c r="AV267" s="324"/>
      <c r="AW267" s="324"/>
      <c r="AX267" s="324"/>
      <c r="AY267" s="324"/>
      <c r="AZ267" s="324"/>
      <c r="BA267" s="324"/>
      <c r="BB267" s="324"/>
      <c r="BC267" s="324"/>
      <c r="BD267" s="324"/>
      <c r="BE267" s="324"/>
      <c r="BF267" s="324"/>
      <c r="BG267" s="324"/>
      <c r="BH267" s="324"/>
      <c r="BI267" s="324"/>
      <c r="BJ267" s="324"/>
      <c r="BK267" s="324"/>
      <c r="BL267" s="324"/>
      <c r="BM267" s="324"/>
      <c r="BN267" s="324"/>
      <c r="BO267" s="324"/>
      <c r="BP267" s="324"/>
      <c r="BQ267" s="324"/>
      <c r="BR267" s="324"/>
      <c r="BS267" s="324"/>
      <c r="BT267" s="324"/>
      <c r="BU267" s="324"/>
      <c r="BV267" s="324"/>
      <c r="BW267" s="324"/>
      <c r="BX267" s="324"/>
      <c r="BY267" s="324"/>
      <c r="BZ267" s="324"/>
      <c r="CA267" s="324"/>
      <c r="CB267" s="324"/>
      <c r="CC267" s="324"/>
      <c r="CD267" s="324"/>
      <c r="CE267" s="324"/>
      <c r="CF267" s="324"/>
      <c r="CG267" s="324"/>
      <c r="CH267" s="324"/>
      <c r="CI267" s="324"/>
      <c r="CJ267" s="324"/>
      <c r="CK267" s="324"/>
      <c r="CL267" s="324"/>
      <c r="CM267" s="324"/>
      <c r="CN267" s="324"/>
      <c r="CO267" s="324"/>
      <c r="CP267" s="324"/>
      <c r="CQ267" s="324"/>
      <c r="CR267" s="324"/>
      <c r="CS267" s="324"/>
      <c r="CT267" s="324"/>
      <c r="CU267" s="324"/>
      <c r="CV267" s="324"/>
      <c r="CW267" s="324"/>
      <c r="CX267" s="324"/>
      <c r="CY267" s="324"/>
      <c r="CZ267" s="324"/>
      <c r="DA267" s="324"/>
      <c r="DB267" s="324"/>
      <c r="DC267" s="324"/>
      <c r="DD267" s="324"/>
      <c r="DE267" s="324"/>
      <c r="DF267" s="324"/>
      <c r="DG267" s="324"/>
      <c r="DH267" s="324"/>
      <c r="DI267" s="324"/>
    </row>
    <row r="268" spans="1:115" customFormat="1" x14ac:dyDescent="0.25"/>
    <row r="269" spans="1:115" ht="15.75" thickBot="1" x14ac:dyDescent="0.3">
      <c r="A269" s="103" t="s">
        <v>716</v>
      </c>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row>
    <row r="270" spans="1:115" ht="15.75" thickBot="1" x14ac:dyDescent="0.3">
      <c r="A270" s="128"/>
      <c r="B270" s="41" t="s">
        <v>886</v>
      </c>
      <c r="C270" s="36"/>
      <c r="D270" s="36"/>
      <c r="E270" s="38">
        <f>+E13+E23+E33+E42+E56+E67+E79+E92+E105+E115+E123+E131+E141+E152+E162+E183+E196+E211+E226+E249+E267</f>
        <v>158927</v>
      </c>
      <c r="F270" s="38">
        <f t="shared" ref="F270:J270" si="153">+F13+F23+F33+F42+F56+F67+F79+F92+F105+F115+F123+F131+F141+F152+F162+F183+F196+F211+F226+F249+F267</f>
        <v>37500</v>
      </c>
      <c r="G270" s="38">
        <f t="shared" si="153"/>
        <v>196427</v>
      </c>
      <c r="H270" s="38">
        <f t="shared" si="153"/>
        <v>55430</v>
      </c>
      <c r="I270" s="38">
        <f t="shared" si="153"/>
        <v>140997</v>
      </c>
      <c r="J270" s="38">
        <f t="shared" si="153"/>
        <v>4977407000</v>
      </c>
      <c r="K270" s="285">
        <f>+K13+K23+K33+K42+K56+K67+K79+K92+K105+K115+K123+K131+K141+K152+K162+K183+K196+K211+K226+K249+K267</f>
        <v>592990215.5</v>
      </c>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row>
    <row r="271" spans="1:115" x14ac:dyDescent="0.25">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row>
    <row r="272" spans="1:115" x14ac:dyDescent="0.25">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row>
    <row r="273" spans="5:115" x14ac:dyDescent="0.25">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row>
    <row r="274" spans="5:115" x14ac:dyDescent="0.25">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row>
    <row r="275" spans="5:115" x14ac:dyDescent="0.2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row>
    <row r="276" spans="5:115" x14ac:dyDescent="0.25">
      <c r="E276" s="26"/>
      <c r="F276" s="26"/>
      <c r="G276" s="26"/>
      <c r="H276" s="26"/>
      <c r="I276" s="26"/>
      <c r="J276" s="26"/>
      <c r="K276" s="26"/>
      <c r="L276" s="2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row>
    <row r="277" spans="5:115" x14ac:dyDescent="0.25">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row>
    <row r="278" spans="5:115" x14ac:dyDescent="0.25">
      <c r="E278" s="165"/>
      <c r="F278" s="165"/>
      <c r="G278" s="165"/>
      <c r="H278" s="165"/>
      <c r="I278" s="165"/>
      <c r="J278" s="165"/>
      <c r="K278" s="165"/>
      <c r="L278" s="165"/>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row>
    <row r="279" spans="5:115" x14ac:dyDescent="0.25">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row>
    <row r="280" spans="5:115" x14ac:dyDescent="0.25">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row>
    <row r="281" spans="5:115" x14ac:dyDescent="0.25">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row>
    <row r="282" spans="5:115" x14ac:dyDescent="0.25">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row>
    <row r="283" spans="5:115" x14ac:dyDescent="0.25">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row>
    <row r="284" spans="5:115" x14ac:dyDescent="0.25">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row>
    <row r="285" spans="5:115" x14ac:dyDescent="0.2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row>
    <row r="286" spans="5:115" x14ac:dyDescent="0.25">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row>
    <row r="287" spans="5:115" x14ac:dyDescent="0.25">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row>
    <row r="288" spans="5:115" x14ac:dyDescent="0.25">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row>
    <row r="289" spans="13:115" x14ac:dyDescent="0.25">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row>
    <row r="290" spans="13:115" x14ac:dyDescent="0.25">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row>
    <row r="291" spans="13:115" x14ac:dyDescent="0.25">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row>
    <row r="292" spans="13:115" x14ac:dyDescent="0.25">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row>
    <row r="293" spans="13:115" x14ac:dyDescent="0.25">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row>
    <row r="294" spans="13:115" x14ac:dyDescent="0.25">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row>
    <row r="295" spans="13:115" x14ac:dyDescent="0.2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row>
    <row r="296" spans="13:115" x14ac:dyDescent="0.25">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row>
    <row r="297" spans="13:115" x14ac:dyDescent="0.25">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row>
    <row r="298" spans="13:115" x14ac:dyDescent="0.25">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row>
    <row r="299" spans="13:115" x14ac:dyDescent="0.25">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row>
    <row r="300" spans="13:115" x14ac:dyDescent="0.25">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row>
    <row r="301" spans="13:115" x14ac:dyDescent="0.25">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row>
    <row r="302" spans="13:115" x14ac:dyDescent="0.25">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row>
    <row r="303" spans="13:115" x14ac:dyDescent="0.25">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row>
    <row r="304" spans="13:115" x14ac:dyDescent="0.25">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row>
    <row r="305" spans="13:115" x14ac:dyDescent="0.2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row>
    <row r="306" spans="13:115" x14ac:dyDescent="0.25">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row>
    <row r="307" spans="13:115" x14ac:dyDescent="0.25">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row>
    <row r="308" spans="13:115" x14ac:dyDescent="0.25">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row>
    <row r="309" spans="13:115" x14ac:dyDescent="0.25">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row>
    <row r="310" spans="13:115" x14ac:dyDescent="0.25">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row>
    <row r="311" spans="13:115" x14ac:dyDescent="0.25">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row>
    <row r="312" spans="13:115" x14ac:dyDescent="0.25">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row>
    <row r="313" spans="13:115" x14ac:dyDescent="0.25">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row>
    <row r="314" spans="13:115" x14ac:dyDescent="0.25">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row>
    <row r="315" spans="13:115" x14ac:dyDescent="0.2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row>
    <row r="316" spans="13:115" x14ac:dyDescent="0.25">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row>
    <row r="317" spans="13:115" x14ac:dyDescent="0.25">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row>
    <row r="318" spans="13:115" x14ac:dyDescent="0.25">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row>
    <row r="319" spans="13:115" x14ac:dyDescent="0.25">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row>
    <row r="320" spans="13:115" x14ac:dyDescent="0.25">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row>
    <row r="321" spans="13:115" x14ac:dyDescent="0.25">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row>
    <row r="322" spans="13:115" x14ac:dyDescent="0.25">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row>
    <row r="323" spans="13:115" x14ac:dyDescent="0.25">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row>
    <row r="324" spans="13:115" x14ac:dyDescent="0.25">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row>
    <row r="325" spans="13:115" x14ac:dyDescent="0.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row>
    <row r="326" spans="13:115" x14ac:dyDescent="0.25">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row>
    <row r="327" spans="13:115" x14ac:dyDescent="0.25">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row>
    <row r="328" spans="13:115" x14ac:dyDescent="0.25">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row>
    <row r="329" spans="13:115" x14ac:dyDescent="0.25">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row>
    <row r="330" spans="13:115" x14ac:dyDescent="0.25">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row>
    <row r="331" spans="13:115" x14ac:dyDescent="0.25">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row>
    <row r="332" spans="13:115" x14ac:dyDescent="0.25">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row>
    <row r="333" spans="13:115" x14ac:dyDescent="0.25">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row>
    <row r="334" spans="13:115" x14ac:dyDescent="0.25">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row>
    <row r="335" spans="13:115" x14ac:dyDescent="0.2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row>
    <row r="336" spans="13:115" x14ac:dyDescent="0.25">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row>
    <row r="337" spans="13:115" x14ac:dyDescent="0.25">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row>
    <row r="338" spans="13:115" x14ac:dyDescent="0.25">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row>
    <row r="339" spans="13:115" x14ac:dyDescent="0.25">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row>
    <row r="340" spans="13:115" x14ac:dyDescent="0.25">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row>
    <row r="341" spans="13:115" x14ac:dyDescent="0.25">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row>
    <row r="342" spans="13:115" x14ac:dyDescent="0.25">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row>
    <row r="343" spans="13:115" x14ac:dyDescent="0.25">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row>
    <row r="344" spans="13:115" x14ac:dyDescent="0.25">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row>
    <row r="345" spans="13:115" x14ac:dyDescent="0.2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row>
    <row r="346" spans="13:115" x14ac:dyDescent="0.25">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row>
    <row r="347" spans="13:115" x14ac:dyDescent="0.25">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row>
    <row r="348" spans="13:115" x14ac:dyDescent="0.25">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row>
    <row r="349" spans="13:115" x14ac:dyDescent="0.25">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row>
    <row r="350" spans="13:115" x14ac:dyDescent="0.25">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row>
    <row r="351" spans="13:115" x14ac:dyDescent="0.25">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row>
    <row r="352" spans="13:115" x14ac:dyDescent="0.25">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row>
    <row r="353" spans="13:115" x14ac:dyDescent="0.25">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row>
    <row r="354" spans="13:115" x14ac:dyDescent="0.25">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row>
    <row r="355" spans="13:115" x14ac:dyDescent="0.2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row>
    <row r="356" spans="13:115" x14ac:dyDescent="0.25">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row>
    <row r="357" spans="13:115" x14ac:dyDescent="0.25">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row>
    <row r="358" spans="13:115" x14ac:dyDescent="0.25">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row>
    <row r="359" spans="13:115" x14ac:dyDescent="0.25">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row>
    <row r="360" spans="13:115" x14ac:dyDescent="0.25">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row>
    <row r="361" spans="13:115" x14ac:dyDescent="0.25">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row>
    <row r="362" spans="13:115" x14ac:dyDescent="0.25">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row>
    <row r="363" spans="13:115" x14ac:dyDescent="0.25">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row>
    <row r="364" spans="13:115" x14ac:dyDescent="0.25">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row>
    <row r="365" spans="13:115" x14ac:dyDescent="0.2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row>
    <row r="366" spans="13:115" x14ac:dyDescent="0.25">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row>
    <row r="367" spans="13:115" x14ac:dyDescent="0.25">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row>
    <row r="368" spans="13:115" x14ac:dyDescent="0.25">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c r="CV368"/>
      <c r="CW368"/>
      <c r="CX368"/>
      <c r="CY368"/>
      <c r="CZ368"/>
      <c r="DA368"/>
      <c r="DB368"/>
      <c r="DC368"/>
      <c r="DD368"/>
      <c r="DE368"/>
      <c r="DF368"/>
      <c r="DG368"/>
      <c r="DH368"/>
      <c r="DI368"/>
      <c r="DJ368"/>
      <c r="DK368"/>
    </row>
    <row r="369" spans="13:115" x14ac:dyDescent="0.25">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c r="DA369"/>
      <c r="DB369"/>
      <c r="DC369"/>
      <c r="DD369"/>
      <c r="DE369"/>
      <c r="DF369"/>
      <c r="DG369"/>
      <c r="DH369"/>
      <c r="DI369"/>
      <c r="DJ369"/>
      <c r="DK369"/>
    </row>
    <row r="370" spans="13:115" x14ac:dyDescent="0.25">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c r="DB370"/>
      <c r="DC370"/>
      <c r="DD370"/>
      <c r="DE370"/>
      <c r="DF370"/>
      <c r="DG370"/>
      <c r="DH370"/>
      <c r="DI370"/>
      <c r="DJ370"/>
      <c r="DK370"/>
    </row>
    <row r="371" spans="13:115" x14ac:dyDescent="0.25">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c r="CV371"/>
      <c r="CW371"/>
      <c r="CX371"/>
      <c r="CY371"/>
      <c r="CZ371"/>
      <c r="DA371"/>
      <c r="DB371"/>
      <c r="DC371"/>
      <c r="DD371"/>
      <c r="DE371"/>
      <c r="DF371"/>
      <c r="DG371"/>
      <c r="DH371"/>
      <c r="DI371"/>
      <c r="DJ371"/>
      <c r="DK371"/>
    </row>
    <row r="372" spans="13:115" x14ac:dyDescent="0.25">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c r="CV372"/>
      <c r="CW372"/>
      <c r="CX372"/>
      <c r="CY372"/>
      <c r="CZ372"/>
      <c r="DA372"/>
      <c r="DB372"/>
      <c r="DC372"/>
      <c r="DD372"/>
      <c r="DE372"/>
      <c r="DF372"/>
      <c r="DG372"/>
      <c r="DH372"/>
      <c r="DI372"/>
      <c r="DJ372"/>
      <c r="DK372"/>
    </row>
    <row r="373" spans="13:115" x14ac:dyDescent="0.25">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c r="CL373"/>
      <c r="CM373"/>
      <c r="CN373"/>
      <c r="CO373"/>
      <c r="CP373"/>
      <c r="CQ373"/>
      <c r="CR373"/>
      <c r="CS373"/>
      <c r="CT373"/>
      <c r="CU373"/>
      <c r="CV373"/>
      <c r="CW373"/>
      <c r="CX373"/>
      <c r="CY373"/>
      <c r="CZ373"/>
      <c r="DA373"/>
      <c r="DB373"/>
      <c r="DC373"/>
      <c r="DD373"/>
      <c r="DE373"/>
      <c r="DF373"/>
      <c r="DG373"/>
      <c r="DH373"/>
      <c r="DI373"/>
      <c r="DJ373"/>
      <c r="DK373"/>
    </row>
    <row r="374" spans="13:115" x14ac:dyDescent="0.25">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c r="CT374"/>
      <c r="CU374"/>
      <c r="CV374"/>
      <c r="CW374"/>
      <c r="CX374"/>
      <c r="CY374"/>
      <c r="CZ374"/>
      <c r="DA374"/>
      <c r="DB374"/>
      <c r="DC374"/>
      <c r="DD374"/>
      <c r="DE374"/>
      <c r="DF374"/>
      <c r="DG374"/>
      <c r="DH374"/>
      <c r="DI374"/>
      <c r="DJ374"/>
      <c r="DK374"/>
    </row>
    <row r="375" spans="13:115" x14ac:dyDescent="0.2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c r="CV375"/>
      <c r="CW375"/>
      <c r="CX375"/>
      <c r="CY375"/>
      <c r="CZ375"/>
      <c r="DA375"/>
      <c r="DB375"/>
      <c r="DC375"/>
      <c r="DD375"/>
      <c r="DE375"/>
      <c r="DF375"/>
      <c r="DG375"/>
      <c r="DH375"/>
      <c r="DI375"/>
      <c r="DJ375"/>
      <c r="DK375"/>
    </row>
    <row r="376" spans="13:115" x14ac:dyDescent="0.25">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c r="CM376"/>
      <c r="CN376"/>
      <c r="CO376"/>
      <c r="CP376"/>
      <c r="CQ376"/>
      <c r="CR376"/>
      <c r="CS376"/>
      <c r="CT376"/>
      <c r="CU376"/>
      <c r="CV376"/>
      <c r="CW376"/>
      <c r="CX376"/>
      <c r="CY376"/>
      <c r="CZ376"/>
      <c r="DA376"/>
      <c r="DB376"/>
      <c r="DC376"/>
      <c r="DD376"/>
      <c r="DE376"/>
      <c r="DF376"/>
      <c r="DG376"/>
      <c r="DH376"/>
      <c r="DI376"/>
      <c r="DJ376"/>
      <c r="DK376"/>
    </row>
    <row r="377" spans="13:115" x14ac:dyDescent="0.25">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c r="CV377"/>
      <c r="CW377"/>
      <c r="CX377"/>
      <c r="CY377"/>
      <c r="CZ377"/>
      <c r="DA377"/>
      <c r="DB377"/>
      <c r="DC377"/>
      <c r="DD377"/>
      <c r="DE377"/>
      <c r="DF377"/>
      <c r="DG377"/>
      <c r="DH377"/>
      <c r="DI377"/>
      <c r="DJ377"/>
      <c r="DK377"/>
    </row>
    <row r="378" spans="13:115" x14ac:dyDescent="0.25">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c r="CV378"/>
      <c r="CW378"/>
      <c r="CX378"/>
      <c r="CY378"/>
      <c r="CZ378"/>
      <c r="DA378"/>
      <c r="DB378"/>
      <c r="DC378"/>
      <c r="DD378"/>
      <c r="DE378"/>
      <c r="DF378"/>
      <c r="DG378"/>
      <c r="DH378"/>
      <c r="DI378"/>
      <c r="DJ378"/>
      <c r="DK378"/>
    </row>
    <row r="379" spans="13:115" x14ac:dyDescent="0.25">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c r="CL379"/>
      <c r="CM379"/>
      <c r="CN379"/>
      <c r="CO379"/>
      <c r="CP379"/>
      <c r="CQ379"/>
      <c r="CR379"/>
      <c r="CS379"/>
      <c r="CT379"/>
      <c r="CU379"/>
      <c r="CV379"/>
      <c r="CW379"/>
      <c r="CX379"/>
      <c r="CY379"/>
      <c r="CZ379"/>
      <c r="DA379"/>
      <c r="DB379"/>
      <c r="DC379"/>
      <c r="DD379"/>
      <c r="DE379"/>
      <c r="DF379"/>
      <c r="DG379"/>
      <c r="DH379"/>
      <c r="DI379"/>
      <c r="DJ379"/>
      <c r="DK379"/>
    </row>
    <row r="380" spans="13:115" x14ac:dyDescent="0.25">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c r="CL380"/>
      <c r="CM380"/>
      <c r="CN380"/>
      <c r="CO380"/>
      <c r="CP380"/>
      <c r="CQ380"/>
      <c r="CR380"/>
      <c r="CS380"/>
      <c r="CT380"/>
      <c r="CU380"/>
      <c r="CV380"/>
      <c r="CW380"/>
      <c r="CX380"/>
      <c r="CY380"/>
      <c r="CZ380"/>
      <c r="DA380"/>
      <c r="DB380"/>
      <c r="DC380"/>
      <c r="DD380"/>
      <c r="DE380"/>
      <c r="DF380"/>
      <c r="DG380"/>
      <c r="DH380"/>
      <c r="DI380"/>
      <c r="DJ380"/>
      <c r="DK380"/>
    </row>
    <row r="381" spans="13:115" x14ac:dyDescent="0.25">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c r="DA381"/>
      <c r="DB381"/>
      <c r="DC381"/>
      <c r="DD381"/>
      <c r="DE381"/>
      <c r="DF381"/>
      <c r="DG381"/>
      <c r="DH381"/>
      <c r="DI381"/>
      <c r="DJ381"/>
      <c r="DK381"/>
    </row>
    <row r="382" spans="13:115" x14ac:dyDescent="0.25">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c r="CM382"/>
      <c r="CN382"/>
      <c r="CO382"/>
      <c r="CP382"/>
      <c r="CQ382"/>
      <c r="CR382"/>
      <c r="CS382"/>
      <c r="CT382"/>
      <c r="CU382"/>
      <c r="CV382"/>
      <c r="CW382"/>
      <c r="CX382"/>
      <c r="CY382"/>
      <c r="CZ382"/>
      <c r="DA382"/>
      <c r="DB382"/>
      <c r="DC382"/>
      <c r="DD382"/>
      <c r="DE382"/>
      <c r="DF382"/>
      <c r="DG382"/>
      <c r="DH382"/>
      <c r="DI382"/>
      <c r="DJ382"/>
      <c r="DK382"/>
    </row>
    <row r="383" spans="13:115" x14ac:dyDescent="0.25">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c r="CV383"/>
      <c r="CW383"/>
      <c r="CX383"/>
      <c r="CY383"/>
      <c r="CZ383"/>
      <c r="DA383"/>
      <c r="DB383"/>
      <c r="DC383"/>
      <c r="DD383"/>
      <c r="DE383"/>
      <c r="DF383"/>
      <c r="DG383"/>
      <c r="DH383"/>
      <c r="DI383"/>
      <c r="DJ383"/>
      <c r="DK383"/>
    </row>
    <row r="384" spans="13:115" x14ac:dyDescent="0.25">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c r="CY384"/>
      <c r="CZ384"/>
      <c r="DA384"/>
      <c r="DB384"/>
      <c r="DC384"/>
      <c r="DD384"/>
      <c r="DE384"/>
      <c r="DF384"/>
      <c r="DG384"/>
      <c r="DH384"/>
      <c r="DI384"/>
      <c r="DJ384"/>
      <c r="DK384"/>
    </row>
    <row r="385" spans="13:115" x14ac:dyDescent="0.2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c r="DA385"/>
      <c r="DB385"/>
      <c r="DC385"/>
      <c r="DD385"/>
      <c r="DE385"/>
      <c r="DF385"/>
      <c r="DG385"/>
      <c r="DH385"/>
      <c r="DI385"/>
      <c r="DJ385"/>
      <c r="DK385"/>
    </row>
    <row r="386" spans="13:115" x14ac:dyDescent="0.25">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c r="CV386"/>
      <c r="CW386"/>
      <c r="CX386"/>
      <c r="CY386"/>
      <c r="CZ386"/>
      <c r="DA386"/>
      <c r="DB386"/>
      <c r="DC386"/>
      <c r="DD386"/>
      <c r="DE386"/>
      <c r="DF386"/>
      <c r="DG386"/>
      <c r="DH386"/>
      <c r="DI386"/>
      <c r="DJ386"/>
      <c r="DK386"/>
    </row>
    <row r="387" spans="13:115" x14ac:dyDescent="0.25">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c r="CV387"/>
      <c r="CW387"/>
      <c r="CX387"/>
      <c r="CY387"/>
      <c r="CZ387"/>
      <c r="DA387"/>
      <c r="DB387"/>
      <c r="DC387"/>
      <c r="DD387"/>
      <c r="DE387"/>
      <c r="DF387"/>
      <c r="DG387"/>
      <c r="DH387"/>
      <c r="DI387"/>
      <c r="DJ387"/>
      <c r="DK387"/>
    </row>
    <row r="388" spans="13:115" x14ac:dyDescent="0.25">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c r="CV388"/>
      <c r="CW388"/>
      <c r="CX388"/>
      <c r="CY388"/>
      <c r="CZ388"/>
      <c r="DA388"/>
      <c r="DB388"/>
      <c r="DC388"/>
      <c r="DD388"/>
      <c r="DE388"/>
      <c r="DF388"/>
      <c r="DG388"/>
      <c r="DH388"/>
      <c r="DI388"/>
      <c r="DJ388"/>
      <c r="DK388"/>
    </row>
    <row r="389" spans="13:115" x14ac:dyDescent="0.25">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c r="DA389"/>
      <c r="DB389"/>
      <c r="DC389"/>
      <c r="DD389"/>
      <c r="DE389"/>
      <c r="DF389"/>
      <c r="DG389"/>
      <c r="DH389"/>
      <c r="DI389"/>
      <c r="DJ389"/>
      <c r="DK389"/>
    </row>
    <row r="390" spans="13:115" x14ac:dyDescent="0.25">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c r="CV390"/>
      <c r="CW390"/>
      <c r="CX390"/>
      <c r="CY390"/>
      <c r="CZ390"/>
      <c r="DA390"/>
      <c r="DB390"/>
      <c r="DC390"/>
      <c r="DD390"/>
      <c r="DE390"/>
      <c r="DF390"/>
      <c r="DG390"/>
      <c r="DH390"/>
      <c r="DI390"/>
      <c r="DJ390"/>
      <c r="DK390"/>
    </row>
    <row r="391" spans="13:115" x14ac:dyDescent="0.25">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c r="CW391"/>
      <c r="CX391"/>
      <c r="CY391"/>
      <c r="CZ391"/>
      <c r="DA391"/>
      <c r="DB391"/>
      <c r="DC391"/>
      <c r="DD391"/>
      <c r="DE391"/>
      <c r="DF391"/>
      <c r="DG391"/>
      <c r="DH391"/>
      <c r="DI391"/>
      <c r="DJ391"/>
      <c r="DK391"/>
    </row>
    <row r="392" spans="13:115" x14ac:dyDescent="0.25">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c r="DB392"/>
      <c r="DC392"/>
      <c r="DD392"/>
      <c r="DE392"/>
      <c r="DF392"/>
      <c r="DG392"/>
      <c r="DH392"/>
      <c r="DI392"/>
      <c r="DJ392"/>
      <c r="DK392"/>
    </row>
    <row r="393" spans="13:115" x14ac:dyDescent="0.25">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c r="CV393"/>
      <c r="CW393"/>
      <c r="CX393"/>
      <c r="CY393"/>
      <c r="CZ393"/>
      <c r="DA393"/>
      <c r="DB393"/>
      <c r="DC393"/>
      <c r="DD393"/>
      <c r="DE393"/>
      <c r="DF393"/>
      <c r="DG393"/>
      <c r="DH393"/>
      <c r="DI393"/>
      <c r="DJ393"/>
      <c r="DK393"/>
    </row>
    <row r="394" spans="13:115" x14ac:dyDescent="0.25">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c r="CV394"/>
      <c r="CW394"/>
      <c r="CX394"/>
      <c r="CY394"/>
      <c r="CZ394"/>
      <c r="DA394"/>
      <c r="DB394"/>
      <c r="DC394"/>
      <c r="DD394"/>
      <c r="DE394"/>
      <c r="DF394"/>
      <c r="DG394"/>
      <c r="DH394"/>
      <c r="DI394"/>
      <c r="DJ394"/>
      <c r="DK394"/>
    </row>
    <row r="395" spans="13:115" x14ac:dyDescent="0.2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c r="CW395"/>
      <c r="CX395"/>
      <c r="CY395"/>
      <c r="CZ395"/>
      <c r="DA395"/>
      <c r="DB395"/>
      <c r="DC395"/>
      <c r="DD395"/>
      <c r="DE395"/>
      <c r="DF395"/>
      <c r="DG395"/>
      <c r="DH395"/>
      <c r="DI395"/>
      <c r="DJ395"/>
      <c r="DK395"/>
    </row>
    <row r="396" spans="13:115" x14ac:dyDescent="0.25">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c r="CV396"/>
      <c r="CW396"/>
      <c r="CX396"/>
      <c r="CY396"/>
      <c r="CZ396"/>
      <c r="DA396"/>
      <c r="DB396"/>
      <c r="DC396"/>
      <c r="DD396"/>
      <c r="DE396"/>
      <c r="DF396"/>
      <c r="DG396"/>
      <c r="DH396"/>
      <c r="DI396"/>
      <c r="DJ396"/>
      <c r="DK396"/>
    </row>
    <row r="397" spans="13:115" x14ac:dyDescent="0.25">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c r="CV397"/>
      <c r="CW397"/>
      <c r="CX397"/>
      <c r="CY397"/>
      <c r="CZ397"/>
      <c r="DA397"/>
      <c r="DB397"/>
      <c r="DC397"/>
      <c r="DD397"/>
      <c r="DE397"/>
      <c r="DF397"/>
      <c r="DG397"/>
      <c r="DH397"/>
      <c r="DI397"/>
      <c r="DJ397"/>
      <c r="DK397"/>
    </row>
    <row r="398" spans="13:115" x14ac:dyDescent="0.25">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c r="DE398"/>
      <c r="DF398"/>
      <c r="DG398"/>
      <c r="DH398"/>
      <c r="DI398"/>
      <c r="DJ398"/>
      <c r="DK398"/>
    </row>
    <row r="399" spans="13:115" x14ac:dyDescent="0.25">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c r="DA399"/>
      <c r="DB399"/>
      <c r="DC399"/>
      <c r="DD399"/>
      <c r="DE399"/>
      <c r="DF399"/>
      <c r="DG399"/>
      <c r="DH399"/>
      <c r="DI399"/>
      <c r="DJ399"/>
      <c r="DK399"/>
    </row>
    <row r="400" spans="13:115" x14ac:dyDescent="0.25">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c r="CV400"/>
      <c r="CW400"/>
      <c r="CX400"/>
      <c r="CY400"/>
      <c r="CZ400"/>
      <c r="DA400"/>
      <c r="DB400"/>
      <c r="DC400"/>
      <c r="DD400"/>
      <c r="DE400"/>
      <c r="DF400"/>
      <c r="DG400"/>
      <c r="DH400"/>
      <c r="DI400"/>
      <c r="DJ400"/>
      <c r="DK400"/>
    </row>
    <row r="401" spans="13:115" x14ac:dyDescent="0.25">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c r="BY401"/>
      <c r="BZ401"/>
      <c r="CA401"/>
      <c r="CB401"/>
      <c r="CC401"/>
      <c r="CD401"/>
      <c r="CE401"/>
      <c r="CF401"/>
      <c r="CG401"/>
      <c r="CH401"/>
      <c r="CI401"/>
      <c r="CJ401"/>
      <c r="CK401"/>
      <c r="CL401"/>
      <c r="CM401"/>
      <c r="CN401"/>
      <c r="CO401"/>
      <c r="CP401"/>
      <c r="CQ401"/>
      <c r="CR401"/>
      <c r="CS401"/>
      <c r="CT401"/>
      <c r="CU401"/>
      <c r="CV401"/>
      <c r="CW401"/>
      <c r="CX401"/>
      <c r="CY401"/>
      <c r="CZ401"/>
      <c r="DA401"/>
      <c r="DB401"/>
      <c r="DC401"/>
      <c r="DD401"/>
      <c r="DE401"/>
      <c r="DF401"/>
      <c r="DG401"/>
      <c r="DH401"/>
      <c r="DI401"/>
      <c r="DJ401"/>
      <c r="DK401"/>
    </row>
    <row r="402" spans="13:115" x14ac:dyDescent="0.25">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c r="CV402"/>
      <c r="CW402"/>
      <c r="CX402"/>
      <c r="CY402"/>
      <c r="CZ402"/>
      <c r="DA402"/>
      <c r="DB402"/>
      <c r="DC402"/>
      <c r="DD402"/>
      <c r="DE402"/>
      <c r="DF402"/>
      <c r="DG402"/>
      <c r="DH402"/>
      <c r="DI402"/>
      <c r="DJ402"/>
      <c r="DK402"/>
    </row>
    <row r="403" spans="13:115" x14ac:dyDescent="0.25">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c r="CV403"/>
      <c r="CW403"/>
      <c r="CX403"/>
      <c r="CY403"/>
      <c r="CZ403"/>
      <c r="DA403"/>
      <c r="DB403"/>
      <c r="DC403"/>
      <c r="DD403"/>
      <c r="DE403"/>
      <c r="DF403"/>
      <c r="DG403"/>
      <c r="DH403"/>
      <c r="DI403"/>
      <c r="DJ403"/>
      <c r="DK403"/>
    </row>
    <row r="404" spans="13:115" x14ac:dyDescent="0.25">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c r="CV404"/>
      <c r="CW404"/>
      <c r="CX404"/>
      <c r="CY404"/>
      <c r="CZ404"/>
      <c r="DA404"/>
      <c r="DB404"/>
      <c r="DC404"/>
      <c r="DD404"/>
      <c r="DE404"/>
      <c r="DF404"/>
      <c r="DG404"/>
      <c r="DH404"/>
      <c r="DI404"/>
      <c r="DJ404"/>
      <c r="DK404"/>
    </row>
    <row r="405" spans="13:115" x14ac:dyDescent="0.2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c r="CV405"/>
      <c r="CW405"/>
      <c r="CX405"/>
      <c r="CY405"/>
      <c r="CZ405"/>
      <c r="DA405"/>
      <c r="DB405"/>
      <c r="DC405"/>
      <c r="DD405"/>
      <c r="DE405"/>
      <c r="DF405"/>
      <c r="DG405"/>
      <c r="DH405"/>
      <c r="DI405"/>
      <c r="DJ405"/>
      <c r="DK405"/>
    </row>
    <row r="406" spans="13:115" x14ac:dyDescent="0.25">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c r="CV406"/>
      <c r="CW406"/>
      <c r="CX406"/>
      <c r="CY406"/>
      <c r="CZ406"/>
      <c r="DA406"/>
      <c r="DB406"/>
      <c r="DC406"/>
      <c r="DD406"/>
      <c r="DE406"/>
      <c r="DF406"/>
      <c r="DG406"/>
      <c r="DH406"/>
      <c r="DI406"/>
      <c r="DJ406"/>
      <c r="DK406"/>
    </row>
    <row r="407" spans="13:115" x14ac:dyDescent="0.25">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c r="DE407"/>
      <c r="DF407"/>
      <c r="DG407"/>
      <c r="DH407"/>
      <c r="DI407"/>
      <c r="DJ407"/>
      <c r="DK407"/>
    </row>
    <row r="408" spans="13:115" x14ac:dyDescent="0.25">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c r="CV408"/>
      <c r="CW408"/>
      <c r="CX408"/>
      <c r="CY408"/>
      <c r="CZ408"/>
      <c r="DA408"/>
      <c r="DB408"/>
      <c r="DC408"/>
      <c r="DD408"/>
      <c r="DE408"/>
      <c r="DF408"/>
      <c r="DG408"/>
      <c r="DH408"/>
      <c r="DI408"/>
      <c r="DJ408"/>
      <c r="DK408"/>
    </row>
    <row r="409" spans="13:115" x14ac:dyDescent="0.25">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c r="CL409"/>
      <c r="CM409"/>
      <c r="CN409"/>
      <c r="CO409"/>
      <c r="CP409"/>
      <c r="CQ409"/>
      <c r="CR409"/>
      <c r="CS409"/>
      <c r="CT409"/>
      <c r="CU409"/>
      <c r="CV409"/>
      <c r="CW409"/>
      <c r="CX409"/>
      <c r="CY409"/>
      <c r="CZ409"/>
      <c r="DA409"/>
      <c r="DB409"/>
      <c r="DC409"/>
      <c r="DD409"/>
      <c r="DE409"/>
      <c r="DF409"/>
      <c r="DG409"/>
      <c r="DH409"/>
      <c r="DI409"/>
      <c r="DJ409"/>
      <c r="DK409"/>
    </row>
    <row r="410" spans="13:115" x14ac:dyDescent="0.25">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c r="CV410"/>
      <c r="CW410"/>
      <c r="CX410"/>
      <c r="CY410"/>
      <c r="CZ410"/>
      <c r="DA410"/>
      <c r="DB410"/>
      <c r="DC410"/>
      <c r="DD410"/>
      <c r="DE410"/>
      <c r="DF410"/>
      <c r="DG410"/>
      <c r="DH410"/>
      <c r="DI410"/>
      <c r="DJ410"/>
      <c r="DK410"/>
    </row>
    <row r="411" spans="13:115" x14ac:dyDescent="0.25">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c r="BY411"/>
      <c r="BZ411"/>
      <c r="CA411"/>
      <c r="CB411"/>
      <c r="CC411"/>
      <c r="CD411"/>
      <c r="CE411"/>
      <c r="CF411"/>
      <c r="CG411"/>
      <c r="CH411"/>
      <c r="CI411"/>
      <c r="CJ411"/>
      <c r="CK411"/>
      <c r="CL411"/>
      <c r="CM411"/>
      <c r="CN411"/>
      <c r="CO411"/>
      <c r="CP411"/>
      <c r="CQ411"/>
      <c r="CR411"/>
      <c r="CS411"/>
      <c r="CT411"/>
      <c r="CU411"/>
      <c r="CV411"/>
      <c r="CW411"/>
      <c r="CX411"/>
      <c r="CY411"/>
      <c r="CZ411"/>
      <c r="DA411"/>
      <c r="DB411"/>
      <c r="DC411"/>
      <c r="DD411"/>
      <c r="DE411"/>
      <c r="DF411"/>
      <c r="DG411"/>
      <c r="DH411"/>
      <c r="DI411"/>
      <c r="DJ411"/>
      <c r="DK411"/>
    </row>
    <row r="412" spans="13:115" x14ac:dyDescent="0.25">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c r="CT412"/>
      <c r="CU412"/>
      <c r="CV412"/>
      <c r="CW412"/>
      <c r="CX412"/>
      <c r="CY412"/>
      <c r="CZ412"/>
      <c r="DA412"/>
      <c r="DB412"/>
      <c r="DC412"/>
      <c r="DD412"/>
      <c r="DE412"/>
      <c r="DF412"/>
      <c r="DG412"/>
      <c r="DH412"/>
      <c r="DI412"/>
      <c r="DJ412"/>
      <c r="DK412"/>
    </row>
    <row r="413" spans="13:115" x14ac:dyDescent="0.25">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c r="DA413"/>
      <c r="DB413"/>
      <c r="DC413"/>
      <c r="DD413"/>
      <c r="DE413"/>
      <c r="DF413"/>
      <c r="DG413"/>
      <c r="DH413"/>
      <c r="DI413"/>
      <c r="DJ413"/>
      <c r="DK413"/>
    </row>
    <row r="414" spans="13:115" x14ac:dyDescent="0.25">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c r="CV414"/>
      <c r="CW414"/>
      <c r="CX414"/>
      <c r="CY414"/>
      <c r="CZ414"/>
      <c r="DA414"/>
      <c r="DB414"/>
      <c r="DC414"/>
      <c r="DD414"/>
      <c r="DE414"/>
      <c r="DF414"/>
      <c r="DG414"/>
      <c r="DH414"/>
      <c r="DI414"/>
      <c r="DJ414"/>
      <c r="DK414"/>
    </row>
    <row r="415" spans="13:115" x14ac:dyDescent="0.2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c r="DF415"/>
      <c r="DG415"/>
      <c r="DH415"/>
      <c r="DI415"/>
      <c r="DJ415"/>
      <c r="DK415"/>
    </row>
    <row r="416" spans="13:115" x14ac:dyDescent="0.25">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row>
    <row r="417" spans="13:115" x14ac:dyDescent="0.25">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c r="CV417"/>
      <c r="CW417"/>
      <c r="CX417"/>
      <c r="CY417"/>
      <c r="CZ417"/>
      <c r="DA417"/>
      <c r="DB417"/>
      <c r="DC417"/>
      <c r="DD417"/>
      <c r="DE417"/>
      <c r="DF417"/>
      <c r="DG417"/>
      <c r="DH417"/>
      <c r="DI417"/>
      <c r="DJ417"/>
      <c r="DK417"/>
    </row>
    <row r="418" spans="13:115" x14ac:dyDescent="0.25">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c r="CL418"/>
      <c r="CM418"/>
      <c r="CN418"/>
      <c r="CO418"/>
      <c r="CP418"/>
      <c r="CQ418"/>
      <c r="CR418"/>
      <c r="CS418"/>
      <c r="CT418"/>
      <c r="CU418"/>
      <c r="CV418"/>
      <c r="CW418"/>
      <c r="CX418"/>
      <c r="CY418"/>
      <c r="CZ418"/>
      <c r="DA418"/>
      <c r="DB418"/>
      <c r="DC418"/>
      <c r="DD418"/>
      <c r="DE418"/>
      <c r="DF418"/>
      <c r="DG418"/>
      <c r="DH418"/>
      <c r="DI418"/>
      <c r="DJ418"/>
      <c r="DK418"/>
    </row>
    <row r="419" spans="13:115" x14ac:dyDescent="0.25">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c r="CL419"/>
      <c r="CM419"/>
      <c r="CN419"/>
      <c r="CO419"/>
      <c r="CP419"/>
      <c r="CQ419"/>
      <c r="CR419"/>
      <c r="CS419"/>
      <c r="CT419"/>
      <c r="CU419"/>
      <c r="CV419"/>
      <c r="CW419"/>
      <c r="CX419"/>
      <c r="CY419"/>
      <c r="CZ419"/>
      <c r="DA419"/>
      <c r="DB419"/>
      <c r="DC419"/>
      <c r="DD419"/>
      <c r="DE419"/>
      <c r="DF419"/>
      <c r="DG419"/>
      <c r="DH419"/>
      <c r="DI419"/>
      <c r="DJ419"/>
      <c r="DK419"/>
    </row>
    <row r="420" spans="13:115" x14ac:dyDescent="0.25">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c r="DE420"/>
      <c r="DF420"/>
      <c r="DG420"/>
      <c r="DH420"/>
      <c r="DI420"/>
      <c r="DJ420"/>
      <c r="DK420"/>
    </row>
    <row r="421" spans="13:115" x14ac:dyDescent="0.25">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c r="CV421"/>
      <c r="CW421"/>
      <c r="CX421"/>
      <c r="CY421"/>
      <c r="CZ421"/>
      <c r="DA421"/>
      <c r="DB421"/>
      <c r="DC421"/>
      <c r="DD421"/>
      <c r="DE421"/>
      <c r="DF421"/>
      <c r="DG421"/>
      <c r="DH421"/>
      <c r="DI421"/>
      <c r="DJ421"/>
      <c r="DK421"/>
    </row>
    <row r="422" spans="13:115" x14ac:dyDescent="0.25">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c r="CV422"/>
      <c r="CW422"/>
      <c r="CX422"/>
      <c r="CY422"/>
      <c r="CZ422"/>
      <c r="DA422"/>
      <c r="DB422"/>
      <c r="DC422"/>
      <c r="DD422"/>
      <c r="DE422"/>
      <c r="DF422"/>
      <c r="DG422"/>
      <c r="DH422"/>
      <c r="DI422"/>
      <c r="DJ422"/>
      <c r="DK422"/>
    </row>
    <row r="423" spans="13:115" x14ac:dyDescent="0.25">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c r="CV423"/>
      <c r="CW423"/>
      <c r="CX423"/>
      <c r="CY423"/>
      <c r="CZ423"/>
      <c r="DA423"/>
      <c r="DB423"/>
      <c r="DC423"/>
      <c r="DD423"/>
      <c r="DE423"/>
      <c r="DF423"/>
      <c r="DG423"/>
      <c r="DH423"/>
      <c r="DI423"/>
      <c r="DJ423"/>
      <c r="DK423"/>
    </row>
    <row r="424" spans="13:115" x14ac:dyDescent="0.25">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c r="CL424"/>
      <c r="CM424"/>
      <c r="CN424"/>
      <c r="CO424"/>
      <c r="CP424"/>
      <c r="CQ424"/>
      <c r="CR424"/>
      <c r="CS424"/>
      <c r="CT424"/>
      <c r="CU424"/>
      <c r="CV424"/>
      <c r="CW424"/>
      <c r="CX424"/>
      <c r="CY424"/>
      <c r="CZ424"/>
      <c r="DA424"/>
      <c r="DB424"/>
      <c r="DC424"/>
      <c r="DD424"/>
      <c r="DE424"/>
      <c r="DF424"/>
      <c r="DG424"/>
      <c r="DH424"/>
      <c r="DI424"/>
      <c r="DJ424"/>
      <c r="DK424"/>
    </row>
    <row r="425" spans="13:115" x14ac:dyDescent="0.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c r="DE425"/>
      <c r="DF425"/>
      <c r="DG425"/>
      <c r="DH425"/>
      <c r="DI425"/>
      <c r="DJ425"/>
      <c r="DK425"/>
    </row>
    <row r="426" spans="13:115" x14ac:dyDescent="0.25">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c r="DA426"/>
      <c r="DB426"/>
      <c r="DC426"/>
      <c r="DD426"/>
      <c r="DE426"/>
      <c r="DF426"/>
      <c r="DG426"/>
      <c r="DH426"/>
      <c r="DI426"/>
      <c r="DJ426"/>
      <c r="DK426"/>
    </row>
    <row r="427" spans="13:115" x14ac:dyDescent="0.25">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c r="CV427"/>
      <c r="CW427"/>
      <c r="CX427"/>
      <c r="CY427"/>
      <c r="CZ427"/>
      <c r="DA427"/>
      <c r="DB427"/>
      <c r="DC427"/>
      <c r="DD427"/>
      <c r="DE427"/>
      <c r="DF427"/>
      <c r="DG427"/>
      <c r="DH427"/>
      <c r="DI427"/>
      <c r="DJ427"/>
      <c r="DK427"/>
    </row>
    <row r="428" spans="13:115" x14ac:dyDescent="0.25">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c r="CV428"/>
      <c r="CW428"/>
      <c r="CX428"/>
      <c r="CY428"/>
      <c r="CZ428"/>
      <c r="DA428"/>
      <c r="DB428"/>
      <c r="DC428"/>
      <c r="DD428"/>
      <c r="DE428"/>
      <c r="DF428"/>
      <c r="DG428"/>
      <c r="DH428"/>
      <c r="DI428"/>
      <c r="DJ428"/>
      <c r="DK428"/>
    </row>
    <row r="429" spans="13:115" x14ac:dyDescent="0.25">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c r="CV429"/>
      <c r="CW429"/>
      <c r="CX429"/>
      <c r="CY429"/>
      <c r="CZ429"/>
      <c r="DA429"/>
      <c r="DB429"/>
      <c r="DC429"/>
      <c r="DD429"/>
      <c r="DE429"/>
      <c r="DF429"/>
      <c r="DG429"/>
      <c r="DH429"/>
      <c r="DI429"/>
      <c r="DJ429"/>
      <c r="DK429"/>
    </row>
    <row r="430" spans="13:115" x14ac:dyDescent="0.25">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c r="CV430"/>
      <c r="CW430"/>
      <c r="CX430"/>
      <c r="CY430"/>
      <c r="CZ430"/>
      <c r="DA430"/>
      <c r="DB430"/>
      <c r="DC430"/>
      <c r="DD430"/>
      <c r="DE430"/>
      <c r="DF430"/>
      <c r="DG430"/>
      <c r="DH430"/>
      <c r="DI430"/>
      <c r="DJ430"/>
      <c r="DK430"/>
    </row>
    <row r="431" spans="13:115" x14ac:dyDescent="0.25">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c r="CV431"/>
      <c r="CW431"/>
      <c r="CX431"/>
      <c r="CY431"/>
      <c r="CZ431"/>
      <c r="DA431"/>
      <c r="DB431"/>
      <c r="DC431"/>
      <c r="DD431"/>
      <c r="DE431"/>
      <c r="DF431"/>
      <c r="DG431"/>
      <c r="DH431"/>
      <c r="DI431"/>
      <c r="DJ431"/>
      <c r="DK431"/>
    </row>
    <row r="432" spans="13:115" x14ac:dyDescent="0.25">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c r="DE432"/>
      <c r="DF432"/>
      <c r="DG432"/>
      <c r="DH432"/>
      <c r="DI432"/>
      <c r="DJ432"/>
      <c r="DK432"/>
    </row>
    <row r="433" spans="13:115" x14ac:dyDescent="0.25">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c r="DA433"/>
      <c r="DB433"/>
      <c r="DC433"/>
      <c r="DD433"/>
      <c r="DE433"/>
      <c r="DF433"/>
      <c r="DG433"/>
      <c r="DH433"/>
      <c r="DI433"/>
      <c r="DJ433"/>
      <c r="DK433"/>
    </row>
    <row r="434" spans="13:115" x14ac:dyDescent="0.25">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c r="CV434"/>
      <c r="CW434"/>
      <c r="CX434"/>
      <c r="CY434"/>
      <c r="CZ434"/>
      <c r="DA434"/>
      <c r="DB434"/>
      <c r="DC434"/>
      <c r="DD434"/>
      <c r="DE434"/>
      <c r="DF434"/>
      <c r="DG434"/>
      <c r="DH434"/>
      <c r="DI434"/>
      <c r="DJ434"/>
      <c r="DK434"/>
    </row>
    <row r="435" spans="13:115" x14ac:dyDescent="0.2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c r="CV435"/>
      <c r="CW435"/>
      <c r="CX435"/>
      <c r="CY435"/>
      <c r="CZ435"/>
      <c r="DA435"/>
      <c r="DB435"/>
      <c r="DC435"/>
      <c r="DD435"/>
      <c r="DE435"/>
      <c r="DF435"/>
      <c r="DG435"/>
      <c r="DH435"/>
      <c r="DI435"/>
      <c r="DJ435"/>
      <c r="DK435"/>
    </row>
    <row r="436" spans="13:115" x14ac:dyDescent="0.25">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c r="CV436"/>
      <c r="CW436"/>
      <c r="CX436"/>
      <c r="CY436"/>
      <c r="CZ436"/>
      <c r="DA436"/>
      <c r="DB436"/>
      <c r="DC436"/>
      <c r="DD436"/>
      <c r="DE436"/>
      <c r="DF436"/>
      <c r="DG436"/>
      <c r="DH436"/>
      <c r="DI436"/>
      <c r="DJ436"/>
      <c r="DK436"/>
    </row>
    <row r="437" spans="13:115" x14ac:dyDescent="0.25">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c r="CV437"/>
      <c r="CW437"/>
      <c r="CX437"/>
      <c r="CY437"/>
      <c r="CZ437"/>
      <c r="DA437"/>
      <c r="DB437"/>
      <c r="DC437"/>
      <c r="DD437"/>
      <c r="DE437"/>
      <c r="DF437"/>
      <c r="DG437"/>
      <c r="DH437"/>
      <c r="DI437"/>
      <c r="DJ437"/>
      <c r="DK437"/>
    </row>
    <row r="438" spans="13:115" x14ac:dyDescent="0.25">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c r="CV438"/>
      <c r="CW438"/>
      <c r="CX438"/>
      <c r="CY438"/>
      <c r="CZ438"/>
      <c r="DA438"/>
      <c r="DB438"/>
      <c r="DC438"/>
      <c r="DD438"/>
      <c r="DE438"/>
      <c r="DF438"/>
      <c r="DG438"/>
      <c r="DH438"/>
      <c r="DI438"/>
      <c r="DJ438"/>
      <c r="DK438"/>
    </row>
    <row r="439" spans="13:115" x14ac:dyDescent="0.25">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c r="CV439"/>
      <c r="CW439"/>
      <c r="CX439"/>
      <c r="CY439"/>
      <c r="CZ439"/>
      <c r="DA439"/>
      <c r="DB439"/>
      <c r="DC439"/>
      <c r="DD439"/>
      <c r="DE439"/>
      <c r="DF439"/>
      <c r="DG439"/>
      <c r="DH439"/>
      <c r="DI439"/>
      <c r="DJ439"/>
      <c r="DK439"/>
    </row>
    <row r="440" spans="13:115" x14ac:dyDescent="0.25">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c r="CV440"/>
      <c r="CW440"/>
      <c r="CX440"/>
      <c r="CY440"/>
      <c r="CZ440"/>
      <c r="DA440"/>
      <c r="DB440"/>
      <c r="DC440"/>
      <c r="DD440"/>
      <c r="DE440"/>
      <c r="DF440"/>
      <c r="DG440"/>
      <c r="DH440"/>
      <c r="DI440"/>
      <c r="DJ440"/>
      <c r="DK440"/>
    </row>
    <row r="441" spans="13:115" x14ac:dyDescent="0.25">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c r="CV441"/>
      <c r="CW441"/>
      <c r="CX441"/>
      <c r="CY441"/>
      <c r="CZ441"/>
      <c r="DA441"/>
      <c r="DB441"/>
      <c r="DC441"/>
      <c r="DD441"/>
      <c r="DE441"/>
      <c r="DF441"/>
      <c r="DG441"/>
      <c r="DH441"/>
      <c r="DI441"/>
      <c r="DJ441"/>
      <c r="DK441"/>
    </row>
    <row r="442" spans="13:115" x14ac:dyDescent="0.25">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row>
    <row r="443" spans="13:115" x14ac:dyDescent="0.25">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c r="CV443"/>
      <c r="CW443"/>
      <c r="CX443"/>
      <c r="CY443"/>
      <c r="CZ443"/>
      <c r="DA443"/>
      <c r="DB443"/>
      <c r="DC443"/>
      <c r="DD443"/>
      <c r="DE443"/>
      <c r="DF443"/>
      <c r="DG443"/>
      <c r="DH443"/>
      <c r="DI443"/>
      <c r="DJ443"/>
      <c r="DK443"/>
    </row>
    <row r="444" spans="13:115" x14ac:dyDescent="0.25">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c r="CT444"/>
      <c r="CU444"/>
      <c r="CV444"/>
      <c r="CW444"/>
      <c r="CX444"/>
      <c r="CY444"/>
      <c r="CZ444"/>
      <c r="DA444"/>
      <c r="DB444"/>
      <c r="DC444"/>
      <c r="DD444"/>
      <c r="DE444"/>
      <c r="DF444"/>
      <c r="DG444"/>
      <c r="DH444"/>
      <c r="DI444"/>
      <c r="DJ444"/>
      <c r="DK444"/>
    </row>
    <row r="445" spans="13:115" x14ac:dyDescent="0.2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c r="CL445"/>
      <c r="CM445"/>
      <c r="CN445"/>
      <c r="CO445"/>
      <c r="CP445"/>
      <c r="CQ445"/>
      <c r="CR445"/>
      <c r="CS445"/>
      <c r="CT445"/>
      <c r="CU445"/>
      <c r="CV445"/>
      <c r="CW445"/>
      <c r="CX445"/>
      <c r="CY445"/>
      <c r="CZ445"/>
      <c r="DA445"/>
      <c r="DB445"/>
      <c r="DC445"/>
      <c r="DD445"/>
      <c r="DE445"/>
      <c r="DF445"/>
      <c r="DG445"/>
      <c r="DH445"/>
      <c r="DI445"/>
      <c r="DJ445"/>
      <c r="DK445"/>
    </row>
    <row r="446" spans="13:115" x14ac:dyDescent="0.25">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c r="CT446"/>
      <c r="CU446"/>
      <c r="CV446"/>
      <c r="CW446"/>
      <c r="CX446"/>
      <c r="CY446"/>
      <c r="CZ446"/>
      <c r="DA446"/>
      <c r="DB446"/>
      <c r="DC446"/>
      <c r="DD446"/>
      <c r="DE446"/>
      <c r="DF446"/>
      <c r="DG446"/>
      <c r="DH446"/>
      <c r="DI446"/>
      <c r="DJ446"/>
      <c r="DK446"/>
    </row>
    <row r="447" spans="13:115" x14ac:dyDescent="0.25">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c r="CU447"/>
      <c r="CV447"/>
      <c r="CW447"/>
      <c r="CX447"/>
      <c r="CY447"/>
      <c r="CZ447"/>
      <c r="DA447"/>
      <c r="DB447"/>
      <c r="DC447"/>
      <c r="DD447"/>
      <c r="DE447"/>
      <c r="DF447"/>
      <c r="DG447"/>
      <c r="DH447"/>
      <c r="DI447"/>
      <c r="DJ447"/>
      <c r="DK447"/>
    </row>
    <row r="448" spans="13:115" x14ac:dyDescent="0.25">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c r="CT448"/>
      <c r="CU448"/>
      <c r="CV448"/>
      <c r="CW448"/>
      <c r="CX448"/>
      <c r="CY448"/>
      <c r="CZ448"/>
      <c r="DA448"/>
      <c r="DB448"/>
      <c r="DC448"/>
      <c r="DD448"/>
      <c r="DE448"/>
      <c r="DF448"/>
      <c r="DG448"/>
      <c r="DH448"/>
      <c r="DI448"/>
      <c r="DJ448"/>
      <c r="DK448"/>
    </row>
    <row r="449" spans="13:115" x14ac:dyDescent="0.25">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c r="DE449"/>
      <c r="DF449"/>
      <c r="DG449"/>
      <c r="DH449"/>
      <c r="DI449"/>
      <c r="DJ449"/>
      <c r="DK449"/>
    </row>
    <row r="450" spans="13:115" x14ac:dyDescent="0.25">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c r="DE450"/>
      <c r="DF450"/>
      <c r="DG450"/>
      <c r="DH450"/>
      <c r="DI450"/>
      <c r="DJ450"/>
      <c r="DK450"/>
    </row>
    <row r="451" spans="13:115" x14ac:dyDescent="0.25">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c r="CV451"/>
      <c r="CW451"/>
      <c r="CX451"/>
      <c r="CY451"/>
      <c r="CZ451"/>
      <c r="DA451"/>
      <c r="DB451"/>
      <c r="DC451"/>
      <c r="DD451"/>
      <c r="DE451"/>
      <c r="DF451"/>
      <c r="DG451"/>
      <c r="DH451"/>
      <c r="DI451"/>
      <c r="DJ451"/>
      <c r="DK451"/>
    </row>
    <row r="452" spans="13:115" x14ac:dyDescent="0.25">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c r="DE452"/>
      <c r="DF452"/>
      <c r="DG452"/>
      <c r="DH452"/>
      <c r="DI452"/>
      <c r="DJ452"/>
      <c r="DK452"/>
    </row>
    <row r="453" spans="13:115" x14ac:dyDescent="0.25">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c r="CV453"/>
      <c r="CW453"/>
      <c r="CX453"/>
      <c r="CY453"/>
      <c r="CZ453"/>
      <c r="DA453"/>
      <c r="DB453"/>
      <c r="DC453"/>
      <c r="DD453"/>
      <c r="DE453"/>
      <c r="DF453"/>
      <c r="DG453"/>
      <c r="DH453"/>
      <c r="DI453"/>
      <c r="DJ453"/>
      <c r="DK453"/>
    </row>
    <row r="454" spans="13:115" x14ac:dyDescent="0.25">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c r="DE454"/>
      <c r="DF454"/>
      <c r="DG454"/>
      <c r="DH454"/>
      <c r="DI454"/>
      <c r="DJ454"/>
      <c r="DK454"/>
    </row>
    <row r="455" spans="13:115" x14ac:dyDescent="0.2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c r="CV455"/>
      <c r="CW455"/>
      <c r="CX455"/>
      <c r="CY455"/>
      <c r="CZ455"/>
      <c r="DA455"/>
      <c r="DB455"/>
      <c r="DC455"/>
      <c r="DD455"/>
      <c r="DE455"/>
      <c r="DF455"/>
      <c r="DG455"/>
      <c r="DH455"/>
      <c r="DI455"/>
      <c r="DJ455"/>
      <c r="DK455"/>
    </row>
    <row r="456" spans="13:115" x14ac:dyDescent="0.25">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c r="DF456"/>
      <c r="DG456"/>
      <c r="DH456"/>
      <c r="DI456"/>
      <c r="DJ456"/>
      <c r="DK456"/>
    </row>
    <row r="457" spans="13:115" x14ac:dyDescent="0.25">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c r="DE457"/>
      <c r="DF457"/>
      <c r="DG457"/>
      <c r="DH457"/>
      <c r="DI457"/>
      <c r="DJ457"/>
      <c r="DK457"/>
    </row>
    <row r="458" spans="13:115" x14ac:dyDescent="0.25">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c r="CV458"/>
      <c r="CW458"/>
      <c r="CX458"/>
      <c r="CY458"/>
      <c r="CZ458"/>
      <c r="DA458"/>
      <c r="DB458"/>
      <c r="DC458"/>
      <c r="DD458"/>
      <c r="DE458"/>
      <c r="DF458"/>
      <c r="DG458"/>
      <c r="DH458"/>
      <c r="DI458"/>
      <c r="DJ458"/>
      <c r="DK458"/>
    </row>
    <row r="459" spans="13:115" x14ac:dyDescent="0.25">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c r="DE459"/>
      <c r="DF459"/>
      <c r="DG459"/>
      <c r="DH459"/>
      <c r="DI459"/>
      <c r="DJ459"/>
      <c r="DK459"/>
    </row>
    <row r="460" spans="13:115" x14ac:dyDescent="0.25">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c r="DA460"/>
      <c r="DB460"/>
      <c r="DC460"/>
      <c r="DD460"/>
      <c r="DE460"/>
      <c r="DF460"/>
      <c r="DG460"/>
      <c r="DH460"/>
      <c r="DI460"/>
      <c r="DJ460"/>
      <c r="DK460"/>
    </row>
    <row r="461" spans="13:115" x14ac:dyDescent="0.25">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c r="CV461"/>
      <c r="CW461"/>
      <c r="CX461"/>
      <c r="CY461"/>
      <c r="CZ461"/>
      <c r="DA461"/>
      <c r="DB461"/>
      <c r="DC461"/>
      <c r="DD461"/>
      <c r="DE461"/>
      <c r="DF461"/>
      <c r="DG461"/>
      <c r="DH461"/>
      <c r="DI461"/>
      <c r="DJ461"/>
      <c r="DK461"/>
    </row>
    <row r="462" spans="13:115" x14ac:dyDescent="0.25">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c r="CV462"/>
      <c r="CW462"/>
      <c r="CX462"/>
      <c r="CY462"/>
      <c r="CZ462"/>
      <c r="DA462"/>
      <c r="DB462"/>
      <c r="DC462"/>
      <c r="DD462"/>
      <c r="DE462"/>
      <c r="DF462"/>
      <c r="DG462"/>
      <c r="DH462"/>
      <c r="DI462"/>
      <c r="DJ462"/>
      <c r="DK462"/>
    </row>
    <row r="463" spans="13:115" x14ac:dyDescent="0.25">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c r="CV463"/>
      <c r="CW463"/>
      <c r="CX463"/>
      <c r="CY463"/>
      <c r="CZ463"/>
      <c r="DA463"/>
      <c r="DB463"/>
      <c r="DC463"/>
      <c r="DD463"/>
      <c r="DE463"/>
      <c r="DF463"/>
      <c r="DG463"/>
      <c r="DH463"/>
      <c r="DI463"/>
      <c r="DJ463"/>
      <c r="DK463"/>
    </row>
    <row r="464" spans="13:115" x14ac:dyDescent="0.25">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c r="CV464"/>
      <c r="CW464"/>
      <c r="CX464"/>
      <c r="CY464"/>
      <c r="CZ464"/>
      <c r="DA464"/>
      <c r="DB464"/>
      <c r="DC464"/>
      <c r="DD464"/>
      <c r="DE464"/>
      <c r="DF464"/>
      <c r="DG464"/>
      <c r="DH464"/>
      <c r="DI464"/>
      <c r="DJ464"/>
      <c r="DK464"/>
    </row>
    <row r="465" spans="13:115" x14ac:dyDescent="0.2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c r="CV465"/>
      <c r="CW465"/>
      <c r="CX465"/>
      <c r="CY465"/>
      <c r="CZ465"/>
      <c r="DA465"/>
      <c r="DB465"/>
      <c r="DC465"/>
      <c r="DD465"/>
      <c r="DE465"/>
      <c r="DF465"/>
      <c r="DG465"/>
      <c r="DH465"/>
      <c r="DI465"/>
      <c r="DJ465"/>
      <c r="DK465"/>
    </row>
    <row r="466" spans="13:115" x14ac:dyDescent="0.25">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c r="CW466"/>
      <c r="CX466"/>
      <c r="CY466"/>
      <c r="CZ466"/>
      <c r="DA466"/>
      <c r="DB466"/>
      <c r="DC466"/>
      <c r="DD466"/>
      <c r="DE466"/>
      <c r="DF466"/>
      <c r="DG466"/>
      <c r="DH466"/>
      <c r="DI466"/>
      <c r="DJ466"/>
      <c r="DK466"/>
    </row>
    <row r="467" spans="13:115" x14ac:dyDescent="0.25">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c r="CV467"/>
      <c r="CW467"/>
      <c r="CX467"/>
      <c r="CY467"/>
      <c r="CZ467"/>
      <c r="DA467"/>
      <c r="DB467"/>
      <c r="DC467"/>
      <c r="DD467"/>
      <c r="DE467"/>
      <c r="DF467"/>
      <c r="DG467"/>
      <c r="DH467"/>
      <c r="DI467"/>
      <c r="DJ467"/>
      <c r="DK467"/>
    </row>
    <row r="468" spans="13:115" x14ac:dyDescent="0.25">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c r="CV468"/>
      <c r="CW468"/>
      <c r="CX468"/>
      <c r="CY468"/>
      <c r="CZ468"/>
      <c r="DA468"/>
      <c r="DB468"/>
      <c r="DC468"/>
      <c r="DD468"/>
      <c r="DE468"/>
      <c r="DF468"/>
      <c r="DG468"/>
      <c r="DH468"/>
      <c r="DI468"/>
      <c r="DJ468"/>
      <c r="DK468"/>
    </row>
    <row r="469" spans="13:115" x14ac:dyDescent="0.25">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c r="BY469"/>
      <c r="BZ469"/>
      <c r="CA469"/>
      <c r="CB469"/>
      <c r="CC469"/>
      <c r="CD469"/>
      <c r="CE469"/>
      <c r="CF469"/>
      <c r="CG469"/>
      <c r="CH469"/>
      <c r="CI469"/>
      <c r="CJ469"/>
      <c r="CK469"/>
      <c r="CL469"/>
      <c r="CM469"/>
      <c r="CN469"/>
      <c r="CO469"/>
      <c r="CP469"/>
      <c r="CQ469"/>
      <c r="CR469"/>
      <c r="CS469"/>
      <c r="CT469"/>
      <c r="CU469"/>
      <c r="CV469"/>
      <c r="CW469"/>
      <c r="CX469"/>
      <c r="CY469"/>
      <c r="CZ469"/>
      <c r="DA469"/>
      <c r="DB469"/>
      <c r="DC469"/>
      <c r="DD469"/>
      <c r="DE469"/>
      <c r="DF469"/>
      <c r="DG469"/>
      <c r="DH469"/>
      <c r="DI469"/>
      <c r="DJ469"/>
      <c r="DK469"/>
    </row>
    <row r="470" spans="13:115" x14ac:dyDescent="0.25">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c r="CV470"/>
      <c r="CW470"/>
      <c r="CX470"/>
      <c r="CY470"/>
      <c r="CZ470"/>
      <c r="DA470"/>
      <c r="DB470"/>
      <c r="DC470"/>
      <c r="DD470"/>
      <c r="DE470"/>
      <c r="DF470"/>
      <c r="DG470"/>
      <c r="DH470"/>
      <c r="DI470"/>
      <c r="DJ470"/>
      <c r="DK470"/>
    </row>
    <row r="471" spans="13:115" x14ac:dyDescent="0.25">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c r="BS471"/>
      <c r="BT471"/>
      <c r="BU471"/>
      <c r="BV471"/>
      <c r="BW471"/>
      <c r="BX471"/>
      <c r="BY471"/>
      <c r="BZ471"/>
      <c r="CA471"/>
      <c r="CB471"/>
      <c r="CC471"/>
      <c r="CD471"/>
      <c r="CE471"/>
      <c r="CF471"/>
      <c r="CG471"/>
      <c r="CH471"/>
      <c r="CI471"/>
      <c r="CJ471"/>
      <c r="CK471"/>
      <c r="CL471"/>
      <c r="CM471"/>
      <c r="CN471"/>
      <c r="CO471"/>
      <c r="CP471"/>
      <c r="CQ471"/>
      <c r="CR471"/>
      <c r="CS471"/>
      <c r="CT471"/>
      <c r="CU471"/>
      <c r="CV471"/>
      <c r="CW471"/>
      <c r="CX471"/>
      <c r="CY471"/>
      <c r="CZ471"/>
      <c r="DA471"/>
      <c r="DB471"/>
      <c r="DC471"/>
      <c r="DD471"/>
      <c r="DE471"/>
      <c r="DF471"/>
      <c r="DG471"/>
      <c r="DH471"/>
      <c r="DI471"/>
      <c r="DJ471"/>
      <c r="DK471"/>
    </row>
    <row r="472" spans="13:115" x14ac:dyDescent="0.25">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c r="CT472"/>
      <c r="CU472"/>
      <c r="CV472"/>
      <c r="CW472"/>
      <c r="CX472"/>
      <c r="CY472"/>
      <c r="CZ472"/>
      <c r="DA472"/>
      <c r="DB472"/>
      <c r="DC472"/>
      <c r="DD472"/>
      <c r="DE472"/>
      <c r="DF472"/>
      <c r="DG472"/>
      <c r="DH472"/>
      <c r="DI472"/>
      <c r="DJ472"/>
      <c r="DK472"/>
    </row>
    <row r="473" spans="13:115" x14ac:dyDescent="0.25">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c r="CW473"/>
      <c r="CX473"/>
      <c r="CY473"/>
      <c r="CZ473"/>
      <c r="DA473"/>
      <c r="DB473"/>
      <c r="DC473"/>
      <c r="DD473"/>
      <c r="DE473"/>
      <c r="DF473"/>
      <c r="DG473"/>
      <c r="DH473"/>
      <c r="DI473"/>
      <c r="DJ473"/>
      <c r="DK473"/>
    </row>
    <row r="474" spans="13:115" x14ac:dyDescent="0.25">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c r="CV474"/>
      <c r="CW474"/>
      <c r="CX474"/>
      <c r="CY474"/>
      <c r="CZ474"/>
      <c r="DA474"/>
      <c r="DB474"/>
      <c r="DC474"/>
      <c r="DD474"/>
      <c r="DE474"/>
      <c r="DF474"/>
      <c r="DG474"/>
      <c r="DH474"/>
      <c r="DI474"/>
      <c r="DJ474"/>
      <c r="DK474"/>
    </row>
    <row r="475" spans="13:115" x14ac:dyDescent="0.2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c r="CV475"/>
      <c r="CW475"/>
      <c r="CX475"/>
      <c r="CY475"/>
      <c r="CZ475"/>
      <c r="DA475"/>
      <c r="DB475"/>
      <c r="DC475"/>
      <c r="DD475"/>
      <c r="DE475"/>
      <c r="DF475"/>
      <c r="DG475"/>
      <c r="DH475"/>
      <c r="DI475"/>
      <c r="DJ475"/>
      <c r="DK475"/>
    </row>
    <row r="476" spans="13:115" x14ac:dyDescent="0.25">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c r="CV476"/>
      <c r="CW476"/>
      <c r="CX476"/>
      <c r="CY476"/>
      <c r="CZ476"/>
      <c r="DA476"/>
      <c r="DB476"/>
      <c r="DC476"/>
      <c r="DD476"/>
      <c r="DE476"/>
      <c r="DF476"/>
      <c r="DG476"/>
      <c r="DH476"/>
      <c r="DI476"/>
      <c r="DJ476"/>
      <c r="DK476"/>
    </row>
    <row r="477" spans="13:115" x14ac:dyDescent="0.25">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c r="CV477"/>
      <c r="CW477"/>
      <c r="CX477"/>
      <c r="CY477"/>
      <c r="CZ477"/>
      <c r="DA477"/>
      <c r="DB477"/>
      <c r="DC477"/>
      <c r="DD477"/>
      <c r="DE477"/>
      <c r="DF477"/>
      <c r="DG477"/>
      <c r="DH477"/>
      <c r="DI477"/>
      <c r="DJ477"/>
      <c r="DK477"/>
    </row>
    <row r="478" spans="13:115" x14ac:dyDescent="0.25">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c r="CV478"/>
      <c r="CW478"/>
      <c r="CX478"/>
      <c r="CY478"/>
      <c r="CZ478"/>
      <c r="DA478"/>
      <c r="DB478"/>
      <c r="DC478"/>
      <c r="DD478"/>
      <c r="DE478"/>
      <c r="DF478"/>
      <c r="DG478"/>
      <c r="DH478"/>
      <c r="DI478"/>
      <c r="DJ478"/>
      <c r="DK478"/>
    </row>
    <row r="479" spans="13:115" x14ac:dyDescent="0.25">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c r="CV479"/>
      <c r="CW479"/>
      <c r="CX479"/>
      <c r="CY479"/>
      <c r="CZ479"/>
      <c r="DA479"/>
      <c r="DB479"/>
      <c r="DC479"/>
      <c r="DD479"/>
      <c r="DE479"/>
      <c r="DF479"/>
      <c r="DG479"/>
      <c r="DH479"/>
      <c r="DI479"/>
      <c r="DJ479"/>
      <c r="DK479"/>
    </row>
    <row r="480" spans="13:115" x14ac:dyDescent="0.25">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c r="CV480"/>
      <c r="CW480"/>
      <c r="CX480"/>
      <c r="CY480"/>
      <c r="CZ480"/>
      <c r="DA480"/>
      <c r="DB480"/>
      <c r="DC480"/>
      <c r="DD480"/>
      <c r="DE480"/>
      <c r="DF480"/>
      <c r="DG480"/>
      <c r="DH480"/>
      <c r="DI480"/>
      <c r="DJ480"/>
      <c r="DK480"/>
    </row>
    <row r="481" spans="13:115" x14ac:dyDescent="0.25">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c r="BY481"/>
      <c r="BZ481"/>
      <c r="CA481"/>
      <c r="CB481"/>
      <c r="CC481"/>
      <c r="CD481"/>
      <c r="CE481"/>
      <c r="CF481"/>
      <c r="CG481"/>
      <c r="CH481"/>
      <c r="CI481"/>
      <c r="CJ481"/>
      <c r="CK481"/>
      <c r="CL481"/>
      <c r="CM481"/>
      <c r="CN481"/>
      <c r="CO481"/>
      <c r="CP481"/>
      <c r="CQ481"/>
      <c r="CR481"/>
      <c r="CS481"/>
      <c r="CT481"/>
      <c r="CU481"/>
      <c r="CV481"/>
      <c r="CW481"/>
      <c r="CX481"/>
      <c r="CY481"/>
      <c r="CZ481"/>
      <c r="DA481"/>
      <c r="DB481"/>
      <c r="DC481"/>
      <c r="DD481"/>
      <c r="DE481"/>
      <c r="DF481"/>
      <c r="DG481"/>
      <c r="DH481"/>
      <c r="DI481"/>
      <c r="DJ481"/>
      <c r="DK481"/>
    </row>
    <row r="482" spans="13:115" x14ac:dyDescent="0.25">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c r="CV482"/>
      <c r="CW482"/>
      <c r="CX482"/>
      <c r="CY482"/>
      <c r="CZ482"/>
      <c r="DA482"/>
      <c r="DB482"/>
      <c r="DC482"/>
      <c r="DD482"/>
      <c r="DE482"/>
      <c r="DF482"/>
      <c r="DG482"/>
      <c r="DH482"/>
      <c r="DI482"/>
      <c r="DJ482"/>
      <c r="DK482"/>
    </row>
    <row r="483" spans="13:115" x14ac:dyDescent="0.25">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c r="CV483"/>
      <c r="CW483"/>
      <c r="CX483"/>
      <c r="CY483"/>
      <c r="CZ483"/>
      <c r="DA483"/>
      <c r="DB483"/>
      <c r="DC483"/>
      <c r="DD483"/>
      <c r="DE483"/>
      <c r="DF483"/>
      <c r="DG483"/>
      <c r="DH483"/>
      <c r="DI483"/>
      <c r="DJ483"/>
      <c r="DK483"/>
    </row>
    <row r="484" spans="13:115" x14ac:dyDescent="0.25">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c r="CV484"/>
      <c r="CW484"/>
      <c r="CX484"/>
      <c r="CY484"/>
      <c r="CZ484"/>
      <c r="DA484"/>
      <c r="DB484"/>
      <c r="DC484"/>
      <c r="DD484"/>
      <c r="DE484"/>
      <c r="DF484"/>
      <c r="DG484"/>
      <c r="DH484"/>
      <c r="DI484"/>
      <c r="DJ484"/>
      <c r="DK484"/>
    </row>
    <row r="485" spans="13:115" x14ac:dyDescent="0.2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c r="BS485"/>
      <c r="BT485"/>
      <c r="BU485"/>
      <c r="BV485"/>
      <c r="BW485"/>
      <c r="BX485"/>
      <c r="BY485"/>
      <c r="BZ485"/>
      <c r="CA485"/>
      <c r="CB485"/>
      <c r="CC485"/>
      <c r="CD485"/>
      <c r="CE485"/>
      <c r="CF485"/>
      <c r="CG485"/>
      <c r="CH485"/>
      <c r="CI485"/>
      <c r="CJ485"/>
      <c r="CK485"/>
      <c r="CL485"/>
      <c r="CM485"/>
      <c r="CN485"/>
      <c r="CO485"/>
      <c r="CP485"/>
      <c r="CQ485"/>
      <c r="CR485"/>
      <c r="CS485"/>
      <c r="CT485"/>
      <c r="CU485"/>
      <c r="CV485"/>
      <c r="CW485"/>
      <c r="CX485"/>
      <c r="CY485"/>
      <c r="CZ485"/>
      <c r="DA485"/>
      <c r="DB485"/>
      <c r="DC485"/>
      <c r="DD485"/>
      <c r="DE485"/>
      <c r="DF485"/>
      <c r="DG485"/>
      <c r="DH485"/>
      <c r="DI485"/>
      <c r="DJ485"/>
      <c r="DK485"/>
    </row>
    <row r="486" spans="13:115" x14ac:dyDescent="0.25">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c r="CV486"/>
      <c r="CW486"/>
      <c r="CX486"/>
      <c r="CY486"/>
      <c r="CZ486"/>
      <c r="DA486"/>
      <c r="DB486"/>
      <c r="DC486"/>
      <c r="DD486"/>
      <c r="DE486"/>
      <c r="DF486"/>
      <c r="DG486"/>
      <c r="DH486"/>
      <c r="DI486"/>
      <c r="DJ486"/>
      <c r="DK486"/>
    </row>
    <row r="487" spans="13:115" x14ac:dyDescent="0.25">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c r="CV487"/>
      <c r="CW487"/>
      <c r="CX487"/>
      <c r="CY487"/>
      <c r="CZ487"/>
      <c r="DA487"/>
      <c r="DB487"/>
      <c r="DC487"/>
      <c r="DD487"/>
      <c r="DE487"/>
      <c r="DF487"/>
      <c r="DG487"/>
      <c r="DH487"/>
      <c r="DI487"/>
      <c r="DJ487"/>
      <c r="DK487"/>
    </row>
    <row r="488" spans="13:115" x14ac:dyDescent="0.25">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c r="CV488"/>
      <c r="CW488"/>
      <c r="CX488"/>
      <c r="CY488"/>
      <c r="CZ488"/>
      <c r="DA488"/>
      <c r="DB488"/>
      <c r="DC488"/>
      <c r="DD488"/>
      <c r="DE488"/>
      <c r="DF488"/>
      <c r="DG488"/>
      <c r="DH488"/>
      <c r="DI488"/>
      <c r="DJ488"/>
      <c r="DK488"/>
    </row>
    <row r="489" spans="13:115" x14ac:dyDescent="0.25">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c r="CV489"/>
      <c r="CW489"/>
      <c r="CX489"/>
      <c r="CY489"/>
      <c r="CZ489"/>
      <c r="DA489"/>
      <c r="DB489"/>
      <c r="DC489"/>
      <c r="DD489"/>
      <c r="DE489"/>
      <c r="DF489"/>
      <c r="DG489"/>
      <c r="DH489"/>
      <c r="DI489"/>
      <c r="DJ489"/>
      <c r="DK489"/>
    </row>
    <row r="490" spans="13:115" x14ac:dyDescent="0.25">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c r="CV490"/>
      <c r="CW490"/>
      <c r="CX490"/>
      <c r="CY490"/>
      <c r="CZ490"/>
      <c r="DA490"/>
      <c r="DB490"/>
      <c r="DC490"/>
      <c r="DD490"/>
      <c r="DE490"/>
      <c r="DF490"/>
      <c r="DG490"/>
      <c r="DH490"/>
      <c r="DI490"/>
      <c r="DJ490"/>
      <c r="DK490"/>
    </row>
    <row r="491" spans="13:115" x14ac:dyDescent="0.25">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c r="BS491"/>
      <c r="BT491"/>
      <c r="BU491"/>
      <c r="BV491"/>
      <c r="BW491"/>
      <c r="BX491"/>
      <c r="BY491"/>
      <c r="BZ491"/>
      <c r="CA491"/>
      <c r="CB491"/>
      <c r="CC491"/>
      <c r="CD491"/>
      <c r="CE491"/>
      <c r="CF491"/>
      <c r="CG491"/>
      <c r="CH491"/>
      <c r="CI491"/>
      <c r="CJ491"/>
      <c r="CK491"/>
      <c r="CL491"/>
      <c r="CM491"/>
      <c r="CN491"/>
      <c r="CO491"/>
      <c r="CP491"/>
      <c r="CQ491"/>
      <c r="CR491"/>
      <c r="CS491"/>
      <c r="CT491"/>
      <c r="CU491"/>
      <c r="CV491"/>
      <c r="CW491"/>
      <c r="CX491"/>
      <c r="CY491"/>
      <c r="CZ491"/>
      <c r="DA491"/>
      <c r="DB491"/>
      <c r="DC491"/>
      <c r="DD491"/>
      <c r="DE491"/>
      <c r="DF491"/>
      <c r="DG491"/>
      <c r="DH491"/>
      <c r="DI491"/>
      <c r="DJ491"/>
      <c r="DK491"/>
    </row>
    <row r="492" spans="13:115" x14ac:dyDescent="0.25">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c r="CV492"/>
      <c r="CW492"/>
      <c r="CX492"/>
      <c r="CY492"/>
      <c r="CZ492"/>
      <c r="DA492"/>
      <c r="DB492"/>
      <c r="DC492"/>
      <c r="DD492"/>
      <c r="DE492"/>
      <c r="DF492"/>
      <c r="DG492"/>
      <c r="DH492"/>
      <c r="DI492"/>
      <c r="DJ492"/>
      <c r="DK492"/>
    </row>
    <row r="493" spans="13:115" x14ac:dyDescent="0.25">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c r="CV493"/>
      <c r="CW493"/>
      <c r="CX493"/>
      <c r="CY493"/>
      <c r="CZ493"/>
      <c r="DA493"/>
      <c r="DB493"/>
      <c r="DC493"/>
      <c r="DD493"/>
      <c r="DE493"/>
      <c r="DF493"/>
      <c r="DG493"/>
      <c r="DH493"/>
      <c r="DI493"/>
      <c r="DJ493"/>
      <c r="DK493"/>
    </row>
    <row r="494" spans="13:115" x14ac:dyDescent="0.25">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c r="CV494"/>
      <c r="CW494"/>
      <c r="CX494"/>
      <c r="CY494"/>
      <c r="CZ494"/>
      <c r="DA494"/>
      <c r="DB494"/>
      <c r="DC494"/>
      <c r="DD494"/>
      <c r="DE494"/>
      <c r="DF494"/>
      <c r="DG494"/>
      <c r="DH494"/>
      <c r="DI494"/>
      <c r="DJ494"/>
      <c r="DK494"/>
    </row>
    <row r="495" spans="13:115" x14ac:dyDescent="0.2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c r="BS495"/>
      <c r="BT495"/>
      <c r="BU495"/>
      <c r="BV495"/>
      <c r="BW495"/>
      <c r="BX495"/>
      <c r="BY495"/>
      <c r="BZ495"/>
      <c r="CA495"/>
      <c r="CB495"/>
      <c r="CC495"/>
      <c r="CD495"/>
      <c r="CE495"/>
      <c r="CF495"/>
      <c r="CG495"/>
      <c r="CH495"/>
      <c r="CI495"/>
      <c r="CJ495"/>
      <c r="CK495"/>
      <c r="CL495"/>
      <c r="CM495"/>
      <c r="CN495"/>
      <c r="CO495"/>
      <c r="CP495"/>
      <c r="CQ495"/>
      <c r="CR495"/>
      <c r="CS495"/>
      <c r="CT495"/>
      <c r="CU495"/>
      <c r="CV495"/>
      <c r="CW495"/>
      <c r="CX495"/>
      <c r="CY495"/>
      <c r="CZ495"/>
      <c r="DA495"/>
      <c r="DB495"/>
      <c r="DC495"/>
      <c r="DD495"/>
      <c r="DE495"/>
      <c r="DF495"/>
      <c r="DG495"/>
      <c r="DH495"/>
      <c r="DI495"/>
      <c r="DJ495"/>
      <c r="DK495"/>
    </row>
    <row r="496" spans="13:115" x14ac:dyDescent="0.25">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c r="CV496"/>
      <c r="CW496"/>
      <c r="CX496"/>
      <c r="CY496"/>
      <c r="CZ496"/>
      <c r="DA496"/>
      <c r="DB496"/>
      <c r="DC496"/>
      <c r="DD496"/>
      <c r="DE496"/>
      <c r="DF496"/>
      <c r="DG496"/>
      <c r="DH496"/>
      <c r="DI496"/>
      <c r="DJ496"/>
      <c r="DK496"/>
    </row>
    <row r="497" spans="13:115" x14ac:dyDescent="0.25">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c r="CV497"/>
      <c r="CW497"/>
      <c r="CX497"/>
      <c r="CY497"/>
      <c r="CZ497"/>
      <c r="DA497"/>
      <c r="DB497"/>
      <c r="DC497"/>
      <c r="DD497"/>
      <c r="DE497"/>
      <c r="DF497"/>
      <c r="DG497"/>
      <c r="DH497"/>
      <c r="DI497"/>
      <c r="DJ497"/>
      <c r="DK497"/>
    </row>
    <row r="498" spans="13:115" x14ac:dyDescent="0.25">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c r="CW498"/>
      <c r="CX498"/>
      <c r="CY498"/>
      <c r="CZ498"/>
      <c r="DA498"/>
      <c r="DB498"/>
      <c r="DC498"/>
      <c r="DD498"/>
      <c r="DE498"/>
      <c r="DF498"/>
      <c r="DG498"/>
      <c r="DH498"/>
      <c r="DI498"/>
      <c r="DJ498"/>
      <c r="DK498"/>
    </row>
    <row r="499" spans="13:115" x14ac:dyDescent="0.25">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c r="CV499"/>
      <c r="CW499"/>
      <c r="CX499"/>
      <c r="CY499"/>
      <c r="CZ499"/>
      <c r="DA499"/>
      <c r="DB499"/>
      <c r="DC499"/>
      <c r="DD499"/>
      <c r="DE499"/>
      <c r="DF499"/>
      <c r="DG499"/>
      <c r="DH499"/>
      <c r="DI499"/>
      <c r="DJ499"/>
      <c r="DK499"/>
    </row>
    <row r="500" spans="13:115" x14ac:dyDescent="0.25">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c r="CV500"/>
      <c r="CW500"/>
      <c r="CX500"/>
      <c r="CY500"/>
      <c r="CZ500"/>
      <c r="DA500"/>
      <c r="DB500"/>
      <c r="DC500"/>
      <c r="DD500"/>
      <c r="DE500"/>
      <c r="DF500"/>
      <c r="DG500"/>
      <c r="DH500"/>
      <c r="DI500"/>
      <c r="DJ500"/>
      <c r="DK500"/>
    </row>
    <row r="501" spans="13:115" x14ac:dyDescent="0.25">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c r="CV501"/>
      <c r="CW501"/>
      <c r="CX501"/>
      <c r="CY501"/>
      <c r="CZ501"/>
      <c r="DA501"/>
      <c r="DB501"/>
      <c r="DC501"/>
      <c r="DD501"/>
      <c r="DE501"/>
      <c r="DF501"/>
      <c r="DG501"/>
      <c r="DH501"/>
      <c r="DI501"/>
      <c r="DJ501"/>
      <c r="DK501"/>
    </row>
    <row r="502" spans="13:115" x14ac:dyDescent="0.25">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c r="BY502"/>
      <c r="BZ502"/>
      <c r="CA502"/>
      <c r="CB502"/>
      <c r="CC502"/>
      <c r="CD502"/>
      <c r="CE502"/>
      <c r="CF502"/>
      <c r="CG502"/>
      <c r="CH502"/>
      <c r="CI502"/>
      <c r="CJ502"/>
      <c r="CK502"/>
      <c r="CL502"/>
      <c r="CM502"/>
      <c r="CN502"/>
      <c r="CO502"/>
      <c r="CP502"/>
      <c r="CQ502"/>
      <c r="CR502"/>
      <c r="CS502"/>
      <c r="CT502"/>
      <c r="CU502"/>
      <c r="CV502"/>
      <c r="CW502"/>
      <c r="CX502"/>
      <c r="CY502"/>
      <c r="CZ502"/>
      <c r="DA502"/>
      <c r="DB502"/>
      <c r="DC502"/>
      <c r="DD502"/>
      <c r="DE502"/>
      <c r="DF502"/>
      <c r="DG502"/>
      <c r="DH502"/>
      <c r="DI502"/>
      <c r="DJ502"/>
      <c r="DK502"/>
    </row>
    <row r="503" spans="13:115" x14ac:dyDescent="0.25">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c r="CV503"/>
      <c r="CW503"/>
      <c r="CX503"/>
      <c r="CY503"/>
      <c r="CZ503"/>
      <c r="DA503"/>
      <c r="DB503"/>
      <c r="DC503"/>
      <c r="DD503"/>
      <c r="DE503"/>
      <c r="DF503"/>
      <c r="DG503"/>
      <c r="DH503"/>
      <c r="DI503"/>
      <c r="DJ503"/>
      <c r="DK503"/>
    </row>
    <row r="504" spans="13:115" x14ac:dyDescent="0.25">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c r="CD504"/>
      <c r="CE504"/>
      <c r="CF504"/>
      <c r="CG504"/>
      <c r="CH504"/>
      <c r="CI504"/>
      <c r="CJ504"/>
      <c r="CK504"/>
      <c r="CL504"/>
      <c r="CM504"/>
      <c r="CN504"/>
      <c r="CO504"/>
      <c r="CP504"/>
      <c r="CQ504"/>
      <c r="CR504"/>
      <c r="CS504"/>
      <c r="CT504"/>
      <c r="CU504"/>
      <c r="CV504"/>
      <c r="CW504"/>
      <c r="CX504"/>
      <c r="CY504"/>
      <c r="CZ504"/>
      <c r="DA504"/>
      <c r="DB504"/>
      <c r="DC504"/>
      <c r="DD504"/>
      <c r="DE504"/>
      <c r="DF504"/>
      <c r="DG504"/>
      <c r="DH504"/>
      <c r="DI504"/>
      <c r="DJ504"/>
      <c r="DK504"/>
    </row>
    <row r="505" spans="13:115" x14ac:dyDescent="0.2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c r="CL505"/>
      <c r="CM505"/>
      <c r="CN505"/>
      <c r="CO505"/>
      <c r="CP505"/>
      <c r="CQ505"/>
      <c r="CR505"/>
      <c r="CS505"/>
      <c r="CT505"/>
      <c r="CU505"/>
      <c r="CV505"/>
      <c r="CW505"/>
      <c r="CX505"/>
      <c r="CY505"/>
      <c r="CZ505"/>
      <c r="DA505"/>
      <c r="DB505"/>
      <c r="DC505"/>
      <c r="DD505"/>
      <c r="DE505"/>
      <c r="DF505"/>
      <c r="DG505"/>
      <c r="DH505"/>
      <c r="DI505"/>
      <c r="DJ505"/>
      <c r="DK505"/>
    </row>
    <row r="506" spans="13:115" x14ac:dyDescent="0.25">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c r="BS506"/>
      <c r="BT506"/>
      <c r="BU506"/>
      <c r="BV506"/>
      <c r="BW506"/>
      <c r="BX506"/>
      <c r="BY506"/>
      <c r="BZ506"/>
      <c r="CA506"/>
      <c r="CB506"/>
      <c r="CC506"/>
      <c r="CD506"/>
      <c r="CE506"/>
      <c r="CF506"/>
      <c r="CG506"/>
      <c r="CH506"/>
      <c r="CI506"/>
      <c r="CJ506"/>
      <c r="CK506"/>
      <c r="CL506"/>
      <c r="CM506"/>
      <c r="CN506"/>
      <c r="CO506"/>
      <c r="CP506"/>
      <c r="CQ506"/>
      <c r="CR506"/>
      <c r="CS506"/>
      <c r="CT506"/>
      <c r="CU506"/>
      <c r="CV506"/>
      <c r="CW506"/>
      <c r="CX506"/>
      <c r="CY506"/>
      <c r="CZ506"/>
      <c r="DA506"/>
      <c r="DB506"/>
      <c r="DC506"/>
      <c r="DD506"/>
      <c r="DE506"/>
      <c r="DF506"/>
      <c r="DG506"/>
      <c r="DH506"/>
      <c r="DI506"/>
      <c r="DJ506"/>
      <c r="DK506"/>
    </row>
    <row r="507" spans="13:115" x14ac:dyDescent="0.25">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c r="CV507"/>
      <c r="CW507"/>
      <c r="CX507"/>
      <c r="CY507"/>
      <c r="CZ507"/>
      <c r="DA507"/>
      <c r="DB507"/>
      <c r="DC507"/>
      <c r="DD507"/>
      <c r="DE507"/>
      <c r="DF507"/>
      <c r="DG507"/>
      <c r="DH507"/>
      <c r="DI507"/>
      <c r="DJ507"/>
      <c r="DK507"/>
    </row>
    <row r="508" spans="13:115" x14ac:dyDescent="0.25">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c r="CL508"/>
      <c r="CM508"/>
      <c r="CN508"/>
      <c r="CO508"/>
      <c r="CP508"/>
      <c r="CQ508"/>
      <c r="CR508"/>
      <c r="CS508"/>
      <c r="CT508"/>
      <c r="CU508"/>
      <c r="CV508"/>
      <c r="CW508"/>
      <c r="CX508"/>
      <c r="CY508"/>
      <c r="CZ508"/>
      <c r="DA508"/>
      <c r="DB508"/>
      <c r="DC508"/>
      <c r="DD508"/>
      <c r="DE508"/>
      <c r="DF508"/>
      <c r="DG508"/>
      <c r="DH508"/>
      <c r="DI508"/>
      <c r="DJ508"/>
      <c r="DK508"/>
    </row>
    <row r="509" spans="13:115" x14ac:dyDescent="0.25">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c r="CV509"/>
      <c r="CW509"/>
      <c r="CX509"/>
      <c r="CY509"/>
      <c r="CZ509"/>
      <c r="DA509"/>
      <c r="DB509"/>
      <c r="DC509"/>
      <c r="DD509"/>
      <c r="DE509"/>
      <c r="DF509"/>
      <c r="DG509"/>
      <c r="DH509"/>
      <c r="DI509"/>
      <c r="DJ509"/>
      <c r="DK509"/>
    </row>
    <row r="510" spans="13:115" x14ac:dyDescent="0.25">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c r="CV510"/>
      <c r="CW510"/>
      <c r="CX510"/>
      <c r="CY510"/>
      <c r="CZ510"/>
      <c r="DA510"/>
      <c r="DB510"/>
      <c r="DC510"/>
      <c r="DD510"/>
      <c r="DE510"/>
      <c r="DF510"/>
      <c r="DG510"/>
      <c r="DH510"/>
      <c r="DI510"/>
      <c r="DJ510"/>
      <c r="DK510"/>
    </row>
    <row r="511" spans="13:115" x14ac:dyDescent="0.25">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c r="CV511"/>
      <c r="CW511"/>
      <c r="CX511"/>
      <c r="CY511"/>
      <c r="CZ511"/>
      <c r="DA511"/>
      <c r="DB511"/>
      <c r="DC511"/>
      <c r="DD511"/>
      <c r="DE511"/>
      <c r="DF511"/>
      <c r="DG511"/>
      <c r="DH511"/>
      <c r="DI511"/>
      <c r="DJ511"/>
      <c r="DK511"/>
    </row>
    <row r="512" spans="13:115" x14ac:dyDescent="0.25">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c r="BY512"/>
      <c r="BZ512"/>
      <c r="CA512"/>
      <c r="CB512"/>
      <c r="CC512"/>
      <c r="CD512"/>
      <c r="CE512"/>
      <c r="CF512"/>
      <c r="CG512"/>
      <c r="CH512"/>
      <c r="CI512"/>
      <c r="CJ512"/>
      <c r="CK512"/>
      <c r="CL512"/>
      <c r="CM512"/>
      <c r="CN512"/>
      <c r="CO512"/>
      <c r="CP512"/>
      <c r="CQ512"/>
      <c r="CR512"/>
      <c r="CS512"/>
      <c r="CT512"/>
      <c r="CU512"/>
      <c r="CV512"/>
      <c r="CW512"/>
      <c r="CX512"/>
      <c r="CY512"/>
      <c r="CZ512"/>
      <c r="DA512"/>
      <c r="DB512"/>
      <c r="DC512"/>
      <c r="DD512"/>
      <c r="DE512"/>
      <c r="DF512"/>
      <c r="DG512"/>
      <c r="DH512"/>
      <c r="DI512"/>
      <c r="DJ512"/>
      <c r="DK512"/>
    </row>
    <row r="513" spans="13:115" x14ac:dyDescent="0.25">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c r="CL513"/>
      <c r="CM513"/>
      <c r="CN513"/>
      <c r="CO513"/>
      <c r="CP513"/>
      <c r="CQ513"/>
      <c r="CR513"/>
      <c r="CS513"/>
      <c r="CT513"/>
      <c r="CU513"/>
      <c r="CV513"/>
      <c r="CW513"/>
      <c r="CX513"/>
      <c r="CY513"/>
      <c r="CZ513"/>
      <c r="DA513"/>
      <c r="DB513"/>
      <c r="DC513"/>
      <c r="DD513"/>
      <c r="DE513"/>
      <c r="DF513"/>
      <c r="DG513"/>
      <c r="DH513"/>
      <c r="DI513"/>
      <c r="DJ513"/>
      <c r="DK513"/>
    </row>
    <row r="514" spans="13:115" x14ac:dyDescent="0.25">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c r="CT514"/>
      <c r="CU514"/>
      <c r="CV514"/>
      <c r="CW514"/>
      <c r="CX514"/>
      <c r="CY514"/>
      <c r="CZ514"/>
      <c r="DA514"/>
      <c r="DB514"/>
      <c r="DC514"/>
      <c r="DD514"/>
      <c r="DE514"/>
      <c r="DF514"/>
      <c r="DG514"/>
      <c r="DH514"/>
      <c r="DI514"/>
      <c r="DJ514"/>
      <c r="DK514"/>
    </row>
    <row r="515" spans="13:115" x14ac:dyDescent="0.2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c r="CV515"/>
      <c r="CW515"/>
      <c r="CX515"/>
      <c r="CY515"/>
      <c r="CZ515"/>
      <c r="DA515"/>
      <c r="DB515"/>
      <c r="DC515"/>
      <c r="DD515"/>
      <c r="DE515"/>
      <c r="DF515"/>
      <c r="DG515"/>
      <c r="DH515"/>
      <c r="DI515"/>
      <c r="DJ515"/>
      <c r="DK515"/>
    </row>
    <row r="516" spans="13:115" x14ac:dyDescent="0.25">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c r="CV516"/>
      <c r="CW516"/>
      <c r="CX516"/>
      <c r="CY516"/>
      <c r="CZ516"/>
      <c r="DA516"/>
      <c r="DB516"/>
      <c r="DC516"/>
      <c r="DD516"/>
      <c r="DE516"/>
      <c r="DF516"/>
      <c r="DG516"/>
      <c r="DH516"/>
      <c r="DI516"/>
      <c r="DJ516"/>
      <c r="DK516"/>
    </row>
    <row r="517" spans="13:115" x14ac:dyDescent="0.25">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c r="CL517"/>
      <c r="CM517"/>
      <c r="CN517"/>
      <c r="CO517"/>
      <c r="CP517"/>
      <c r="CQ517"/>
      <c r="CR517"/>
      <c r="CS517"/>
      <c r="CT517"/>
      <c r="CU517"/>
      <c r="CV517"/>
      <c r="CW517"/>
      <c r="CX517"/>
      <c r="CY517"/>
      <c r="CZ517"/>
      <c r="DA517"/>
      <c r="DB517"/>
      <c r="DC517"/>
      <c r="DD517"/>
      <c r="DE517"/>
      <c r="DF517"/>
      <c r="DG517"/>
      <c r="DH517"/>
      <c r="DI517"/>
      <c r="DJ517"/>
      <c r="DK517"/>
    </row>
    <row r="518" spans="13:115" x14ac:dyDescent="0.25">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c r="BS518"/>
      <c r="BT518"/>
      <c r="BU518"/>
      <c r="BV518"/>
      <c r="BW518"/>
      <c r="BX518"/>
      <c r="BY518"/>
      <c r="BZ518"/>
      <c r="CA518"/>
      <c r="CB518"/>
      <c r="CC518"/>
      <c r="CD518"/>
      <c r="CE518"/>
      <c r="CF518"/>
      <c r="CG518"/>
      <c r="CH518"/>
      <c r="CI518"/>
      <c r="CJ518"/>
      <c r="CK518"/>
      <c r="CL518"/>
      <c r="CM518"/>
      <c r="CN518"/>
      <c r="CO518"/>
      <c r="CP518"/>
      <c r="CQ518"/>
      <c r="CR518"/>
      <c r="CS518"/>
      <c r="CT518"/>
      <c r="CU518"/>
      <c r="CV518"/>
      <c r="CW518"/>
      <c r="CX518"/>
      <c r="CY518"/>
      <c r="CZ518"/>
      <c r="DA518"/>
      <c r="DB518"/>
      <c r="DC518"/>
      <c r="DD518"/>
      <c r="DE518"/>
      <c r="DF518"/>
      <c r="DG518"/>
      <c r="DH518"/>
      <c r="DI518"/>
      <c r="DJ518"/>
      <c r="DK518"/>
    </row>
    <row r="519" spans="13:115" x14ac:dyDescent="0.25">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c r="BY519"/>
      <c r="BZ519"/>
      <c r="CA519"/>
      <c r="CB519"/>
      <c r="CC519"/>
      <c r="CD519"/>
      <c r="CE519"/>
      <c r="CF519"/>
      <c r="CG519"/>
      <c r="CH519"/>
      <c r="CI519"/>
      <c r="CJ519"/>
      <c r="CK519"/>
      <c r="CL519"/>
      <c r="CM519"/>
      <c r="CN519"/>
      <c r="CO519"/>
      <c r="CP519"/>
      <c r="CQ519"/>
      <c r="CR519"/>
      <c r="CS519"/>
      <c r="CT519"/>
      <c r="CU519"/>
      <c r="CV519"/>
      <c r="CW519"/>
      <c r="CX519"/>
      <c r="CY519"/>
      <c r="CZ519"/>
      <c r="DA519"/>
      <c r="DB519"/>
      <c r="DC519"/>
      <c r="DD519"/>
      <c r="DE519"/>
      <c r="DF519"/>
      <c r="DG519"/>
      <c r="DH519"/>
      <c r="DI519"/>
      <c r="DJ519"/>
      <c r="DK519"/>
    </row>
    <row r="520" spans="13:115" x14ac:dyDescent="0.25">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c r="CT520"/>
      <c r="CU520"/>
      <c r="CV520"/>
      <c r="CW520"/>
      <c r="CX520"/>
      <c r="CY520"/>
      <c r="CZ520"/>
      <c r="DA520"/>
      <c r="DB520"/>
      <c r="DC520"/>
      <c r="DD520"/>
      <c r="DE520"/>
      <c r="DF520"/>
      <c r="DG520"/>
      <c r="DH520"/>
      <c r="DI520"/>
      <c r="DJ520"/>
      <c r="DK520"/>
    </row>
    <row r="521" spans="13:115" x14ac:dyDescent="0.25">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c r="BS521"/>
      <c r="BT521"/>
      <c r="BU521"/>
      <c r="BV521"/>
      <c r="BW521"/>
      <c r="BX521"/>
      <c r="BY521"/>
      <c r="BZ521"/>
      <c r="CA521"/>
      <c r="CB521"/>
      <c r="CC521"/>
      <c r="CD521"/>
      <c r="CE521"/>
      <c r="CF521"/>
      <c r="CG521"/>
      <c r="CH521"/>
      <c r="CI521"/>
      <c r="CJ521"/>
      <c r="CK521"/>
      <c r="CL521"/>
      <c r="CM521"/>
      <c r="CN521"/>
      <c r="CO521"/>
      <c r="CP521"/>
      <c r="CQ521"/>
      <c r="CR521"/>
      <c r="CS521"/>
      <c r="CT521"/>
      <c r="CU521"/>
      <c r="CV521"/>
      <c r="CW521"/>
      <c r="CX521"/>
      <c r="CY521"/>
      <c r="CZ521"/>
      <c r="DA521"/>
      <c r="DB521"/>
      <c r="DC521"/>
      <c r="DD521"/>
      <c r="DE521"/>
      <c r="DF521"/>
      <c r="DG521"/>
      <c r="DH521"/>
      <c r="DI521"/>
      <c r="DJ521"/>
      <c r="DK521"/>
    </row>
    <row r="522" spans="13:115" x14ac:dyDescent="0.25">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c r="CV522"/>
      <c r="CW522"/>
      <c r="CX522"/>
      <c r="CY522"/>
      <c r="CZ522"/>
      <c r="DA522"/>
      <c r="DB522"/>
      <c r="DC522"/>
      <c r="DD522"/>
      <c r="DE522"/>
      <c r="DF522"/>
      <c r="DG522"/>
      <c r="DH522"/>
      <c r="DI522"/>
      <c r="DJ522"/>
      <c r="DK522"/>
    </row>
    <row r="523" spans="13:115" x14ac:dyDescent="0.25">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c r="CV523"/>
      <c r="CW523"/>
      <c r="CX523"/>
      <c r="CY523"/>
      <c r="CZ523"/>
      <c r="DA523"/>
      <c r="DB523"/>
      <c r="DC523"/>
      <c r="DD523"/>
      <c r="DE523"/>
      <c r="DF523"/>
      <c r="DG523"/>
      <c r="DH523"/>
      <c r="DI523"/>
      <c r="DJ523"/>
      <c r="DK523"/>
    </row>
    <row r="524" spans="13:115" x14ac:dyDescent="0.25">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c r="BS524"/>
      <c r="BT524"/>
      <c r="BU524"/>
      <c r="BV524"/>
      <c r="BW524"/>
      <c r="BX524"/>
      <c r="BY524"/>
      <c r="BZ524"/>
      <c r="CA524"/>
      <c r="CB524"/>
      <c r="CC524"/>
      <c r="CD524"/>
      <c r="CE524"/>
      <c r="CF524"/>
      <c r="CG524"/>
      <c r="CH524"/>
      <c r="CI524"/>
      <c r="CJ524"/>
      <c r="CK524"/>
      <c r="CL524"/>
      <c r="CM524"/>
      <c r="CN524"/>
      <c r="CO524"/>
      <c r="CP524"/>
      <c r="CQ524"/>
      <c r="CR524"/>
      <c r="CS524"/>
      <c r="CT524"/>
      <c r="CU524"/>
      <c r="CV524"/>
      <c r="CW524"/>
      <c r="CX524"/>
      <c r="CY524"/>
      <c r="CZ524"/>
      <c r="DA524"/>
      <c r="DB524"/>
      <c r="DC524"/>
      <c r="DD524"/>
      <c r="DE524"/>
      <c r="DF524"/>
      <c r="DG524"/>
      <c r="DH524"/>
      <c r="DI524"/>
      <c r="DJ524"/>
      <c r="DK524"/>
    </row>
    <row r="525" spans="13:115" x14ac:dyDescent="0.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c r="CV525"/>
      <c r="CW525"/>
      <c r="CX525"/>
      <c r="CY525"/>
      <c r="CZ525"/>
      <c r="DA525"/>
      <c r="DB525"/>
      <c r="DC525"/>
      <c r="DD525"/>
      <c r="DE525"/>
      <c r="DF525"/>
      <c r="DG525"/>
      <c r="DH525"/>
      <c r="DI525"/>
      <c r="DJ525"/>
      <c r="DK525"/>
    </row>
    <row r="526" spans="13:115" x14ac:dyDescent="0.25">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c r="BS526"/>
      <c r="BT526"/>
      <c r="BU526"/>
      <c r="BV526"/>
      <c r="BW526"/>
      <c r="BX526"/>
      <c r="BY526"/>
      <c r="BZ526"/>
      <c r="CA526"/>
      <c r="CB526"/>
      <c r="CC526"/>
      <c r="CD526"/>
      <c r="CE526"/>
      <c r="CF526"/>
      <c r="CG526"/>
      <c r="CH526"/>
      <c r="CI526"/>
      <c r="CJ526"/>
      <c r="CK526"/>
      <c r="CL526"/>
      <c r="CM526"/>
      <c r="CN526"/>
      <c r="CO526"/>
      <c r="CP526"/>
      <c r="CQ526"/>
      <c r="CR526"/>
      <c r="CS526"/>
      <c r="CT526"/>
      <c r="CU526"/>
      <c r="CV526"/>
      <c r="CW526"/>
      <c r="CX526"/>
      <c r="CY526"/>
      <c r="CZ526"/>
      <c r="DA526"/>
      <c r="DB526"/>
      <c r="DC526"/>
      <c r="DD526"/>
      <c r="DE526"/>
      <c r="DF526"/>
      <c r="DG526"/>
      <c r="DH526"/>
      <c r="DI526"/>
      <c r="DJ526"/>
      <c r="DK526"/>
    </row>
    <row r="527" spans="13:115" x14ac:dyDescent="0.25">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c r="BS527"/>
      <c r="BT527"/>
      <c r="BU527"/>
      <c r="BV527"/>
      <c r="BW527"/>
      <c r="BX527"/>
      <c r="BY527"/>
      <c r="BZ527"/>
      <c r="CA527"/>
      <c r="CB527"/>
      <c r="CC527"/>
      <c r="CD527"/>
      <c r="CE527"/>
      <c r="CF527"/>
      <c r="CG527"/>
      <c r="CH527"/>
      <c r="CI527"/>
      <c r="CJ527"/>
      <c r="CK527"/>
      <c r="CL527"/>
      <c r="CM527"/>
      <c r="CN527"/>
      <c r="CO527"/>
      <c r="CP527"/>
      <c r="CQ527"/>
      <c r="CR527"/>
      <c r="CS527"/>
      <c r="CT527"/>
      <c r="CU527"/>
      <c r="CV527"/>
      <c r="CW527"/>
      <c r="CX527"/>
      <c r="CY527"/>
      <c r="CZ527"/>
      <c r="DA527"/>
      <c r="DB527"/>
      <c r="DC527"/>
      <c r="DD527"/>
      <c r="DE527"/>
      <c r="DF527"/>
      <c r="DG527"/>
      <c r="DH527"/>
      <c r="DI527"/>
      <c r="DJ527"/>
      <c r="DK527"/>
    </row>
    <row r="528" spans="13:115" x14ac:dyDescent="0.25">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c r="BR528"/>
      <c r="BS528"/>
      <c r="BT528"/>
      <c r="BU528"/>
      <c r="BV528"/>
      <c r="BW528"/>
      <c r="BX528"/>
      <c r="BY528"/>
      <c r="BZ528"/>
      <c r="CA528"/>
      <c r="CB528"/>
      <c r="CC528"/>
      <c r="CD528"/>
      <c r="CE528"/>
      <c r="CF528"/>
      <c r="CG528"/>
      <c r="CH528"/>
      <c r="CI528"/>
      <c r="CJ528"/>
      <c r="CK528"/>
      <c r="CL528"/>
      <c r="CM528"/>
      <c r="CN528"/>
      <c r="CO528"/>
      <c r="CP528"/>
      <c r="CQ528"/>
      <c r="CR528"/>
      <c r="CS528"/>
      <c r="CT528"/>
      <c r="CU528"/>
      <c r="CV528"/>
      <c r="CW528"/>
      <c r="CX528"/>
      <c r="CY528"/>
      <c r="CZ528"/>
      <c r="DA528"/>
      <c r="DB528"/>
      <c r="DC528"/>
      <c r="DD528"/>
      <c r="DE528"/>
      <c r="DF528"/>
      <c r="DG528"/>
      <c r="DH528"/>
      <c r="DI528"/>
      <c r="DJ528"/>
      <c r="DK528"/>
    </row>
    <row r="529" spans="13:115" x14ac:dyDescent="0.25">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c r="BS529"/>
      <c r="BT529"/>
      <c r="BU529"/>
      <c r="BV529"/>
      <c r="BW529"/>
      <c r="BX529"/>
      <c r="BY529"/>
      <c r="BZ529"/>
      <c r="CA529"/>
      <c r="CB529"/>
      <c r="CC529"/>
      <c r="CD529"/>
      <c r="CE529"/>
      <c r="CF529"/>
      <c r="CG529"/>
      <c r="CH529"/>
      <c r="CI529"/>
      <c r="CJ529"/>
      <c r="CK529"/>
      <c r="CL529"/>
      <c r="CM529"/>
      <c r="CN529"/>
      <c r="CO529"/>
      <c r="CP529"/>
      <c r="CQ529"/>
      <c r="CR529"/>
      <c r="CS529"/>
      <c r="CT529"/>
      <c r="CU529"/>
      <c r="CV529"/>
      <c r="CW529"/>
      <c r="CX529"/>
      <c r="CY529"/>
      <c r="CZ529"/>
      <c r="DA529"/>
      <c r="DB529"/>
      <c r="DC529"/>
      <c r="DD529"/>
      <c r="DE529"/>
      <c r="DF529"/>
      <c r="DG529"/>
      <c r="DH529"/>
      <c r="DI529"/>
      <c r="DJ529"/>
      <c r="DK529"/>
    </row>
    <row r="530" spans="13:115" x14ac:dyDescent="0.25">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c r="BS530"/>
      <c r="BT530"/>
      <c r="BU530"/>
      <c r="BV530"/>
      <c r="BW530"/>
      <c r="BX530"/>
      <c r="BY530"/>
      <c r="BZ530"/>
      <c r="CA530"/>
      <c r="CB530"/>
      <c r="CC530"/>
      <c r="CD530"/>
      <c r="CE530"/>
      <c r="CF530"/>
      <c r="CG530"/>
      <c r="CH530"/>
      <c r="CI530"/>
      <c r="CJ530"/>
      <c r="CK530"/>
      <c r="CL530"/>
      <c r="CM530"/>
      <c r="CN530"/>
      <c r="CO530"/>
      <c r="CP530"/>
      <c r="CQ530"/>
      <c r="CR530"/>
      <c r="CS530"/>
      <c r="CT530"/>
      <c r="CU530"/>
      <c r="CV530"/>
      <c r="CW530"/>
      <c r="CX530"/>
      <c r="CY530"/>
      <c r="CZ530"/>
      <c r="DA530"/>
      <c r="DB530"/>
      <c r="DC530"/>
      <c r="DD530"/>
      <c r="DE530"/>
      <c r="DF530"/>
      <c r="DG530"/>
      <c r="DH530"/>
      <c r="DI530"/>
      <c r="DJ530"/>
      <c r="DK530"/>
    </row>
    <row r="531" spans="13:115" x14ac:dyDescent="0.25">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c r="BS531"/>
      <c r="BT531"/>
      <c r="BU531"/>
      <c r="BV531"/>
      <c r="BW531"/>
      <c r="BX531"/>
      <c r="BY531"/>
      <c r="BZ531"/>
      <c r="CA531"/>
      <c r="CB531"/>
      <c r="CC531"/>
      <c r="CD531"/>
      <c r="CE531"/>
      <c r="CF531"/>
      <c r="CG531"/>
      <c r="CH531"/>
      <c r="CI531"/>
      <c r="CJ531"/>
      <c r="CK531"/>
      <c r="CL531"/>
      <c r="CM531"/>
      <c r="CN531"/>
      <c r="CO531"/>
      <c r="CP531"/>
      <c r="CQ531"/>
      <c r="CR531"/>
      <c r="CS531"/>
      <c r="CT531"/>
      <c r="CU531"/>
      <c r="CV531"/>
      <c r="CW531"/>
      <c r="CX531"/>
      <c r="CY531"/>
      <c r="CZ531"/>
      <c r="DA531"/>
      <c r="DB531"/>
      <c r="DC531"/>
      <c r="DD531"/>
      <c r="DE531"/>
      <c r="DF531"/>
      <c r="DG531"/>
      <c r="DH531"/>
      <c r="DI531"/>
      <c r="DJ531"/>
      <c r="DK531"/>
    </row>
    <row r="532" spans="13:115" x14ac:dyDescent="0.25">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c r="BS532"/>
      <c r="BT532"/>
      <c r="BU532"/>
      <c r="BV532"/>
      <c r="BW532"/>
      <c r="BX532"/>
      <c r="BY532"/>
      <c r="BZ532"/>
      <c r="CA532"/>
      <c r="CB532"/>
      <c r="CC532"/>
      <c r="CD532"/>
      <c r="CE532"/>
      <c r="CF532"/>
      <c r="CG532"/>
      <c r="CH532"/>
      <c r="CI532"/>
      <c r="CJ532"/>
      <c r="CK532"/>
      <c r="CL532"/>
      <c r="CM532"/>
      <c r="CN532"/>
      <c r="CO532"/>
      <c r="CP532"/>
      <c r="CQ532"/>
      <c r="CR532"/>
      <c r="CS532"/>
      <c r="CT532"/>
      <c r="CU532"/>
      <c r="CV532"/>
      <c r="CW532"/>
      <c r="CX532"/>
      <c r="CY532"/>
      <c r="CZ532"/>
      <c r="DA532"/>
      <c r="DB532"/>
      <c r="DC532"/>
      <c r="DD532"/>
      <c r="DE532"/>
      <c r="DF532"/>
      <c r="DG532"/>
      <c r="DH532"/>
      <c r="DI532"/>
      <c r="DJ532"/>
      <c r="DK532"/>
    </row>
    <row r="533" spans="13:115" x14ac:dyDescent="0.25">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c r="BS533"/>
      <c r="BT533"/>
      <c r="BU533"/>
      <c r="BV533"/>
      <c r="BW533"/>
      <c r="BX533"/>
      <c r="BY533"/>
      <c r="BZ533"/>
      <c r="CA533"/>
      <c r="CB533"/>
      <c r="CC533"/>
      <c r="CD533"/>
      <c r="CE533"/>
      <c r="CF533"/>
      <c r="CG533"/>
      <c r="CH533"/>
      <c r="CI533"/>
      <c r="CJ533"/>
      <c r="CK533"/>
      <c r="CL533"/>
      <c r="CM533"/>
      <c r="CN533"/>
      <c r="CO533"/>
      <c r="CP533"/>
      <c r="CQ533"/>
      <c r="CR533"/>
      <c r="CS533"/>
      <c r="CT533"/>
      <c r="CU533"/>
      <c r="CV533"/>
      <c r="CW533"/>
      <c r="CX533"/>
      <c r="CY533"/>
      <c r="CZ533"/>
      <c r="DA533"/>
      <c r="DB533"/>
      <c r="DC533"/>
      <c r="DD533"/>
      <c r="DE533"/>
      <c r="DF533"/>
      <c r="DG533"/>
      <c r="DH533"/>
      <c r="DI533"/>
      <c r="DJ533"/>
      <c r="DK533"/>
    </row>
    <row r="534" spans="13:115" x14ac:dyDescent="0.25">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c r="BS534"/>
      <c r="BT534"/>
      <c r="BU534"/>
      <c r="BV534"/>
      <c r="BW534"/>
      <c r="BX534"/>
      <c r="BY534"/>
      <c r="BZ534"/>
      <c r="CA534"/>
      <c r="CB534"/>
      <c r="CC534"/>
      <c r="CD534"/>
      <c r="CE534"/>
      <c r="CF534"/>
      <c r="CG534"/>
      <c r="CH534"/>
      <c r="CI534"/>
      <c r="CJ534"/>
      <c r="CK534"/>
      <c r="CL534"/>
      <c r="CM534"/>
      <c r="CN534"/>
      <c r="CO534"/>
      <c r="CP534"/>
      <c r="CQ534"/>
      <c r="CR534"/>
      <c r="CS534"/>
      <c r="CT534"/>
      <c r="CU534"/>
      <c r="CV534"/>
      <c r="CW534"/>
      <c r="CX534"/>
      <c r="CY534"/>
      <c r="CZ534"/>
      <c r="DA534"/>
      <c r="DB534"/>
      <c r="DC534"/>
      <c r="DD534"/>
      <c r="DE534"/>
      <c r="DF534"/>
      <c r="DG534"/>
      <c r="DH534"/>
      <c r="DI534"/>
      <c r="DJ534"/>
      <c r="DK534"/>
    </row>
    <row r="535" spans="13:115" x14ac:dyDescent="0.2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c r="BY535"/>
      <c r="BZ535"/>
      <c r="CA535"/>
      <c r="CB535"/>
      <c r="CC535"/>
      <c r="CD535"/>
      <c r="CE535"/>
      <c r="CF535"/>
      <c r="CG535"/>
      <c r="CH535"/>
      <c r="CI535"/>
      <c r="CJ535"/>
      <c r="CK535"/>
      <c r="CL535"/>
      <c r="CM535"/>
      <c r="CN535"/>
      <c r="CO535"/>
      <c r="CP535"/>
      <c r="CQ535"/>
      <c r="CR535"/>
      <c r="CS535"/>
      <c r="CT535"/>
      <c r="CU535"/>
      <c r="CV535"/>
      <c r="CW535"/>
      <c r="CX535"/>
      <c r="CY535"/>
      <c r="CZ535"/>
      <c r="DA535"/>
      <c r="DB535"/>
      <c r="DC535"/>
      <c r="DD535"/>
      <c r="DE535"/>
      <c r="DF535"/>
      <c r="DG535"/>
      <c r="DH535"/>
      <c r="DI535"/>
      <c r="DJ535"/>
      <c r="DK535"/>
    </row>
    <row r="536" spans="13:115" x14ac:dyDescent="0.25">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c r="BS536"/>
      <c r="BT536"/>
      <c r="BU536"/>
      <c r="BV536"/>
      <c r="BW536"/>
      <c r="BX536"/>
      <c r="BY536"/>
      <c r="BZ536"/>
      <c r="CA536"/>
      <c r="CB536"/>
      <c r="CC536"/>
      <c r="CD536"/>
      <c r="CE536"/>
      <c r="CF536"/>
      <c r="CG536"/>
      <c r="CH536"/>
      <c r="CI536"/>
      <c r="CJ536"/>
      <c r="CK536"/>
      <c r="CL536"/>
      <c r="CM536"/>
      <c r="CN536"/>
      <c r="CO536"/>
      <c r="CP536"/>
      <c r="CQ536"/>
      <c r="CR536"/>
      <c r="CS536"/>
      <c r="CT536"/>
      <c r="CU536"/>
      <c r="CV536"/>
      <c r="CW536"/>
      <c r="CX536"/>
      <c r="CY536"/>
      <c r="CZ536"/>
      <c r="DA536"/>
      <c r="DB536"/>
      <c r="DC536"/>
      <c r="DD536"/>
      <c r="DE536"/>
      <c r="DF536"/>
      <c r="DG536"/>
      <c r="DH536"/>
      <c r="DI536"/>
      <c r="DJ536"/>
      <c r="DK536"/>
    </row>
    <row r="537" spans="13:115" x14ac:dyDescent="0.25">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c r="BS537"/>
      <c r="BT537"/>
      <c r="BU537"/>
      <c r="BV537"/>
      <c r="BW537"/>
      <c r="BX537"/>
      <c r="BY537"/>
      <c r="BZ537"/>
      <c r="CA537"/>
      <c r="CB537"/>
      <c r="CC537"/>
      <c r="CD537"/>
      <c r="CE537"/>
      <c r="CF537"/>
      <c r="CG537"/>
      <c r="CH537"/>
      <c r="CI537"/>
      <c r="CJ537"/>
      <c r="CK537"/>
      <c r="CL537"/>
      <c r="CM537"/>
      <c r="CN537"/>
      <c r="CO537"/>
      <c r="CP537"/>
      <c r="CQ537"/>
      <c r="CR537"/>
      <c r="CS537"/>
      <c r="CT537"/>
      <c r="CU537"/>
      <c r="CV537"/>
      <c r="CW537"/>
      <c r="CX537"/>
      <c r="CY537"/>
      <c r="CZ537"/>
      <c r="DA537"/>
      <c r="DB537"/>
      <c r="DC537"/>
      <c r="DD537"/>
      <c r="DE537"/>
      <c r="DF537"/>
      <c r="DG537"/>
      <c r="DH537"/>
      <c r="DI537"/>
      <c r="DJ537"/>
      <c r="DK537"/>
    </row>
    <row r="538" spans="13:115" x14ac:dyDescent="0.25">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c r="CV538"/>
      <c r="CW538"/>
      <c r="CX538"/>
      <c r="CY538"/>
      <c r="CZ538"/>
      <c r="DA538"/>
      <c r="DB538"/>
      <c r="DC538"/>
      <c r="DD538"/>
      <c r="DE538"/>
      <c r="DF538"/>
      <c r="DG538"/>
      <c r="DH538"/>
      <c r="DI538"/>
      <c r="DJ538"/>
      <c r="DK538"/>
    </row>
    <row r="539" spans="13:115" x14ac:dyDescent="0.25">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c r="BS539"/>
      <c r="BT539"/>
      <c r="BU539"/>
      <c r="BV539"/>
      <c r="BW539"/>
      <c r="BX539"/>
      <c r="BY539"/>
      <c r="BZ539"/>
      <c r="CA539"/>
      <c r="CB539"/>
      <c r="CC539"/>
      <c r="CD539"/>
      <c r="CE539"/>
      <c r="CF539"/>
      <c r="CG539"/>
      <c r="CH539"/>
      <c r="CI539"/>
      <c r="CJ539"/>
      <c r="CK539"/>
      <c r="CL539"/>
      <c r="CM539"/>
      <c r="CN539"/>
      <c r="CO539"/>
      <c r="CP539"/>
      <c r="CQ539"/>
      <c r="CR539"/>
      <c r="CS539"/>
      <c r="CT539"/>
      <c r="CU539"/>
      <c r="CV539"/>
      <c r="CW539"/>
      <c r="CX539"/>
      <c r="CY539"/>
      <c r="CZ539"/>
      <c r="DA539"/>
      <c r="DB539"/>
      <c r="DC539"/>
      <c r="DD539"/>
      <c r="DE539"/>
      <c r="DF539"/>
      <c r="DG539"/>
      <c r="DH539"/>
      <c r="DI539"/>
      <c r="DJ539"/>
      <c r="DK539"/>
    </row>
    <row r="540" spans="13:115" x14ac:dyDescent="0.25">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c r="BY540"/>
      <c r="BZ540"/>
      <c r="CA540"/>
      <c r="CB540"/>
      <c r="CC540"/>
      <c r="CD540"/>
      <c r="CE540"/>
      <c r="CF540"/>
      <c r="CG540"/>
      <c r="CH540"/>
      <c r="CI540"/>
      <c r="CJ540"/>
      <c r="CK540"/>
      <c r="CL540"/>
      <c r="CM540"/>
      <c r="CN540"/>
      <c r="CO540"/>
      <c r="CP540"/>
      <c r="CQ540"/>
      <c r="CR540"/>
      <c r="CS540"/>
      <c r="CT540"/>
      <c r="CU540"/>
      <c r="CV540"/>
      <c r="CW540"/>
      <c r="CX540"/>
      <c r="CY540"/>
      <c r="CZ540"/>
      <c r="DA540"/>
      <c r="DB540"/>
      <c r="DC540"/>
      <c r="DD540"/>
      <c r="DE540"/>
      <c r="DF540"/>
      <c r="DG540"/>
      <c r="DH540"/>
      <c r="DI540"/>
      <c r="DJ540"/>
      <c r="DK540"/>
    </row>
    <row r="541" spans="13:115" x14ac:dyDescent="0.25">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c r="BY541"/>
      <c r="BZ541"/>
      <c r="CA541"/>
      <c r="CB541"/>
      <c r="CC541"/>
      <c r="CD541"/>
      <c r="CE541"/>
      <c r="CF541"/>
      <c r="CG541"/>
      <c r="CH541"/>
      <c r="CI541"/>
      <c r="CJ541"/>
      <c r="CK541"/>
      <c r="CL541"/>
      <c r="CM541"/>
      <c r="CN541"/>
      <c r="CO541"/>
      <c r="CP541"/>
      <c r="CQ541"/>
      <c r="CR541"/>
      <c r="CS541"/>
      <c r="CT541"/>
      <c r="CU541"/>
      <c r="CV541"/>
      <c r="CW541"/>
      <c r="CX541"/>
      <c r="CY541"/>
      <c r="CZ541"/>
      <c r="DA541"/>
      <c r="DB541"/>
      <c r="DC541"/>
      <c r="DD541"/>
      <c r="DE541"/>
      <c r="DF541"/>
      <c r="DG541"/>
      <c r="DH541"/>
      <c r="DI541"/>
      <c r="DJ541"/>
      <c r="DK541"/>
    </row>
    <row r="542" spans="13:115" x14ac:dyDescent="0.25">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c r="BS542"/>
      <c r="BT542"/>
      <c r="BU542"/>
      <c r="BV542"/>
      <c r="BW542"/>
      <c r="BX542"/>
      <c r="BY542"/>
      <c r="BZ542"/>
      <c r="CA542"/>
      <c r="CB542"/>
      <c r="CC542"/>
      <c r="CD542"/>
      <c r="CE542"/>
      <c r="CF542"/>
      <c r="CG542"/>
      <c r="CH542"/>
      <c r="CI542"/>
      <c r="CJ542"/>
      <c r="CK542"/>
      <c r="CL542"/>
      <c r="CM542"/>
      <c r="CN542"/>
      <c r="CO542"/>
      <c r="CP542"/>
      <c r="CQ542"/>
      <c r="CR542"/>
      <c r="CS542"/>
      <c r="CT542"/>
      <c r="CU542"/>
      <c r="CV542"/>
      <c r="CW542"/>
      <c r="CX542"/>
      <c r="CY542"/>
      <c r="CZ542"/>
      <c r="DA542"/>
      <c r="DB542"/>
      <c r="DC542"/>
      <c r="DD542"/>
      <c r="DE542"/>
      <c r="DF542"/>
      <c r="DG542"/>
      <c r="DH542"/>
      <c r="DI542"/>
      <c r="DJ542"/>
      <c r="DK542"/>
    </row>
    <row r="543" spans="13:115" x14ac:dyDescent="0.25">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c r="BY543"/>
      <c r="BZ543"/>
      <c r="CA543"/>
      <c r="CB543"/>
      <c r="CC543"/>
      <c r="CD543"/>
      <c r="CE543"/>
      <c r="CF543"/>
      <c r="CG543"/>
      <c r="CH543"/>
      <c r="CI543"/>
      <c r="CJ543"/>
      <c r="CK543"/>
      <c r="CL543"/>
      <c r="CM543"/>
      <c r="CN543"/>
      <c r="CO543"/>
      <c r="CP543"/>
      <c r="CQ543"/>
      <c r="CR543"/>
      <c r="CS543"/>
      <c r="CT543"/>
      <c r="CU543"/>
      <c r="CV543"/>
      <c r="CW543"/>
      <c r="CX543"/>
      <c r="CY543"/>
      <c r="CZ543"/>
      <c r="DA543"/>
      <c r="DB543"/>
      <c r="DC543"/>
      <c r="DD543"/>
      <c r="DE543"/>
      <c r="DF543"/>
      <c r="DG543"/>
      <c r="DH543"/>
      <c r="DI543"/>
      <c r="DJ543"/>
      <c r="DK543"/>
    </row>
    <row r="544" spans="13:115" x14ac:dyDescent="0.25">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c r="CV544"/>
      <c r="CW544"/>
      <c r="CX544"/>
      <c r="CY544"/>
      <c r="CZ544"/>
      <c r="DA544"/>
      <c r="DB544"/>
      <c r="DC544"/>
      <c r="DD544"/>
      <c r="DE544"/>
      <c r="DF544"/>
      <c r="DG544"/>
      <c r="DH544"/>
      <c r="DI544"/>
      <c r="DJ544"/>
      <c r="DK544"/>
    </row>
    <row r="545" spans="13:115" x14ac:dyDescent="0.2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c r="BS545"/>
      <c r="BT545"/>
      <c r="BU545"/>
      <c r="BV545"/>
      <c r="BW545"/>
      <c r="BX545"/>
      <c r="BY545"/>
      <c r="BZ545"/>
      <c r="CA545"/>
      <c r="CB545"/>
      <c r="CC545"/>
      <c r="CD545"/>
      <c r="CE545"/>
      <c r="CF545"/>
      <c r="CG545"/>
      <c r="CH545"/>
      <c r="CI545"/>
      <c r="CJ545"/>
      <c r="CK545"/>
      <c r="CL545"/>
      <c r="CM545"/>
      <c r="CN545"/>
      <c r="CO545"/>
      <c r="CP545"/>
      <c r="CQ545"/>
      <c r="CR545"/>
      <c r="CS545"/>
      <c r="CT545"/>
      <c r="CU545"/>
      <c r="CV545"/>
      <c r="CW545"/>
      <c r="CX545"/>
      <c r="CY545"/>
      <c r="CZ545"/>
      <c r="DA545"/>
      <c r="DB545"/>
      <c r="DC545"/>
      <c r="DD545"/>
      <c r="DE545"/>
      <c r="DF545"/>
      <c r="DG545"/>
      <c r="DH545"/>
      <c r="DI545"/>
      <c r="DJ545"/>
      <c r="DK545"/>
    </row>
    <row r="546" spans="13:115" x14ac:dyDescent="0.25">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c r="CV546"/>
      <c r="CW546"/>
      <c r="CX546"/>
      <c r="CY546"/>
      <c r="CZ546"/>
      <c r="DA546"/>
      <c r="DB546"/>
      <c r="DC546"/>
      <c r="DD546"/>
      <c r="DE546"/>
      <c r="DF546"/>
      <c r="DG546"/>
      <c r="DH546"/>
      <c r="DI546"/>
      <c r="DJ546"/>
      <c r="DK546"/>
    </row>
    <row r="547" spans="13:115" x14ac:dyDescent="0.25">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c r="BS547"/>
      <c r="BT547"/>
      <c r="BU547"/>
      <c r="BV547"/>
      <c r="BW547"/>
      <c r="BX547"/>
      <c r="BY547"/>
      <c r="BZ547"/>
      <c r="CA547"/>
      <c r="CB547"/>
      <c r="CC547"/>
      <c r="CD547"/>
      <c r="CE547"/>
      <c r="CF547"/>
      <c r="CG547"/>
      <c r="CH547"/>
      <c r="CI547"/>
      <c r="CJ547"/>
      <c r="CK547"/>
      <c r="CL547"/>
      <c r="CM547"/>
      <c r="CN547"/>
      <c r="CO547"/>
      <c r="CP547"/>
      <c r="CQ547"/>
      <c r="CR547"/>
      <c r="CS547"/>
      <c r="CT547"/>
      <c r="CU547"/>
      <c r="CV547"/>
      <c r="CW547"/>
      <c r="CX547"/>
      <c r="CY547"/>
      <c r="CZ547"/>
      <c r="DA547"/>
      <c r="DB547"/>
      <c r="DC547"/>
      <c r="DD547"/>
      <c r="DE547"/>
      <c r="DF547"/>
      <c r="DG547"/>
      <c r="DH547"/>
      <c r="DI547"/>
      <c r="DJ547"/>
      <c r="DK547"/>
    </row>
    <row r="548" spans="13:115" x14ac:dyDescent="0.25">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c r="CD548"/>
      <c r="CE548"/>
      <c r="CF548"/>
      <c r="CG548"/>
      <c r="CH548"/>
      <c r="CI548"/>
      <c r="CJ548"/>
      <c r="CK548"/>
      <c r="CL548"/>
      <c r="CM548"/>
      <c r="CN548"/>
      <c r="CO548"/>
      <c r="CP548"/>
      <c r="CQ548"/>
      <c r="CR548"/>
      <c r="CS548"/>
      <c r="CT548"/>
      <c r="CU548"/>
      <c r="CV548"/>
      <c r="CW548"/>
      <c r="CX548"/>
      <c r="CY548"/>
      <c r="CZ548"/>
      <c r="DA548"/>
      <c r="DB548"/>
      <c r="DC548"/>
      <c r="DD548"/>
      <c r="DE548"/>
      <c r="DF548"/>
      <c r="DG548"/>
      <c r="DH548"/>
      <c r="DI548"/>
      <c r="DJ548"/>
      <c r="DK548"/>
    </row>
    <row r="549" spans="13:115" x14ac:dyDescent="0.25">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c r="BS549"/>
      <c r="BT549"/>
      <c r="BU549"/>
      <c r="BV549"/>
      <c r="BW549"/>
      <c r="BX549"/>
      <c r="BY549"/>
      <c r="BZ549"/>
      <c r="CA549"/>
      <c r="CB549"/>
      <c r="CC549"/>
      <c r="CD549"/>
      <c r="CE549"/>
      <c r="CF549"/>
      <c r="CG549"/>
      <c r="CH549"/>
      <c r="CI549"/>
      <c r="CJ549"/>
      <c r="CK549"/>
      <c r="CL549"/>
      <c r="CM549"/>
      <c r="CN549"/>
      <c r="CO549"/>
      <c r="CP549"/>
      <c r="CQ549"/>
      <c r="CR549"/>
      <c r="CS549"/>
      <c r="CT549"/>
      <c r="CU549"/>
      <c r="CV549"/>
      <c r="CW549"/>
      <c r="CX549"/>
      <c r="CY549"/>
      <c r="CZ549"/>
      <c r="DA549"/>
      <c r="DB549"/>
      <c r="DC549"/>
      <c r="DD549"/>
      <c r="DE549"/>
      <c r="DF549"/>
      <c r="DG549"/>
      <c r="DH549"/>
      <c r="DI549"/>
      <c r="DJ549"/>
      <c r="DK549"/>
    </row>
    <row r="550" spans="13:115" x14ac:dyDescent="0.25">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c r="CV550"/>
      <c r="CW550"/>
      <c r="CX550"/>
      <c r="CY550"/>
      <c r="CZ550"/>
      <c r="DA550"/>
      <c r="DB550"/>
      <c r="DC550"/>
      <c r="DD550"/>
      <c r="DE550"/>
      <c r="DF550"/>
      <c r="DG550"/>
      <c r="DH550"/>
      <c r="DI550"/>
      <c r="DJ550"/>
      <c r="DK550"/>
    </row>
    <row r="551" spans="13:115" x14ac:dyDescent="0.25">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c r="BQ551"/>
      <c r="BR551"/>
      <c r="BS551"/>
      <c r="BT551"/>
      <c r="BU551"/>
      <c r="BV551"/>
      <c r="BW551"/>
      <c r="BX551"/>
      <c r="BY551"/>
      <c r="BZ551"/>
      <c r="CA551"/>
      <c r="CB551"/>
      <c r="CC551"/>
      <c r="CD551"/>
      <c r="CE551"/>
      <c r="CF551"/>
      <c r="CG551"/>
      <c r="CH551"/>
      <c r="CI551"/>
      <c r="CJ551"/>
      <c r="CK551"/>
      <c r="CL551"/>
      <c r="CM551"/>
      <c r="CN551"/>
      <c r="CO551"/>
      <c r="CP551"/>
      <c r="CQ551"/>
      <c r="CR551"/>
      <c r="CS551"/>
      <c r="CT551"/>
      <c r="CU551"/>
      <c r="CV551"/>
      <c r="CW551"/>
      <c r="CX551"/>
      <c r="CY551"/>
      <c r="CZ551"/>
      <c r="DA551"/>
      <c r="DB551"/>
      <c r="DC551"/>
      <c r="DD551"/>
      <c r="DE551"/>
      <c r="DF551"/>
      <c r="DG551"/>
      <c r="DH551"/>
      <c r="DI551"/>
      <c r="DJ551"/>
      <c r="DK551"/>
    </row>
    <row r="552" spans="13:115" x14ac:dyDescent="0.25">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c r="CD552"/>
      <c r="CE552"/>
      <c r="CF552"/>
      <c r="CG552"/>
      <c r="CH552"/>
      <c r="CI552"/>
      <c r="CJ552"/>
      <c r="CK552"/>
      <c r="CL552"/>
      <c r="CM552"/>
      <c r="CN552"/>
      <c r="CO552"/>
      <c r="CP552"/>
      <c r="CQ552"/>
      <c r="CR552"/>
      <c r="CS552"/>
      <c r="CT552"/>
      <c r="CU552"/>
      <c r="CV552"/>
      <c r="CW552"/>
      <c r="CX552"/>
      <c r="CY552"/>
      <c r="CZ552"/>
      <c r="DA552"/>
      <c r="DB552"/>
      <c r="DC552"/>
      <c r="DD552"/>
      <c r="DE552"/>
      <c r="DF552"/>
      <c r="DG552"/>
      <c r="DH552"/>
      <c r="DI552"/>
      <c r="DJ552"/>
      <c r="DK552"/>
    </row>
    <row r="553" spans="13:115" x14ac:dyDescent="0.25">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c r="BR553"/>
      <c r="BS553"/>
      <c r="BT553"/>
      <c r="BU553"/>
      <c r="BV553"/>
      <c r="BW553"/>
      <c r="BX553"/>
      <c r="BY553"/>
      <c r="BZ553"/>
      <c r="CA553"/>
      <c r="CB553"/>
      <c r="CC553"/>
      <c r="CD553"/>
      <c r="CE553"/>
      <c r="CF553"/>
      <c r="CG553"/>
      <c r="CH553"/>
      <c r="CI553"/>
      <c r="CJ553"/>
      <c r="CK553"/>
      <c r="CL553"/>
      <c r="CM553"/>
      <c r="CN553"/>
      <c r="CO553"/>
      <c r="CP553"/>
      <c r="CQ553"/>
      <c r="CR553"/>
      <c r="CS553"/>
      <c r="CT553"/>
      <c r="CU553"/>
      <c r="CV553"/>
      <c r="CW553"/>
      <c r="CX553"/>
      <c r="CY553"/>
      <c r="CZ553"/>
      <c r="DA553"/>
      <c r="DB553"/>
      <c r="DC553"/>
      <c r="DD553"/>
      <c r="DE553"/>
      <c r="DF553"/>
      <c r="DG553"/>
      <c r="DH553"/>
      <c r="DI553"/>
      <c r="DJ553"/>
      <c r="DK553"/>
    </row>
    <row r="554" spans="13:115" x14ac:dyDescent="0.25">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c r="CV554"/>
      <c r="CW554"/>
      <c r="CX554"/>
      <c r="CY554"/>
      <c r="CZ554"/>
      <c r="DA554"/>
      <c r="DB554"/>
      <c r="DC554"/>
      <c r="DD554"/>
      <c r="DE554"/>
      <c r="DF554"/>
      <c r="DG554"/>
      <c r="DH554"/>
      <c r="DI554"/>
      <c r="DJ554"/>
      <c r="DK554"/>
    </row>
    <row r="555" spans="13:115" x14ac:dyDescent="0.2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c r="BS555"/>
      <c r="BT555"/>
      <c r="BU555"/>
      <c r="BV555"/>
      <c r="BW555"/>
      <c r="BX555"/>
      <c r="BY555"/>
      <c r="BZ555"/>
      <c r="CA555"/>
      <c r="CB555"/>
      <c r="CC555"/>
      <c r="CD555"/>
      <c r="CE555"/>
      <c r="CF555"/>
      <c r="CG555"/>
      <c r="CH555"/>
      <c r="CI555"/>
      <c r="CJ555"/>
      <c r="CK555"/>
      <c r="CL555"/>
      <c r="CM555"/>
      <c r="CN555"/>
      <c r="CO555"/>
      <c r="CP555"/>
      <c r="CQ555"/>
      <c r="CR555"/>
      <c r="CS555"/>
      <c r="CT555"/>
      <c r="CU555"/>
      <c r="CV555"/>
      <c r="CW555"/>
      <c r="CX555"/>
      <c r="CY555"/>
      <c r="CZ555"/>
      <c r="DA555"/>
      <c r="DB555"/>
      <c r="DC555"/>
      <c r="DD555"/>
      <c r="DE555"/>
      <c r="DF555"/>
      <c r="DG555"/>
      <c r="DH555"/>
      <c r="DI555"/>
      <c r="DJ555"/>
      <c r="DK555"/>
    </row>
    <row r="556" spans="13:115" x14ac:dyDescent="0.25">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c r="CV556"/>
      <c r="CW556"/>
      <c r="CX556"/>
      <c r="CY556"/>
      <c r="CZ556"/>
      <c r="DA556"/>
      <c r="DB556"/>
      <c r="DC556"/>
      <c r="DD556"/>
      <c r="DE556"/>
      <c r="DF556"/>
      <c r="DG556"/>
      <c r="DH556"/>
      <c r="DI556"/>
      <c r="DJ556"/>
      <c r="DK556"/>
    </row>
    <row r="557" spans="13:115" x14ac:dyDescent="0.25">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c r="BY557"/>
      <c r="BZ557"/>
      <c r="CA557"/>
      <c r="CB557"/>
      <c r="CC557"/>
      <c r="CD557"/>
      <c r="CE557"/>
      <c r="CF557"/>
      <c r="CG557"/>
      <c r="CH557"/>
      <c r="CI557"/>
      <c r="CJ557"/>
      <c r="CK557"/>
      <c r="CL557"/>
      <c r="CM557"/>
      <c r="CN557"/>
      <c r="CO557"/>
      <c r="CP557"/>
      <c r="CQ557"/>
      <c r="CR557"/>
      <c r="CS557"/>
      <c r="CT557"/>
      <c r="CU557"/>
      <c r="CV557"/>
      <c r="CW557"/>
      <c r="CX557"/>
      <c r="CY557"/>
      <c r="CZ557"/>
      <c r="DA557"/>
      <c r="DB557"/>
      <c r="DC557"/>
      <c r="DD557"/>
      <c r="DE557"/>
      <c r="DF557"/>
      <c r="DG557"/>
      <c r="DH557"/>
      <c r="DI557"/>
      <c r="DJ557"/>
      <c r="DK557"/>
    </row>
    <row r="558" spans="13:115" x14ac:dyDescent="0.25">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c r="CV558"/>
      <c r="CW558"/>
      <c r="CX558"/>
      <c r="CY558"/>
      <c r="CZ558"/>
      <c r="DA558"/>
      <c r="DB558"/>
      <c r="DC558"/>
      <c r="DD558"/>
      <c r="DE558"/>
      <c r="DF558"/>
      <c r="DG558"/>
      <c r="DH558"/>
      <c r="DI558"/>
      <c r="DJ558"/>
      <c r="DK558"/>
    </row>
    <row r="559" spans="13:115" x14ac:dyDescent="0.25">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c r="BS559"/>
      <c r="BT559"/>
      <c r="BU559"/>
      <c r="BV559"/>
      <c r="BW559"/>
      <c r="BX559"/>
      <c r="BY559"/>
      <c r="BZ559"/>
      <c r="CA559"/>
      <c r="CB559"/>
      <c r="CC559"/>
      <c r="CD559"/>
      <c r="CE559"/>
      <c r="CF559"/>
      <c r="CG559"/>
      <c r="CH559"/>
      <c r="CI559"/>
      <c r="CJ559"/>
      <c r="CK559"/>
      <c r="CL559"/>
      <c r="CM559"/>
      <c r="CN559"/>
      <c r="CO559"/>
      <c r="CP559"/>
      <c r="CQ559"/>
      <c r="CR559"/>
      <c r="CS559"/>
      <c r="CT559"/>
      <c r="CU559"/>
      <c r="CV559"/>
      <c r="CW559"/>
      <c r="CX559"/>
      <c r="CY559"/>
      <c r="CZ559"/>
      <c r="DA559"/>
      <c r="DB559"/>
      <c r="DC559"/>
      <c r="DD559"/>
      <c r="DE559"/>
      <c r="DF559"/>
      <c r="DG559"/>
      <c r="DH559"/>
      <c r="DI559"/>
      <c r="DJ559"/>
      <c r="DK559"/>
    </row>
    <row r="560" spans="13:115" x14ac:dyDescent="0.25">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c r="CT560"/>
      <c r="CU560"/>
      <c r="CV560"/>
      <c r="CW560"/>
      <c r="CX560"/>
      <c r="CY560"/>
      <c r="CZ560"/>
      <c r="DA560"/>
      <c r="DB560"/>
      <c r="DC560"/>
      <c r="DD560"/>
      <c r="DE560"/>
      <c r="DF560"/>
      <c r="DG560"/>
      <c r="DH560"/>
      <c r="DI560"/>
      <c r="DJ560"/>
      <c r="DK560"/>
    </row>
    <row r="561" spans="13:115" x14ac:dyDescent="0.25">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c r="BY561"/>
      <c r="BZ561"/>
      <c r="CA561"/>
      <c r="CB561"/>
      <c r="CC561"/>
      <c r="CD561"/>
      <c r="CE561"/>
      <c r="CF561"/>
      <c r="CG561"/>
      <c r="CH561"/>
      <c r="CI561"/>
      <c r="CJ561"/>
      <c r="CK561"/>
      <c r="CL561"/>
      <c r="CM561"/>
      <c r="CN561"/>
      <c r="CO561"/>
      <c r="CP561"/>
      <c r="CQ561"/>
      <c r="CR561"/>
      <c r="CS561"/>
      <c r="CT561"/>
      <c r="CU561"/>
      <c r="CV561"/>
      <c r="CW561"/>
      <c r="CX561"/>
      <c r="CY561"/>
      <c r="CZ561"/>
      <c r="DA561"/>
      <c r="DB561"/>
      <c r="DC561"/>
      <c r="DD561"/>
      <c r="DE561"/>
      <c r="DF561"/>
      <c r="DG561"/>
      <c r="DH561"/>
      <c r="DI561"/>
      <c r="DJ561"/>
      <c r="DK561"/>
    </row>
    <row r="562" spans="13:115" x14ac:dyDescent="0.25">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c r="CT562"/>
      <c r="CU562"/>
      <c r="CV562"/>
      <c r="CW562"/>
      <c r="CX562"/>
      <c r="CY562"/>
      <c r="CZ562"/>
      <c r="DA562"/>
      <c r="DB562"/>
      <c r="DC562"/>
      <c r="DD562"/>
      <c r="DE562"/>
      <c r="DF562"/>
      <c r="DG562"/>
      <c r="DH562"/>
      <c r="DI562"/>
      <c r="DJ562"/>
      <c r="DK562"/>
    </row>
    <row r="563" spans="13:115" x14ac:dyDescent="0.25">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c r="BR563"/>
      <c r="BS563"/>
      <c r="BT563"/>
      <c r="BU563"/>
      <c r="BV563"/>
      <c r="BW563"/>
      <c r="BX563"/>
      <c r="BY563"/>
      <c r="BZ563"/>
      <c r="CA563"/>
      <c r="CB563"/>
      <c r="CC563"/>
      <c r="CD563"/>
      <c r="CE563"/>
      <c r="CF563"/>
      <c r="CG563"/>
      <c r="CH563"/>
      <c r="CI563"/>
      <c r="CJ563"/>
      <c r="CK563"/>
      <c r="CL563"/>
      <c r="CM563"/>
      <c r="CN563"/>
      <c r="CO563"/>
      <c r="CP563"/>
      <c r="CQ563"/>
      <c r="CR563"/>
      <c r="CS563"/>
      <c r="CT563"/>
      <c r="CU563"/>
      <c r="CV563"/>
      <c r="CW563"/>
      <c r="CX563"/>
      <c r="CY563"/>
      <c r="CZ563"/>
      <c r="DA563"/>
      <c r="DB563"/>
      <c r="DC563"/>
      <c r="DD563"/>
      <c r="DE563"/>
      <c r="DF563"/>
      <c r="DG563"/>
      <c r="DH563"/>
      <c r="DI563"/>
      <c r="DJ563"/>
      <c r="DK563"/>
    </row>
    <row r="564" spans="13:115" x14ac:dyDescent="0.25">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c r="BS564"/>
      <c r="BT564"/>
      <c r="BU564"/>
      <c r="BV564"/>
      <c r="BW564"/>
      <c r="BX564"/>
      <c r="BY564"/>
      <c r="BZ564"/>
      <c r="CA564"/>
      <c r="CB564"/>
      <c r="CC564"/>
      <c r="CD564"/>
      <c r="CE564"/>
      <c r="CF564"/>
      <c r="CG564"/>
      <c r="CH564"/>
      <c r="CI564"/>
      <c r="CJ564"/>
      <c r="CK564"/>
      <c r="CL564"/>
      <c r="CM564"/>
      <c r="CN564"/>
      <c r="CO564"/>
      <c r="CP564"/>
      <c r="CQ564"/>
      <c r="CR564"/>
      <c r="CS564"/>
      <c r="CT564"/>
      <c r="CU564"/>
      <c r="CV564"/>
      <c r="CW564"/>
      <c r="CX564"/>
      <c r="CY564"/>
      <c r="CZ564"/>
      <c r="DA564"/>
      <c r="DB564"/>
      <c r="DC564"/>
      <c r="DD564"/>
      <c r="DE564"/>
      <c r="DF564"/>
      <c r="DG564"/>
      <c r="DH564"/>
      <c r="DI564"/>
      <c r="DJ564"/>
      <c r="DK564"/>
    </row>
    <row r="565" spans="13:115" x14ac:dyDescent="0.2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c r="CV565"/>
      <c r="CW565"/>
      <c r="CX565"/>
      <c r="CY565"/>
      <c r="CZ565"/>
      <c r="DA565"/>
      <c r="DB565"/>
      <c r="DC565"/>
      <c r="DD565"/>
      <c r="DE565"/>
      <c r="DF565"/>
      <c r="DG565"/>
      <c r="DH565"/>
      <c r="DI565"/>
      <c r="DJ565"/>
      <c r="DK565"/>
    </row>
    <row r="566" spans="13:115" x14ac:dyDescent="0.25">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c r="CS566"/>
      <c r="CT566"/>
      <c r="CU566"/>
      <c r="CV566"/>
      <c r="CW566"/>
      <c r="CX566"/>
      <c r="CY566"/>
      <c r="CZ566"/>
      <c r="DA566"/>
      <c r="DB566"/>
      <c r="DC566"/>
      <c r="DD566"/>
      <c r="DE566"/>
      <c r="DF566"/>
      <c r="DG566"/>
      <c r="DH566"/>
      <c r="DI566"/>
      <c r="DJ566"/>
      <c r="DK566"/>
    </row>
    <row r="567" spans="13:115" x14ac:dyDescent="0.25">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c r="BS567"/>
      <c r="BT567"/>
      <c r="BU567"/>
      <c r="BV567"/>
      <c r="BW567"/>
      <c r="BX567"/>
      <c r="BY567"/>
      <c r="BZ567"/>
      <c r="CA567"/>
      <c r="CB567"/>
      <c r="CC567"/>
      <c r="CD567"/>
      <c r="CE567"/>
      <c r="CF567"/>
      <c r="CG567"/>
      <c r="CH567"/>
      <c r="CI567"/>
      <c r="CJ567"/>
      <c r="CK567"/>
      <c r="CL567"/>
      <c r="CM567"/>
      <c r="CN567"/>
      <c r="CO567"/>
      <c r="CP567"/>
      <c r="CQ567"/>
      <c r="CR567"/>
      <c r="CS567"/>
      <c r="CT567"/>
      <c r="CU567"/>
      <c r="CV567"/>
      <c r="CW567"/>
      <c r="CX567"/>
      <c r="CY567"/>
      <c r="CZ567"/>
      <c r="DA567"/>
      <c r="DB567"/>
      <c r="DC567"/>
      <c r="DD567"/>
      <c r="DE567"/>
      <c r="DF567"/>
      <c r="DG567"/>
      <c r="DH567"/>
      <c r="DI567"/>
      <c r="DJ567"/>
      <c r="DK567"/>
    </row>
    <row r="568" spans="13:115" x14ac:dyDescent="0.25">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c r="CS568"/>
      <c r="CT568"/>
      <c r="CU568"/>
      <c r="CV568"/>
      <c r="CW568"/>
      <c r="CX568"/>
      <c r="CY568"/>
      <c r="CZ568"/>
      <c r="DA568"/>
      <c r="DB568"/>
      <c r="DC568"/>
      <c r="DD568"/>
      <c r="DE568"/>
      <c r="DF568"/>
      <c r="DG568"/>
      <c r="DH568"/>
      <c r="DI568"/>
      <c r="DJ568"/>
      <c r="DK568"/>
    </row>
    <row r="569" spans="13:115" x14ac:dyDescent="0.25">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c r="BS569"/>
      <c r="BT569"/>
      <c r="BU569"/>
      <c r="BV569"/>
      <c r="BW569"/>
      <c r="BX569"/>
      <c r="BY569"/>
      <c r="BZ569"/>
      <c r="CA569"/>
      <c r="CB569"/>
      <c r="CC569"/>
      <c r="CD569"/>
      <c r="CE569"/>
      <c r="CF569"/>
      <c r="CG569"/>
      <c r="CH569"/>
      <c r="CI569"/>
      <c r="CJ569"/>
      <c r="CK569"/>
      <c r="CL569"/>
      <c r="CM569"/>
      <c r="CN569"/>
      <c r="CO569"/>
      <c r="CP569"/>
      <c r="CQ569"/>
      <c r="CR569"/>
      <c r="CS569"/>
      <c r="CT569"/>
      <c r="CU569"/>
      <c r="CV569"/>
      <c r="CW569"/>
      <c r="CX569"/>
      <c r="CY569"/>
      <c r="CZ569"/>
      <c r="DA569"/>
      <c r="DB569"/>
      <c r="DC569"/>
      <c r="DD569"/>
      <c r="DE569"/>
      <c r="DF569"/>
      <c r="DG569"/>
      <c r="DH569"/>
      <c r="DI569"/>
      <c r="DJ569"/>
      <c r="DK569"/>
    </row>
    <row r="570" spans="13:115" x14ac:dyDescent="0.25">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c r="CV570"/>
      <c r="CW570"/>
      <c r="CX570"/>
      <c r="CY570"/>
      <c r="CZ570"/>
      <c r="DA570"/>
      <c r="DB570"/>
      <c r="DC570"/>
      <c r="DD570"/>
      <c r="DE570"/>
      <c r="DF570"/>
      <c r="DG570"/>
      <c r="DH570"/>
      <c r="DI570"/>
      <c r="DJ570"/>
      <c r="DK570"/>
    </row>
    <row r="571" spans="13:115" x14ac:dyDescent="0.25">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c r="BR571"/>
      <c r="BS571"/>
      <c r="BT571"/>
      <c r="BU571"/>
      <c r="BV571"/>
      <c r="BW571"/>
      <c r="BX571"/>
      <c r="BY571"/>
      <c r="BZ571"/>
      <c r="CA571"/>
      <c r="CB571"/>
      <c r="CC571"/>
      <c r="CD571"/>
      <c r="CE571"/>
      <c r="CF571"/>
      <c r="CG571"/>
      <c r="CH571"/>
      <c r="CI571"/>
      <c r="CJ571"/>
      <c r="CK571"/>
      <c r="CL571"/>
      <c r="CM571"/>
      <c r="CN571"/>
      <c r="CO571"/>
      <c r="CP571"/>
      <c r="CQ571"/>
      <c r="CR571"/>
      <c r="CS571"/>
      <c r="CT571"/>
      <c r="CU571"/>
      <c r="CV571"/>
      <c r="CW571"/>
      <c r="CX571"/>
      <c r="CY571"/>
      <c r="CZ571"/>
      <c r="DA571"/>
      <c r="DB571"/>
      <c r="DC571"/>
      <c r="DD571"/>
      <c r="DE571"/>
      <c r="DF571"/>
      <c r="DG571"/>
      <c r="DH571"/>
      <c r="DI571"/>
      <c r="DJ571"/>
      <c r="DK571"/>
    </row>
    <row r="572" spans="13:115" x14ac:dyDescent="0.25">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c r="CV572"/>
      <c r="CW572"/>
      <c r="CX572"/>
      <c r="CY572"/>
      <c r="CZ572"/>
      <c r="DA572"/>
      <c r="DB572"/>
      <c r="DC572"/>
      <c r="DD572"/>
      <c r="DE572"/>
      <c r="DF572"/>
      <c r="DG572"/>
      <c r="DH572"/>
      <c r="DI572"/>
      <c r="DJ572"/>
      <c r="DK572"/>
    </row>
    <row r="573" spans="13:115" x14ac:dyDescent="0.25">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c r="BY573"/>
      <c r="BZ573"/>
      <c r="CA573"/>
      <c r="CB573"/>
      <c r="CC573"/>
      <c r="CD573"/>
      <c r="CE573"/>
      <c r="CF573"/>
      <c r="CG573"/>
      <c r="CH573"/>
      <c r="CI573"/>
      <c r="CJ573"/>
      <c r="CK573"/>
      <c r="CL573"/>
      <c r="CM573"/>
      <c r="CN573"/>
      <c r="CO573"/>
      <c r="CP573"/>
      <c r="CQ573"/>
      <c r="CR573"/>
      <c r="CS573"/>
      <c r="CT573"/>
      <c r="CU573"/>
      <c r="CV573"/>
      <c r="CW573"/>
      <c r="CX573"/>
      <c r="CY573"/>
      <c r="CZ573"/>
      <c r="DA573"/>
      <c r="DB573"/>
      <c r="DC573"/>
      <c r="DD573"/>
      <c r="DE573"/>
      <c r="DF573"/>
      <c r="DG573"/>
      <c r="DH573"/>
      <c r="DI573"/>
      <c r="DJ573"/>
      <c r="DK573"/>
    </row>
    <row r="574" spans="13:115" x14ac:dyDescent="0.25">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c r="CV574"/>
      <c r="CW574"/>
      <c r="CX574"/>
      <c r="CY574"/>
      <c r="CZ574"/>
      <c r="DA574"/>
      <c r="DB574"/>
      <c r="DC574"/>
      <c r="DD574"/>
      <c r="DE574"/>
      <c r="DF574"/>
      <c r="DG574"/>
      <c r="DH574"/>
      <c r="DI574"/>
      <c r="DJ574"/>
      <c r="DK574"/>
    </row>
    <row r="575" spans="13:115" x14ac:dyDescent="0.2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c r="BY575"/>
      <c r="BZ575"/>
      <c r="CA575"/>
      <c r="CB575"/>
      <c r="CC575"/>
      <c r="CD575"/>
      <c r="CE575"/>
      <c r="CF575"/>
      <c r="CG575"/>
      <c r="CH575"/>
      <c r="CI575"/>
      <c r="CJ575"/>
      <c r="CK575"/>
      <c r="CL575"/>
      <c r="CM575"/>
      <c r="CN575"/>
      <c r="CO575"/>
      <c r="CP575"/>
      <c r="CQ575"/>
      <c r="CR575"/>
      <c r="CS575"/>
      <c r="CT575"/>
      <c r="CU575"/>
      <c r="CV575"/>
      <c r="CW575"/>
      <c r="CX575"/>
      <c r="CY575"/>
      <c r="CZ575"/>
      <c r="DA575"/>
      <c r="DB575"/>
      <c r="DC575"/>
      <c r="DD575"/>
      <c r="DE575"/>
      <c r="DF575"/>
      <c r="DG575"/>
      <c r="DH575"/>
      <c r="DI575"/>
      <c r="DJ575"/>
      <c r="DK575"/>
    </row>
    <row r="576" spans="13:115" x14ac:dyDescent="0.25">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c r="BY576"/>
      <c r="BZ576"/>
      <c r="CA576"/>
      <c r="CB576"/>
      <c r="CC576"/>
      <c r="CD576"/>
      <c r="CE576"/>
      <c r="CF576"/>
      <c r="CG576"/>
      <c r="CH576"/>
      <c r="CI576"/>
      <c r="CJ576"/>
      <c r="CK576"/>
      <c r="CL576"/>
      <c r="CM576"/>
      <c r="CN576"/>
      <c r="CO576"/>
      <c r="CP576"/>
      <c r="CQ576"/>
      <c r="CR576"/>
      <c r="CS576"/>
      <c r="CT576"/>
      <c r="CU576"/>
      <c r="CV576"/>
      <c r="CW576"/>
      <c r="CX576"/>
      <c r="CY576"/>
      <c r="CZ576"/>
      <c r="DA576"/>
      <c r="DB576"/>
      <c r="DC576"/>
      <c r="DD576"/>
      <c r="DE576"/>
      <c r="DF576"/>
      <c r="DG576"/>
      <c r="DH576"/>
      <c r="DI576"/>
      <c r="DJ576"/>
      <c r="DK576"/>
    </row>
    <row r="577" spans="13:115" x14ac:dyDescent="0.25">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c r="BS577"/>
      <c r="BT577"/>
      <c r="BU577"/>
      <c r="BV577"/>
      <c r="BW577"/>
      <c r="BX577"/>
      <c r="BY577"/>
      <c r="BZ577"/>
      <c r="CA577"/>
      <c r="CB577"/>
      <c r="CC577"/>
      <c r="CD577"/>
      <c r="CE577"/>
      <c r="CF577"/>
      <c r="CG577"/>
      <c r="CH577"/>
      <c r="CI577"/>
      <c r="CJ577"/>
      <c r="CK577"/>
      <c r="CL577"/>
      <c r="CM577"/>
      <c r="CN577"/>
      <c r="CO577"/>
      <c r="CP577"/>
      <c r="CQ577"/>
      <c r="CR577"/>
      <c r="CS577"/>
      <c r="CT577"/>
      <c r="CU577"/>
      <c r="CV577"/>
      <c r="CW577"/>
      <c r="CX577"/>
      <c r="CY577"/>
      <c r="CZ577"/>
      <c r="DA577"/>
      <c r="DB577"/>
      <c r="DC577"/>
      <c r="DD577"/>
      <c r="DE577"/>
      <c r="DF577"/>
      <c r="DG577"/>
      <c r="DH577"/>
      <c r="DI577"/>
      <c r="DJ577"/>
      <c r="DK577"/>
    </row>
    <row r="578" spans="13:115" x14ac:dyDescent="0.25">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c r="BS578"/>
      <c r="BT578"/>
      <c r="BU578"/>
      <c r="BV578"/>
      <c r="BW578"/>
      <c r="BX578"/>
      <c r="BY578"/>
      <c r="BZ578"/>
      <c r="CA578"/>
      <c r="CB578"/>
      <c r="CC578"/>
      <c r="CD578"/>
      <c r="CE578"/>
      <c r="CF578"/>
      <c r="CG578"/>
      <c r="CH578"/>
      <c r="CI578"/>
      <c r="CJ578"/>
      <c r="CK578"/>
      <c r="CL578"/>
      <c r="CM578"/>
      <c r="CN578"/>
      <c r="CO578"/>
      <c r="CP578"/>
      <c r="CQ578"/>
      <c r="CR578"/>
      <c r="CS578"/>
      <c r="CT578"/>
      <c r="CU578"/>
      <c r="CV578"/>
      <c r="CW578"/>
      <c r="CX578"/>
      <c r="CY578"/>
      <c r="CZ578"/>
      <c r="DA578"/>
      <c r="DB578"/>
      <c r="DC578"/>
      <c r="DD578"/>
      <c r="DE578"/>
      <c r="DF578"/>
      <c r="DG578"/>
      <c r="DH578"/>
      <c r="DI578"/>
      <c r="DJ578"/>
      <c r="DK578"/>
    </row>
    <row r="579" spans="13:115" x14ac:dyDescent="0.25">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c r="BS579"/>
      <c r="BT579"/>
      <c r="BU579"/>
      <c r="BV579"/>
      <c r="BW579"/>
      <c r="BX579"/>
      <c r="BY579"/>
      <c r="BZ579"/>
      <c r="CA579"/>
      <c r="CB579"/>
      <c r="CC579"/>
      <c r="CD579"/>
      <c r="CE579"/>
      <c r="CF579"/>
      <c r="CG579"/>
      <c r="CH579"/>
      <c r="CI579"/>
      <c r="CJ579"/>
      <c r="CK579"/>
      <c r="CL579"/>
      <c r="CM579"/>
      <c r="CN579"/>
      <c r="CO579"/>
      <c r="CP579"/>
      <c r="CQ579"/>
      <c r="CR579"/>
      <c r="CS579"/>
      <c r="CT579"/>
      <c r="CU579"/>
      <c r="CV579"/>
      <c r="CW579"/>
      <c r="CX579"/>
      <c r="CY579"/>
      <c r="CZ579"/>
      <c r="DA579"/>
      <c r="DB579"/>
      <c r="DC579"/>
      <c r="DD579"/>
      <c r="DE579"/>
      <c r="DF579"/>
      <c r="DG579"/>
      <c r="DH579"/>
      <c r="DI579"/>
      <c r="DJ579"/>
      <c r="DK579"/>
    </row>
    <row r="580" spans="13:115" x14ac:dyDescent="0.25">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c r="BY580"/>
      <c r="BZ580"/>
      <c r="CA580"/>
      <c r="CB580"/>
      <c r="CC580"/>
      <c r="CD580"/>
      <c r="CE580"/>
      <c r="CF580"/>
      <c r="CG580"/>
      <c r="CH580"/>
      <c r="CI580"/>
      <c r="CJ580"/>
      <c r="CK580"/>
      <c r="CL580"/>
      <c r="CM580"/>
      <c r="CN580"/>
      <c r="CO580"/>
      <c r="CP580"/>
      <c r="CQ580"/>
      <c r="CR580"/>
      <c r="CS580"/>
      <c r="CT580"/>
      <c r="CU580"/>
      <c r="CV580"/>
      <c r="CW580"/>
      <c r="CX580"/>
      <c r="CY580"/>
      <c r="CZ580"/>
      <c r="DA580"/>
      <c r="DB580"/>
      <c r="DC580"/>
      <c r="DD580"/>
      <c r="DE580"/>
      <c r="DF580"/>
      <c r="DG580"/>
      <c r="DH580"/>
      <c r="DI580"/>
      <c r="DJ580"/>
      <c r="DK580"/>
    </row>
    <row r="581" spans="13:115" x14ac:dyDescent="0.25">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c r="BS581"/>
      <c r="BT581"/>
      <c r="BU581"/>
      <c r="BV581"/>
      <c r="BW581"/>
      <c r="BX581"/>
      <c r="BY581"/>
      <c r="BZ581"/>
      <c r="CA581"/>
      <c r="CB581"/>
      <c r="CC581"/>
      <c r="CD581"/>
      <c r="CE581"/>
      <c r="CF581"/>
      <c r="CG581"/>
      <c r="CH581"/>
      <c r="CI581"/>
      <c r="CJ581"/>
      <c r="CK581"/>
      <c r="CL581"/>
      <c r="CM581"/>
      <c r="CN581"/>
      <c r="CO581"/>
      <c r="CP581"/>
      <c r="CQ581"/>
      <c r="CR581"/>
      <c r="CS581"/>
      <c r="CT581"/>
      <c r="CU581"/>
      <c r="CV581"/>
      <c r="CW581"/>
      <c r="CX581"/>
      <c r="CY581"/>
      <c r="CZ581"/>
      <c r="DA581"/>
      <c r="DB581"/>
      <c r="DC581"/>
      <c r="DD581"/>
      <c r="DE581"/>
      <c r="DF581"/>
      <c r="DG581"/>
      <c r="DH581"/>
      <c r="DI581"/>
      <c r="DJ581"/>
      <c r="DK581"/>
    </row>
    <row r="582" spans="13:115" x14ac:dyDescent="0.25">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c r="BS582"/>
      <c r="BT582"/>
      <c r="BU582"/>
      <c r="BV582"/>
      <c r="BW582"/>
      <c r="BX582"/>
      <c r="BY582"/>
      <c r="BZ582"/>
      <c r="CA582"/>
      <c r="CB582"/>
      <c r="CC582"/>
      <c r="CD582"/>
      <c r="CE582"/>
      <c r="CF582"/>
      <c r="CG582"/>
      <c r="CH582"/>
      <c r="CI582"/>
      <c r="CJ582"/>
      <c r="CK582"/>
      <c r="CL582"/>
      <c r="CM582"/>
      <c r="CN582"/>
      <c r="CO582"/>
      <c r="CP582"/>
      <c r="CQ582"/>
      <c r="CR582"/>
      <c r="CS582"/>
      <c r="CT582"/>
      <c r="CU582"/>
      <c r="CV582"/>
      <c r="CW582"/>
      <c r="CX582"/>
      <c r="CY582"/>
      <c r="CZ582"/>
      <c r="DA582"/>
      <c r="DB582"/>
      <c r="DC582"/>
      <c r="DD582"/>
      <c r="DE582"/>
      <c r="DF582"/>
      <c r="DG582"/>
      <c r="DH582"/>
      <c r="DI582"/>
      <c r="DJ582"/>
      <c r="DK582"/>
    </row>
    <row r="583" spans="13:115" x14ac:dyDescent="0.25">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c r="BY583"/>
      <c r="BZ583"/>
      <c r="CA583"/>
      <c r="CB583"/>
      <c r="CC583"/>
      <c r="CD583"/>
      <c r="CE583"/>
      <c r="CF583"/>
      <c r="CG583"/>
      <c r="CH583"/>
      <c r="CI583"/>
      <c r="CJ583"/>
      <c r="CK583"/>
      <c r="CL583"/>
      <c r="CM583"/>
      <c r="CN583"/>
      <c r="CO583"/>
      <c r="CP583"/>
      <c r="CQ583"/>
      <c r="CR583"/>
      <c r="CS583"/>
      <c r="CT583"/>
      <c r="CU583"/>
      <c r="CV583"/>
      <c r="CW583"/>
      <c r="CX583"/>
      <c r="CY583"/>
      <c r="CZ583"/>
      <c r="DA583"/>
      <c r="DB583"/>
      <c r="DC583"/>
      <c r="DD583"/>
      <c r="DE583"/>
      <c r="DF583"/>
      <c r="DG583"/>
      <c r="DH583"/>
      <c r="DI583"/>
      <c r="DJ583"/>
      <c r="DK583"/>
    </row>
    <row r="584" spans="13:115" x14ac:dyDescent="0.25">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c r="BS584"/>
      <c r="BT584"/>
      <c r="BU584"/>
      <c r="BV584"/>
      <c r="BW584"/>
      <c r="BX584"/>
      <c r="BY584"/>
      <c r="BZ584"/>
      <c r="CA584"/>
      <c r="CB584"/>
      <c r="CC584"/>
      <c r="CD584"/>
      <c r="CE584"/>
      <c r="CF584"/>
      <c r="CG584"/>
      <c r="CH584"/>
      <c r="CI584"/>
      <c r="CJ584"/>
      <c r="CK584"/>
      <c r="CL584"/>
      <c r="CM584"/>
      <c r="CN584"/>
      <c r="CO584"/>
      <c r="CP584"/>
      <c r="CQ584"/>
      <c r="CR584"/>
      <c r="CS584"/>
      <c r="CT584"/>
      <c r="CU584"/>
      <c r="CV584"/>
      <c r="CW584"/>
      <c r="CX584"/>
      <c r="CY584"/>
      <c r="CZ584"/>
      <c r="DA584"/>
      <c r="DB584"/>
      <c r="DC584"/>
      <c r="DD584"/>
      <c r="DE584"/>
      <c r="DF584"/>
      <c r="DG584"/>
      <c r="DH584"/>
      <c r="DI584"/>
      <c r="DJ584"/>
      <c r="DK584"/>
    </row>
    <row r="585" spans="13:115" x14ac:dyDescent="0.2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c r="BS585"/>
      <c r="BT585"/>
      <c r="BU585"/>
      <c r="BV585"/>
      <c r="BW585"/>
      <c r="BX585"/>
      <c r="BY585"/>
      <c r="BZ585"/>
      <c r="CA585"/>
      <c r="CB585"/>
      <c r="CC585"/>
      <c r="CD585"/>
      <c r="CE585"/>
      <c r="CF585"/>
      <c r="CG585"/>
      <c r="CH585"/>
      <c r="CI585"/>
      <c r="CJ585"/>
      <c r="CK585"/>
      <c r="CL585"/>
      <c r="CM585"/>
      <c r="CN585"/>
      <c r="CO585"/>
      <c r="CP585"/>
      <c r="CQ585"/>
      <c r="CR585"/>
      <c r="CS585"/>
      <c r="CT585"/>
      <c r="CU585"/>
      <c r="CV585"/>
      <c r="CW585"/>
      <c r="CX585"/>
      <c r="CY585"/>
      <c r="CZ585"/>
      <c r="DA585"/>
      <c r="DB585"/>
      <c r="DC585"/>
      <c r="DD585"/>
      <c r="DE585"/>
      <c r="DF585"/>
      <c r="DG585"/>
      <c r="DH585"/>
      <c r="DI585"/>
      <c r="DJ585"/>
      <c r="DK585"/>
    </row>
    <row r="586" spans="13:115" x14ac:dyDescent="0.25">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c r="BY586"/>
      <c r="BZ586"/>
      <c r="CA586"/>
      <c r="CB586"/>
      <c r="CC586"/>
      <c r="CD586"/>
      <c r="CE586"/>
      <c r="CF586"/>
      <c r="CG586"/>
      <c r="CH586"/>
      <c r="CI586"/>
      <c r="CJ586"/>
      <c r="CK586"/>
      <c r="CL586"/>
      <c r="CM586"/>
      <c r="CN586"/>
      <c r="CO586"/>
      <c r="CP586"/>
      <c r="CQ586"/>
      <c r="CR586"/>
      <c r="CS586"/>
      <c r="CT586"/>
      <c r="CU586"/>
      <c r="CV586"/>
      <c r="CW586"/>
      <c r="CX586"/>
      <c r="CY586"/>
      <c r="CZ586"/>
      <c r="DA586"/>
      <c r="DB586"/>
      <c r="DC586"/>
      <c r="DD586"/>
      <c r="DE586"/>
      <c r="DF586"/>
      <c r="DG586"/>
      <c r="DH586"/>
      <c r="DI586"/>
      <c r="DJ586"/>
      <c r="DK586"/>
    </row>
    <row r="587" spans="13:115" x14ac:dyDescent="0.25">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c r="BT587"/>
      <c r="BU587"/>
      <c r="BV587"/>
      <c r="BW587"/>
      <c r="BX587"/>
      <c r="BY587"/>
      <c r="BZ587"/>
      <c r="CA587"/>
      <c r="CB587"/>
      <c r="CC587"/>
      <c r="CD587"/>
      <c r="CE587"/>
      <c r="CF587"/>
      <c r="CG587"/>
      <c r="CH587"/>
      <c r="CI587"/>
      <c r="CJ587"/>
      <c r="CK587"/>
      <c r="CL587"/>
      <c r="CM587"/>
      <c r="CN587"/>
      <c r="CO587"/>
      <c r="CP587"/>
      <c r="CQ587"/>
      <c r="CR587"/>
      <c r="CS587"/>
      <c r="CT587"/>
      <c r="CU587"/>
      <c r="CV587"/>
      <c r="CW587"/>
      <c r="CX587"/>
      <c r="CY587"/>
      <c r="CZ587"/>
      <c r="DA587"/>
      <c r="DB587"/>
      <c r="DC587"/>
      <c r="DD587"/>
      <c r="DE587"/>
      <c r="DF587"/>
      <c r="DG587"/>
      <c r="DH587"/>
      <c r="DI587"/>
      <c r="DJ587"/>
      <c r="DK587"/>
    </row>
    <row r="588" spans="13:115" x14ac:dyDescent="0.25">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c r="BT588"/>
      <c r="BU588"/>
      <c r="BV588"/>
      <c r="BW588"/>
      <c r="BX588"/>
      <c r="BY588"/>
      <c r="BZ588"/>
      <c r="CA588"/>
      <c r="CB588"/>
      <c r="CC588"/>
      <c r="CD588"/>
      <c r="CE588"/>
      <c r="CF588"/>
      <c r="CG588"/>
      <c r="CH588"/>
      <c r="CI588"/>
      <c r="CJ588"/>
      <c r="CK588"/>
      <c r="CL588"/>
      <c r="CM588"/>
      <c r="CN588"/>
      <c r="CO588"/>
      <c r="CP588"/>
      <c r="CQ588"/>
      <c r="CR588"/>
      <c r="CS588"/>
      <c r="CT588"/>
      <c r="CU588"/>
      <c r="CV588"/>
      <c r="CW588"/>
      <c r="CX588"/>
      <c r="CY588"/>
      <c r="CZ588"/>
      <c r="DA588"/>
      <c r="DB588"/>
      <c r="DC588"/>
      <c r="DD588"/>
      <c r="DE588"/>
      <c r="DF588"/>
      <c r="DG588"/>
      <c r="DH588"/>
      <c r="DI588"/>
      <c r="DJ588"/>
      <c r="DK588"/>
    </row>
    <row r="589" spans="13:115" x14ac:dyDescent="0.25">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c r="BY589"/>
      <c r="BZ589"/>
      <c r="CA589"/>
      <c r="CB589"/>
      <c r="CC589"/>
      <c r="CD589"/>
      <c r="CE589"/>
      <c r="CF589"/>
      <c r="CG589"/>
      <c r="CH589"/>
      <c r="CI589"/>
      <c r="CJ589"/>
      <c r="CK589"/>
      <c r="CL589"/>
      <c r="CM589"/>
      <c r="CN589"/>
      <c r="CO589"/>
      <c r="CP589"/>
      <c r="CQ589"/>
      <c r="CR589"/>
      <c r="CS589"/>
      <c r="CT589"/>
      <c r="CU589"/>
      <c r="CV589"/>
      <c r="CW589"/>
      <c r="CX589"/>
      <c r="CY589"/>
      <c r="CZ589"/>
      <c r="DA589"/>
      <c r="DB589"/>
      <c r="DC589"/>
      <c r="DD589"/>
      <c r="DE589"/>
      <c r="DF589"/>
      <c r="DG589"/>
      <c r="DH589"/>
      <c r="DI589"/>
      <c r="DJ589"/>
      <c r="DK589"/>
    </row>
    <row r="590" spans="13:115" x14ac:dyDescent="0.25">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c r="BY590"/>
      <c r="BZ590"/>
      <c r="CA590"/>
      <c r="CB590"/>
      <c r="CC590"/>
      <c r="CD590"/>
      <c r="CE590"/>
      <c r="CF590"/>
      <c r="CG590"/>
      <c r="CH590"/>
      <c r="CI590"/>
      <c r="CJ590"/>
      <c r="CK590"/>
      <c r="CL590"/>
      <c r="CM590"/>
      <c r="CN590"/>
      <c r="CO590"/>
      <c r="CP590"/>
      <c r="CQ590"/>
      <c r="CR590"/>
      <c r="CS590"/>
      <c r="CT590"/>
      <c r="CU590"/>
      <c r="CV590"/>
      <c r="CW590"/>
      <c r="CX590"/>
      <c r="CY590"/>
      <c r="CZ590"/>
      <c r="DA590"/>
      <c r="DB590"/>
      <c r="DC590"/>
      <c r="DD590"/>
      <c r="DE590"/>
      <c r="DF590"/>
      <c r="DG590"/>
      <c r="DH590"/>
      <c r="DI590"/>
      <c r="DJ590"/>
      <c r="DK590"/>
    </row>
    <row r="591" spans="13:115" x14ac:dyDescent="0.25">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c r="BY591"/>
      <c r="BZ591"/>
      <c r="CA591"/>
      <c r="CB591"/>
      <c r="CC591"/>
      <c r="CD591"/>
      <c r="CE591"/>
      <c r="CF591"/>
      <c r="CG591"/>
      <c r="CH591"/>
      <c r="CI591"/>
      <c r="CJ591"/>
      <c r="CK591"/>
      <c r="CL591"/>
      <c r="CM591"/>
      <c r="CN591"/>
      <c r="CO591"/>
      <c r="CP591"/>
      <c r="CQ591"/>
      <c r="CR591"/>
      <c r="CS591"/>
      <c r="CT591"/>
      <c r="CU591"/>
      <c r="CV591"/>
      <c r="CW591"/>
      <c r="CX591"/>
      <c r="CY591"/>
      <c r="CZ591"/>
      <c r="DA591"/>
      <c r="DB591"/>
      <c r="DC591"/>
      <c r="DD591"/>
      <c r="DE591"/>
      <c r="DF591"/>
      <c r="DG591"/>
      <c r="DH591"/>
      <c r="DI591"/>
      <c r="DJ591"/>
      <c r="DK591"/>
    </row>
    <row r="592" spans="13:115" x14ac:dyDescent="0.25">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c r="BY592"/>
      <c r="BZ592"/>
      <c r="CA592"/>
      <c r="CB592"/>
      <c r="CC592"/>
      <c r="CD592"/>
      <c r="CE592"/>
      <c r="CF592"/>
      <c r="CG592"/>
      <c r="CH592"/>
      <c r="CI592"/>
      <c r="CJ592"/>
      <c r="CK592"/>
      <c r="CL592"/>
      <c r="CM592"/>
      <c r="CN592"/>
      <c r="CO592"/>
      <c r="CP592"/>
      <c r="CQ592"/>
      <c r="CR592"/>
      <c r="CS592"/>
      <c r="CT592"/>
      <c r="CU592"/>
      <c r="CV592"/>
      <c r="CW592"/>
      <c r="CX592"/>
      <c r="CY592"/>
      <c r="CZ592"/>
      <c r="DA592"/>
      <c r="DB592"/>
      <c r="DC592"/>
      <c r="DD592"/>
      <c r="DE592"/>
      <c r="DF592"/>
      <c r="DG592"/>
      <c r="DH592"/>
      <c r="DI592"/>
      <c r="DJ592"/>
      <c r="DK592"/>
    </row>
    <row r="593" spans="13:115" x14ac:dyDescent="0.25">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c r="BY593"/>
      <c r="BZ593"/>
      <c r="CA593"/>
      <c r="CB593"/>
      <c r="CC593"/>
      <c r="CD593"/>
      <c r="CE593"/>
      <c r="CF593"/>
      <c r="CG593"/>
      <c r="CH593"/>
      <c r="CI593"/>
      <c r="CJ593"/>
      <c r="CK593"/>
      <c r="CL593"/>
      <c r="CM593"/>
      <c r="CN593"/>
      <c r="CO593"/>
      <c r="CP593"/>
      <c r="CQ593"/>
      <c r="CR593"/>
      <c r="CS593"/>
      <c r="CT593"/>
      <c r="CU593"/>
      <c r="CV593"/>
      <c r="CW593"/>
      <c r="CX593"/>
      <c r="CY593"/>
      <c r="CZ593"/>
      <c r="DA593"/>
      <c r="DB593"/>
      <c r="DC593"/>
      <c r="DD593"/>
      <c r="DE593"/>
      <c r="DF593"/>
      <c r="DG593"/>
      <c r="DH593"/>
      <c r="DI593"/>
      <c r="DJ593"/>
      <c r="DK593"/>
    </row>
    <row r="594" spans="13:115" x14ac:dyDescent="0.25">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c r="CC594"/>
      <c r="CD594"/>
      <c r="CE594"/>
      <c r="CF594"/>
      <c r="CG594"/>
      <c r="CH594"/>
      <c r="CI594"/>
      <c r="CJ594"/>
      <c r="CK594"/>
      <c r="CL594"/>
      <c r="CM594"/>
      <c r="CN594"/>
      <c r="CO594"/>
      <c r="CP594"/>
      <c r="CQ594"/>
      <c r="CR594"/>
      <c r="CS594"/>
      <c r="CT594"/>
      <c r="CU594"/>
      <c r="CV594"/>
      <c r="CW594"/>
      <c r="CX594"/>
      <c r="CY594"/>
      <c r="CZ594"/>
      <c r="DA594"/>
      <c r="DB594"/>
      <c r="DC594"/>
      <c r="DD594"/>
      <c r="DE594"/>
      <c r="DF594"/>
      <c r="DG594"/>
      <c r="DH594"/>
      <c r="DI594"/>
      <c r="DJ594"/>
      <c r="DK594"/>
    </row>
    <row r="595" spans="13:115" x14ac:dyDescent="0.2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c r="BY595"/>
      <c r="BZ595"/>
      <c r="CA595"/>
      <c r="CB595"/>
      <c r="CC595"/>
      <c r="CD595"/>
      <c r="CE595"/>
      <c r="CF595"/>
      <c r="CG595"/>
      <c r="CH595"/>
      <c r="CI595"/>
      <c r="CJ595"/>
      <c r="CK595"/>
      <c r="CL595"/>
      <c r="CM595"/>
      <c r="CN595"/>
      <c r="CO595"/>
      <c r="CP595"/>
      <c r="CQ595"/>
      <c r="CR595"/>
      <c r="CS595"/>
      <c r="CT595"/>
      <c r="CU595"/>
      <c r="CV595"/>
      <c r="CW595"/>
      <c r="CX595"/>
      <c r="CY595"/>
      <c r="CZ595"/>
      <c r="DA595"/>
      <c r="DB595"/>
      <c r="DC595"/>
      <c r="DD595"/>
      <c r="DE595"/>
      <c r="DF595"/>
      <c r="DG595"/>
      <c r="DH595"/>
      <c r="DI595"/>
      <c r="DJ595"/>
      <c r="DK595"/>
    </row>
    <row r="596" spans="13:115" x14ac:dyDescent="0.25">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c r="CV596"/>
      <c r="CW596"/>
      <c r="CX596"/>
      <c r="CY596"/>
      <c r="CZ596"/>
      <c r="DA596"/>
      <c r="DB596"/>
      <c r="DC596"/>
      <c r="DD596"/>
      <c r="DE596"/>
      <c r="DF596"/>
      <c r="DG596"/>
      <c r="DH596"/>
      <c r="DI596"/>
      <c r="DJ596"/>
      <c r="DK596"/>
    </row>
    <row r="597" spans="13:115" x14ac:dyDescent="0.25">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c r="BM597"/>
      <c r="BN597"/>
      <c r="BO597"/>
      <c r="BP597"/>
      <c r="BQ597"/>
      <c r="BR597"/>
      <c r="BS597"/>
      <c r="BT597"/>
      <c r="BU597"/>
      <c r="BV597"/>
      <c r="BW597"/>
      <c r="BX597"/>
      <c r="BY597"/>
      <c r="BZ597"/>
      <c r="CA597"/>
      <c r="CB597"/>
      <c r="CC597"/>
      <c r="CD597"/>
      <c r="CE597"/>
      <c r="CF597"/>
      <c r="CG597"/>
      <c r="CH597"/>
      <c r="CI597"/>
      <c r="CJ597"/>
      <c r="CK597"/>
      <c r="CL597"/>
      <c r="CM597"/>
      <c r="CN597"/>
      <c r="CO597"/>
      <c r="CP597"/>
      <c r="CQ597"/>
      <c r="CR597"/>
      <c r="CS597"/>
      <c r="CT597"/>
      <c r="CU597"/>
      <c r="CV597"/>
      <c r="CW597"/>
      <c r="CX597"/>
      <c r="CY597"/>
      <c r="CZ597"/>
      <c r="DA597"/>
      <c r="DB597"/>
      <c r="DC597"/>
      <c r="DD597"/>
      <c r="DE597"/>
      <c r="DF597"/>
      <c r="DG597"/>
      <c r="DH597"/>
      <c r="DI597"/>
      <c r="DJ597"/>
      <c r="DK597"/>
    </row>
    <row r="598" spans="13:115" x14ac:dyDescent="0.25">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c r="CV598"/>
      <c r="CW598"/>
      <c r="CX598"/>
      <c r="CY598"/>
      <c r="CZ598"/>
      <c r="DA598"/>
      <c r="DB598"/>
      <c r="DC598"/>
      <c r="DD598"/>
      <c r="DE598"/>
      <c r="DF598"/>
      <c r="DG598"/>
      <c r="DH598"/>
      <c r="DI598"/>
      <c r="DJ598"/>
      <c r="DK598"/>
    </row>
    <row r="599" spans="13:115" x14ac:dyDescent="0.25">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c r="BQ599"/>
      <c r="BR599"/>
      <c r="BS599"/>
      <c r="BT599"/>
      <c r="BU599"/>
      <c r="BV599"/>
      <c r="BW599"/>
      <c r="BX599"/>
      <c r="BY599"/>
      <c r="BZ599"/>
      <c r="CA599"/>
      <c r="CB599"/>
      <c r="CC599"/>
      <c r="CD599"/>
      <c r="CE599"/>
      <c r="CF599"/>
      <c r="CG599"/>
      <c r="CH599"/>
      <c r="CI599"/>
      <c r="CJ599"/>
      <c r="CK599"/>
      <c r="CL599"/>
      <c r="CM599"/>
      <c r="CN599"/>
      <c r="CO599"/>
      <c r="CP599"/>
      <c r="CQ599"/>
      <c r="CR599"/>
      <c r="CS599"/>
      <c r="CT599"/>
      <c r="CU599"/>
      <c r="CV599"/>
      <c r="CW599"/>
      <c r="CX599"/>
      <c r="CY599"/>
      <c r="CZ599"/>
      <c r="DA599"/>
      <c r="DB599"/>
      <c r="DC599"/>
      <c r="DD599"/>
      <c r="DE599"/>
      <c r="DF599"/>
      <c r="DG599"/>
      <c r="DH599"/>
      <c r="DI599"/>
      <c r="DJ599"/>
      <c r="DK599"/>
    </row>
    <row r="600" spans="13:115" x14ac:dyDescent="0.25">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c r="CV600"/>
      <c r="CW600"/>
      <c r="CX600"/>
      <c r="CY600"/>
      <c r="CZ600"/>
      <c r="DA600"/>
      <c r="DB600"/>
      <c r="DC600"/>
      <c r="DD600"/>
      <c r="DE600"/>
      <c r="DF600"/>
      <c r="DG600"/>
      <c r="DH600"/>
      <c r="DI600"/>
      <c r="DJ600"/>
      <c r="DK600"/>
    </row>
    <row r="601" spans="13:115" x14ac:dyDescent="0.25">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c r="CM601"/>
      <c r="CN601"/>
      <c r="CO601"/>
      <c r="CP601"/>
      <c r="CQ601"/>
      <c r="CR601"/>
      <c r="CS601"/>
      <c r="CT601"/>
      <c r="CU601"/>
      <c r="CV601"/>
      <c r="CW601"/>
      <c r="CX601"/>
      <c r="CY601"/>
      <c r="CZ601"/>
      <c r="DA601"/>
      <c r="DB601"/>
      <c r="DC601"/>
      <c r="DD601"/>
      <c r="DE601"/>
      <c r="DF601"/>
      <c r="DG601"/>
      <c r="DH601"/>
      <c r="DI601"/>
      <c r="DJ601"/>
      <c r="DK601"/>
    </row>
    <row r="602" spans="13:115" x14ac:dyDescent="0.25">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c r="CD602"/>
      <c r="CE602"/>
      <c r="CF602"/>
      <c r="CG602"/>
      <c r="CH602"/>
      <c r="CI602"/>
      <c r="CJ602"/>
      <c r="CK602"/>
      <c r="CL602"/>
      <c r="CM602"/>
      <c r="CN602"/>
      <c r="CO602"/>
      <c r="CP602"/>
      <c r="CQ602"/>
      <c r="CR602"/>
      <c r="CS602"/>
      <c r="CT602"/>
      <c r="CU602"/>
      <c r="CV602"/>
      <c r="CW602"/>
      <c r="CX602"/>
      <c r="CY602"/>
      <c r="CZ602"/>
      <c r="DA602"/>
      <c r="DB602"/>
      <c r="DC602"/>
      <c r="DD602"/>
      <c r="DE602"/>
      <c r="DF602"/>
      <c r="DG602"/>
      <c r="DH602"/>
      <c r="DI602"/>
      <c r="DJ602"/>
      <c r="DK602"/>
    </row>
    <row r="603" spans="13:115" x14ac:dyDescent="0.25">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c r="BY603"/>
      <c r="BZ603"/>
      <c r="CA603"/>
      <c r="CB603"/>
      <c r="CC603"/>
      <c r="CD603"/>
      <c r="CE603"/>
      <c r="CF603"/>
      <c r="CG603"/>
      <c r="CH603"/>
      <c r="CI603"/>
      <c r="CJ603"/>
      <c r="CK603"/>
      <c r="CL603"/>
      <c r="CM603"/>
      <c r="CN603"/>
      <c r="CO603"/>
      <c r="CP603"/>
      <c r="CQ603"/>
      <c r="CR603"/>
      <c r="CS603"/>
      <c r="CT603"/>
      <c r="CU603"/>
      <c r="CV603"/>
      <c r="CW603"/>
      <c r="CX603"/>
      <c r="CY603"/>
      <c r="CZ603"/>
      <c r="DA603"/>
      <c r="DB603"/>
      <c r="DC603"/>
      <c r="DD603"/>
      <c r="DE603"/>
      <c r="DF603"/>
      <c r="DG603"/>
      <c r="DH603"/>
      <c r="DI603"/>
      <c r="DJ603"/>
      <c r="DK603"/>
    </row>
    <row r="604" spans="13:115" x14ac:dyDescent="0.25">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c r="CD604"/>
      <c r="CE604"/>
      <c r="CF604"/>
      <c r="CG604"/>
      <c r="CH604"/>
      <c r="CI604"/>
      <c r="CJ604"/>
      <c r="CK604"/>
      <c r="CL604"/>
      <c r="CM604"/>
      <c r="CN604"/>
      <c r="CO604"/>
      <c r="CP604"/>
      <c r="CQ604"/>
      <c r="CR604"/>
      <c r="CS604"/>
      <c r="CT604"/>
      <c r="CU604"/>
      <c r="CV604"/>
      <c r="CW604"/>
      <c r="CX604"/>
      <c r="CY604"/>
      <c r="CZ604"/>
      <c r="DA604"/>
      <c r="DB604"/>
      <c r="DC604"/>
      <c r="DD604"/>
      <c r="DE604"/>
      <c r="DF604"/>
      <c r="DG604"/>
      <c r="DH604"/>
      <c r="DI604"/>
      <c r="DJ604"/>
      <c r="DK604"/>
    </row>
    <row r="605" spans="13:115" x14ac:dyDescent="0.2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c r="BY605"/>
      <c r="BZ605"/>
      <c r="CA605"/>
      <c r="CB605"/>
      <c r="CC605"/>
      <c r="CD605"/>
      <c r="CE605"/>
      <c r="CF605"/>
      <c r="CG605"/>
      <c r="CH605"/>
      <c r="CI605"/>
      <c r="CJ605"/>
      <c r="CK605"/>
      <c r="CL605"/>
      <c r="CM605"/>
      <c r="CN605"/>
      <c r="CO605"/>
      <c r="CP605"/>
      <c r="CQ605"/>
      <c r="CR605"/>
      <c r="CS605"/>
      <c r="CT605"/>
      <c r="CU605"/>
      <c r="CV605"/>
      <c r="CW605"/>
      <c r="CX605"/>
      <c r="CY605"/>
      <c r="CZ605"/>
      <c r="DA605"/>
      <c r="DB605"/>
      <c r="DC605"/>
      <c r="DD605"/>
      <c r="DE605"/>
      <c r="DF605"/>
      <c r="DG605"/>
      <c r="DH605"/>
      <c r="DI605"/>
      <c r="DJ605"/>
      <c r="DK605"/>
    </row>
    <row r="606" spans="13:115" x14ac:dyDescent="0.25">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c r="CD606"/>
      <c r="CE606"/>
      <c r="CF606"/>
      <c r="CG606"/>
      <c r="CH606"/>
      <c r="CI606"/>
      <c r="CJ606"/>
      <c r="CK606"/>
      <c r="CL606"/>
      <c r="CM606"/>
      <c r="CN606"/>
      <c r="CO606"/>
      <c r="CP606"/>
      <c r="CQ606"/>
      <c r="CR606"/>
      <c r="CS606"/>
      <c r="CT606"/>
      <c r="CU606"/>
      <c r="CV606"/>
      <c r="CW606"/>
      <c r="CX606"/>
      <c r="CY606"/>
      <c r="CZ606"/>
      <c r="DA606"/>
      <c r="DB606"/>
      <c r="DC606"/>
      <c r="DD606"/>
      <c r="DE606"/>
      <c r="DF606"/>
      <c r="DG606"/>
      <c r="DH606"/>
      <c r="DI606"/>
      <c r="DJ606"/>
      <c r="DK606"/>
    </row>
    <row r="607" spans="13:115" x14ac:dyDescent="0.25">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c r="BV607"/>
      <c r="BW607"/>
      <c r="BX607"/>
      <c r="BY607"/>
      <c r="BZ607"/>
      <c r="CA607"/>
      <c r="CB607"/>
      <c r="CC607"/>
      <c r="CD607"/>
      <c r="CE607"/>
      <c r="CF607"/>
      <c r="CG607"/>
      <c r="CH607"/>
      <c r="CI607"/>
      <c r="CJ607"/>
      <c r="CK607"/>
      <c r="CL607"/>
      <c r="CM607"/>
      <c r="CN607"/>
      <c r="CO607"/>
      <c r="CP607"/>
      <c r="CQ607"/>
      <c r="CR607"/>
      <c r="CS607"/>
      <c r="CT607"/>
      <c r="CU607"/>
      <c r="CV607"/>
      <c r="CW607"/>
      <c r="CX607"/>
      <c r="CY607"/>
      <c r="CZ607"/>
      <c r="DA607"/>
      <c r="DB607"/>
      <c r="DC607"/>
      <c r="DD607"/>
      <c r="DE607"/>
      <c r="DF607"/>
      <c r="DG607"/>
      <c r="DH607"/>
      <c r="DI607"/>
      <c r="DJ607"/>
      <c r="DK607"/>
    </row>
    <row r="608" spans="13:115" x14ac:dyDescent="0.25">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c r="BY608"/>
      <c r="BZ608"/>
      <c r="CA608"/>
      <c r="CB608"/>
      <c r="CC608"/>
      <c r="CD608"/>
      <c r="CE608"/>
      <c r="CF608"/>
      <c r="CG608"/>
      <c r="CH608"/>
      <c r="CI608"/>
      <c r="CJ608"/>
      <c r="CK608"/>
      <c r="CL608"/>
      <c r="CM608"/>
      <c r="CN608"/>
      <c r="CO608"/>
      <c r="CP608"/>
      <c r="CQ608"/>
      <c r="CR608"/>
      <c r="CS608"/>
      <c r="CT608"/>
      <c r="CU608"/>
      <c r="CV608"/>
      <c r="CW608"/>
      <c r="CX608"/>
      <c r="CY608"/>
      <c r="CZ608"/>
      <c r="DA608"/>
      <c r="DB608"/>
      <c r="DC608"/>
      <c r="DD608"/>
      <c r="DE608"/>
      <c r="DF608"/>
      <c r="DG608"/>
      <c r="DH608"/>
      <c r="DI608"/>
      <c r="DJ608"/>
      <c r="DK608"/>
    </row>
    <row r="609" spans="13:115" x14ac:dyDescent="0.25">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c r="CC609"/>
      <c r="CD609"/>
      <c r="CE609"/>
      <c r="CF609"/>
      <c r="CG609"/>
      <c r="CH609"/>
      <c r="CI609"/>
      <c r="CJ609"/>
      <c r="CK609"/>
      <c r="CL609"/>
      <c r="CM609"/>
      <c r="CN609"/>
      <c r="CO609"/>
      <c r="CP609"/>
      <c r="CQ609"/>
      <c r="CR609"/>
      <c r="CS609"/>
      <c r="CT609"/>
      <c r="CU609"/>
      <c r="CV609"/>
      <c r="CW609"/>
      <c r="CX609"/>
      <c r="CY609"/>
      <c r="CZ609"/>
      <c r="DA609"/>
      <c r="DB609"/>
      <c r="DC609"/>
      <c r="DD609"/>
      <c r="DE609"/>
      <c r="DF609"/>
      <c r="DG609"/>
      <c r="DH609"/>
      <c r="DI609"/>
      <c r="DJ609"/>
      <c r="DK609"/>
    </row>
    <row r="610" spans="13:115" x14ac:dyDescent="0.25">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c r="CC610"/>
      <c r="CD610"/>
      <c r="CE610"/>
      <c r="CF610"/>
      <c r="CG610"/>
      <c r="CH610"/>
      <c r="CI610"/>
      <c r="CJ610"/>
      <c r="CK610"/>
      <c r="CL610"/>
      <c r="CM610"/>
      <c r="CN610"/>
      <c r="CO610"/>
      <c r="CP610"/>
      <c r="CQ610"/>
      <c r="CR610"/>
      <c r="CS610"/>
      <c r="CT610"/>
      <c r="CU610"/>
      <c r="CV610"/>
      <c r="CW610"/>
      <c r="CX610"/>
      <c r="CY610"/>
      <c r="CZ610"/>
      <c r="DA610"/>
      <c r="DB610"/>
      <c r="DC610"/>
      <c r="DD610"/>
      <c r="DE610"/>
      <c r="DF610"/>
      <c r="DG610"/>
      <c r="DH610"/>
      <c r="DI610"/>
      <c r="DJ610"/>
      <c r="DK610"/>
    </row>
    <row r="611" spans="13:115" x14ac:dyDescent="0.25">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c r="BY611"/>
      <c r="BZ611"/>
      <c r="CA611"/>
      <c r="CB611"/>
      <c r="CC611"/>
      <c r="CD611"/>
      <c r="CE611"/>
      <c r="CF611"/>
      <c r="CG611"/>
      <c r="CH611"/>
      <c r="CI611"/>
      <c r="CJ611"/>
      <c r="CK611"/>
      <c r="CL611"/>
      <c r="CM611"/>
      <c r="CN611"/>
      <c r="CO611"/>
      <c r="CP611"/>
      <c r="CQ611"/>
      <c r="CR611"/>
      <c r="CS611"/>
      <c r="CT611"/>
      <c r="CU611"/>
      <c r="CV611"/>
      <c r="CW611"/>
      <c r="CX611"/>
      <c r="CY611"/>
      <c r="CZ611"/>
      <c r="DA611"/>
      <c r="DB611"/>
      <c r="DC611"/>
      <c r="DD611"/>
      <c r="DE611"/>
      <c r="DF611"/>
      <c r="DG611"/>
      <c r="DH611"/>
      <c r="DI611"/>
      <c r="DJ611"/>
      <c r="DK611"/>
    </row>
    <row r="612" spans="13:115" x14ac:dyDescent="0.25">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c r="BY612"/>
      <c r="BZ612"/>
      <c r="CA612"/>
      <c r="CB612"/>
      <c r="CC612"/>
      <c r="CD612"/>
      <c r="CE612"/>
      <c r="CF612"/>
      <c r="CG612"/>
      <c r="CH612"/>
      <c r="CI612"/>
      <c r="CJ612"/>
      <c r="CK612"/>
      <c r="CL612"/>
      <c r="CM612"/>
      <c r="CN612"/>
      <c r="CO612"/>
      <c r="CP612"/>
      <c r="CQ612"/>
      <c r="CR612"/>
      <c r="CS612"/>
      <c r="CT612"/>
      <c r="CU612"/>
      <c r="CV612"/>
      <c r="CW612"/>
      <c r="CX612"/>
      <c r="CY612"/>
      <c r="CZ612"/>
      <c r="DA612"/>
      <c r="DB612"/>
      <c r="DC612"/>
      <c r="DD612"/>
      <c r="DE612"/>
      <c r="DF612"/>
      <c r="DG612"/>
      <c r="DH612"/>
      <c r="DI612"/>
      <c r="DJ612"/>
      <c r="DK612"/>
    </row>
    <row r="613" spans="13:115" x14ac:dyDescent="0.25">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c r="BY613"/>
      <c r="BZ613"/>
      <c r="CA613"/>
      <c r="CB613"/>
      <c r="CC613"/>
      <c r="CD613"/>
      <c r="CE613"/>
      <c r="CF613"/>
      <c r="CG613"/>
      <c r="CH613"/>
      <c r="CI613"/>
      <c r="CJ613"/>
      <c r="CK613"/>
      <c r="CL613"/>
      <c r="CM613"/>
      <c r="CN613"/>
      <c r="CO613"/>
      <c r="CP613"/>
      <c r="CQ613"/>
      <c r="CR613"/>
      <c r="CS613"/>
      <c r="CT613"/>
      <c r="CU613"/>
      <c r="CV613"/>
      <c r="CW613"/>
      <c r="CX613"/>
      <c r="CY613"/>
      <c r="CZ613"/>
      <c r="DA613"/>
      <c r="DB613"/>
      <c r="DC613"/>
      <c r="DD613"/>
      <c r="DE613"/>
      <c r="DF613"/>
      <c r="DG613"/>
      <c r="DH613"/>
      <c r="DI613"/>
      <c r="DJ613"/>
      <c r="DK613"/>
    </row>
    <row r="614" spans="13:115" x14ac:dyDescent="0.25">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c r="BY614"/>
      <c r="BZ614"/>
      <c r="CA614"/>
      <c r="CB614"/>
      <c r="CC614"/>
      <c r="CD614"/>
      <c r="CE614"/>
      <c r="CF614"/>
      <c r="CG614"/>
      <c r="CH614"/>
      <c r="CI614"/>
      <c r="CJ614"/>
      <c r="CK614"/>
      <c r="CL614"/>
      <c r="CM614"/>
      <c r="CN614"/>
      <c r="CO614"/>
      <c r="CP614"/>
      <c r="CQ614"/>
      <c r="CR614"/>
      <c r="CS614"/>
      <c r="CT614"/>
      <c r="CU614"/>
      <c r="CV614"/>
      <c r="CW614"/>
      <c r="CX614"/>
      <c r="CY614"/>
      <c r="CZ614"/>
      <c r="DA614"/>
      <c r="DB614"/>
      <c r="DC614"/>
      <c r="DD614"/>
      <c r="DE614"/>
      <c r="DF614"/>
      <c r="DG614"/>
      <c r="DH614"/>
      <c r="DI614"/>
      <c r="DJ614"/>
      <c r="DK614"/>
    </row>
    <row r="615" spans="13:115" x14ac:dyDescent="0.2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c r="CC615"/>
      <c r="CD615"/>
      <c r="CE615"/>
      <c r="CF615"/>
      <c r="CG615"/>
      <c r="CH615"/>
      <c r="CI615"/>
      <c r="CJ615"/>
      <c r="CK615"/>
      <c r="CL615"/>
      <c r="CM615"/>
      <c r="CN615"/>
      <c r="CO615"/>
      <c r="CP615"/>
      <c r="CQ615"/>
      <c r="CR615"/>
      <c r="CS615"/>
      <c r="CT615"/>
      <c r="CU615"/>
      <c r="CV615"/>
      <c r="CW615"/>
      <c r="CX615"/>
      <c r="CY615"/>
      <c r="CZ615"/>
      <c r="DA615"/>
      <c r="DB615"/>
      <c r="DC615"/>
      <c r="DD615"/>
      <c r="DE615"/>
      <c r="DF615"/>
      <c r="DG615"/>
      <c r="DH615"/>
      <c r="DI615"/>
      <c r="DJ615"/>
      <c r="DK615"/>
    </row>
    <row r="616" spans="13:115" x14ac:dyDescent="0.25">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c r="BY616"/>
      <c r="BZ616"/>
      <c r="CA616"/>
      <c r="CB616"/>
      <c r="CC616"/>
      <c r="CD616"/>
      <c r="CE616"/>
      <c r="CF616"/>
      <c r="CG616"/>
      <c r="CH616"/>
      <c r="CI616"/>
      <c r="CJ616"/>
      <c r="CK616"/>
      <c r="CL616"/>
      <c r="CM616"/>
      <c r="CN616"/>
      <c r="CO616"/>
      <c r="CP616"/>
      <c r="CQ616"/>
      <c r="CR616"/>
      <c r="CS616"/>
      <c r="CT616"/>
      <c r="CU616"/>
      <c r="CV616"/>
      <c r="CW616"/>
      <c r="CX616"/>
      <c r="CY616"/>
      <c r="CZ616"/>
      <c r="DA616"/>
      <c r="DB616"/>
      <c r="DC616"/>
      <c r="DD616"/>
      <c r="DE616"/>
      <c r="DF616"/>
      <c r="DG616"/>
      <c r="DH616"/>
      <c r="DI616"/>
      <c r="DJ616"/>
      <c r="DK616"/>
    </row>
    <row r="617" spans="13:115" x14ac:dyDescent="0.25">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c r="BR617"/>
      <c r="BS617"/>
      <c r="BT617"/>
      <c r="BU617"/>
      <c r="BV617"/>
      <c r="BW617"/>
      <c r="BX617"/>
      <c r="BY617"/>
      <c r="BZ617"/>
      <c r="CA617"/>
      <c r="CB617"/>
      <c r="CC617"/>
      <c r="CD617"/>
      <c r="CE617"/>
      <c r="CF617"/>
      <c r="CG617"/>
      <c r="CH617"/>
      <c r="CI617"/>
      <c r="CJ617"/>
      <c r="CK617"/>
      <c r="CL617"/>
      <c r="CM617"/>
      <c r="CN617"/>
      <c r="CO617"/>
      <c r="CP617"/>
      <c r="CQ617"/>
      <c r="CR617"/>
      <c r="CS617"/>
      <c r="CT617"/>
      <c r="CU617"/>
      <c r="CV617"/>
      <c r="CW617"/>
      <c r="CX617"/>
      <c r="CY617"/>
      <c r="CZ617"/>
      <c r="DA617"/>
      <c r="DB617"/>
      <c r="DC617"/>
      <c r="DD617"/>
      <c r="DE617"/>
      <c r="DF617"/>
      <c r="DG617"/>
      <c r="DH617"/>
      <c r="DI617"/>
      <c r="DJ617"/>
      <c r="DK617"/>
    </row>
    <row r="618" spans="13:115" x14ac:dyDescent="0.25">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c r="BY618"/>
      <c r="BZ618"/>
      <c r="CA618"/>
      <c r="CB618"/>
      <c r="CC618"/>
      <c r="CD618"/>
      <c r="CE618"/>
      <c r="CF618"/>
      <c r="CG618"/>
      <c r="CH618"/>
      <c r="CI618"/>
      <c r="CJ618"/>
      <c r="CK618"/>
      <c r="CL618"/>
      <c r="CM618"/>
      <c r="CN618"/>
      <c r="CO618"/>
      <c r="CP618"/>
      <c r="CQ618"/>
      <c r="CR618"/>
      <c r="CS618"/>
      <c r="CT618"/>
      <c r="CU618"/>
      <c r="CV618"/>
      <c r="CW618"/>
      <c r="CX618"/>
      <c r="CY618"/>
      <c r="CZ618"/>
      <c r="DA618"/>
      <c r="DB618"/>
      <c r="DC618"/>
      <c r="DD618"/>
      <c r="DE618"/>
      <c r="DF618"/>
      <c r="DG618"/>
      <c r="DH618"/>
      <c r="DI618"/>
      <c r="DJ618"/>
      <c r="DK618"/>
    </row>
    <row r="619" spans="13:115" x14ac:dyDescent="0.25">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c r="BY619"/>
      <c r="BZ619"/>
      <c r="CA619"/>
      <c r="CB619"/>
      <c r="CC619"/>
      <c r="CD619"/>
      <c r="CE619"/>
      <c r="CF619"/>
      <c r="CG619"/>
      <c r="CH619"/>
      <c r="CI619"/>
      <c r="CJ619"/>
      <c r="CK619"/>
      <c r="CL619"/>
      <c r="CM619"/>
      <c r="CN619"/>
      <c r="CO619"/>
      <c r="CP619"/>
      <c r="CQ619"/>
      <c r="CR619"/>
      <c r="CS619"/>
      <c r="CT619"/>
      <c r="CU619"/>
      <c r="CV619"/>
      <c r="CW619"/>
      <c r="CX619"/>
      <c r="CY619"/>
      <c r="CZ619"/>
      <c r="DA619"/>
      <c r="DB619"/>
      <c r="DC619"/>
      <c r="DD619"/>
      <c r="DE619"/>
      <c r="DF619"/>
      <c r="DG619"/>
      <c r="DH619"/>
      <c r="DI619"/>
      <c r="DJ619"/>
      <c r="DK619"/>
    </row>
    <row r="620" spans="13:115" x14ac:dyDescent="0.25">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c r="BR620"/>
      <c r="BS620"/>
      <c r="BT620"/>
      <c r="BU620"/>
      <c r="BV620"/>
      <c r="BW620"/>
      <c r="BX620"/>
      <c r="BY620"/>
      <c r="BZ620"/>
      <c r="CA620"/>
      <c r="CB620"/>
      <c r="CC620"/>
      <c r="CD620"/>
      <c r="CE620"/>
      <c r="CF620"/>
      <c r="CG620"/>
      <c r="CH620"/>
      <c r="CI620"/>
      <c r="CJ620"/>
      <c r="CK620"/>
      <c r="CL620"/>
      <c r="CM620"/>
      <c r="CN620"/>
      <c r="CO620"/>
      <c r="CP620"/>
      <c r="CQ620"/>
      <c r="CR620"/>
      <c r="CS620"/>
      <c r="CT620"/>
      <c r="CU620"/>
      <c r="CV620"/>
      <c r="CW620"/>
      <c r="CX620"/>
      <c r="CY620"/>
      <c r="CZ620"/>
      <c r="DA620"/>
      <c r="DB620"/>
      <c r="DC620"/>
      <c r="DD620"/>
      <c r="DE620"/>
      <c r="DF620"/>
      <c r="DG620"/>
      <c r="DH620"/>
      <c r="DI620"/>
      <c r="DJ620"/>
      <c r="DK620"/>
    </row>
    <row r="621" spans="13:115" x14ac:dyDescent="0.25">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c r="CV621"/>
      <c r="CW621"/>
      <c r="CX621"/>
      <c r="CY621"/>
      <c r="CZ621"/>
      <c r="DA621"/>
      <c r="DB621"/>
      <c r="DC621"/>
      <c r="DD621"/>
      <c r="DE621"/>
      <c r="DF621"/>
      <c r="DG621"/>
      <c r="DH621"/>
      <c r="DI621"/>
      <c r="DJ621"/>
      <c r="DK621"/>
    </row>
    <row r="622" spans="13:115" x14ac:dyDescent="0.25">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c r="CV622"/>
      <c r="CW622"/>
      <c r="CX622"/>
      <c r="CY622"/>
      <c r="CZ622"/>
      <c r="DA622"/>
      <c r="DB622"/>
      <c r="DC622"/>
      <c r="DD622"/>
      <c r="DE622"/>
      <c r="DF622"/>
      <c r="DG622"/>
      <c r="DH622"/>
      <c r="DI622"/>
      <c r="DJ622"/>
      <c r="DK622"/>
    </row>
    <row r="623" spans="13:115" x14ac:dyDescent="0.25">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c r="CV623"/>
      <c r="CW623"/>
      <c r="CX623"/>
      <c r="CY623"/>
      <c r="CZ623"/>
      <c r="DA623"/>
      <c r="DB623"/>
      <c r="DC623"/>
      <c r="DD623"/>
      <c r="DE623"/>
      <c r="DF623"/>
      <c r="DG623"/>
      <c r="DH623"/>
      <c r="DI623"/>
      <c r="DJ623"/>
      <c r="DK623"/>
    </row>
    <row r="624" spans="13:115" x14ac:dyDescent="0.25">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c r="BR624"/>
      <c r="BS624"/>
      <c r="BT624"/>
      <c r="BU624"/>
      <c r="BV624"/>
      <c r="BW624"/>
      <c r="BX624"/>
      <c r="BY624"/>
      <c r="BZ624"/>
      <c r="CA624"/>
      <c r="CB624"/>
      <c r="CC624"/>
      <c r="CD624"/>
      <c r="CE624"/>
      <c r="CF624"/>
      <c r="CG624"/>
      <c r="CH624"/>
      <c r="CI624"/>
      <c r="CJ624"/>
      <c r="CK624"/>
      <c r="CL624"/>
      <c r="CM624"/>
      <c r="CN624"/>
      <c r="CO624"/>
      <c r="CP624"/>
      <c r="CQ624"/>
      <c r="CR624"/>
      <c r="CS624"/>
      <c r="CT624"/>
      <c r="CU624"/>
      <c r="CV624"/>
      <c r="CW624"/>
      <c r="CX624"/>
      <c r="CY624"/>
      <c r="CZ624"/>
      <c r="DA624"/>
      <c r="DB624"/>
      <c r="DC624"/>
      <c r="DD624"/>
      <c r="DE624"/>
      <c r="DF624"/>
      <c r="DG624"/>
      <c r="DH624"/>
      <c r="DI624"/>
      <c r="DJ624"/>
      <c r="DK624"/>
    </row>
    <row r="625" spans="13:115" x14ac:dyDescent="0.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c r="BO625"/>
      <c r="BP625"/>
      <c r="BQ625"/>
      <c r="BR625"/>
      <c r="BS625"/>
      <c r="BT625"/>
      <c r="BU625"/>
      <c r="BV625"/>
      <c r="BW625"/>
      <c r="BX625"/>
      <c r="BY625"/>
      <c r="BZ625"/>
      <c r="CA625"/>
      <c r="CB625"/>
      <c r="CC625"/>
      <c r="CD625"/>
      <c r="CE625"/>
      <c r="CF625"/>
      <c r="CG625"/>
      <c r="CH625"/>
      <c r="CI625"/>
      <c r="CJ625"/>
      <c r="CK625"/>
      <c r="CL625"/>
      <c r="CM625"/>
      <c r="CN625"/>
      <c r="CO625"/>
      <c r="CP625"/>
      <c r="CQ625"/>
      <c r="CR625"/>
      <c r="CS625"/>
      <c r="CT625"/>
      <c r="CU625"/>
      <c r="CV625"/>
      <c r="CW625"/>
      <c r="CX625"/>
      <c r="CY625"/>
      <c r="CZ625"/>
      <c r="DA625"/>
      <c r="DB625"/>
      <c r="DC625"/>
      <c r="DD625"/>
      <c r="DE625"/>
      <c r="DF625"/>
      <c r="DG625"/>
      <c r="DH625"/>
      <c r="DI625"/>
      <c r="DJ625"/>
      <c r="DK625"/>
    </row>
    <row r="626" spans="13:115" x14ac:dyDescent="0.25">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c r="CL626"/>
      <c r="CM626"/>
      <c r="CN626"/>
      <c r="CO626"/>
      <c r="CP626"/>
      <c r="CQ626"/>
      <c r="CR626"/>
      <c r="CS626"/>
      <c r="CT626"/>
      <c r="CU626"/>
      <c r="CV626"/>
      <c r="CW626"/>
      <c r="CX626"/>
      <c r="CY626"/>
      <c r="CZ626"/>
      <c r="DA626"/>
      <c r="DB626"/>
      <c r="DC626"/>
      <c r="DD626"/>
      <c r="DE626"/>
      <c r="DF626"/>
      <c r="DG626"/>
      <c r="DH626"/>
      <c r="DI626"/>
      <c r="DJ626"/>
      <c r="DK626"/>
    </row>
    <row r="627" spans="13:115" x14ac:dyDescent="0.25">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c r="CV627"/>
      <c r="CW627"/>
      <c r="CX627"/>
      <c r="CY627"/>
      <c r="CZ627"/>
      <c r="DA627"/>
      <c r="DB627"/>
      <c r="DC627"/>
      <c r="DD627"/>
      <c r="DE627"/>
      <c r="DF627"/>
      <c r="DG627"/>
      <c r="DH627"/>
      <c r="DI627"/>
      <c r="DJ627"/>
      <c r="DK627"/>
    </row>
    <row r="628" spans="13:115" x14ac:dyDescent="0.25">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c r="CV628"/>
      <c r="CW628"/>
      <c r="CX628"/>
      <c r="CY628"/>
      <c r="CZ628"/>
      <c r="DA628"/>
      <c r="DB628"/>
      <c r="DC628"/>
      <c r="DD628"/>
      <c r="DE628"/>
      <c r="DF628"/>
      <c r="DG628"/>
      <c r="DH628"/>
      <c r="DI628"/>
      <c r="DJ628"/>
      <c r="DK628"/>
    </row>
    <row r="629" spans="13:115" x14ac:dyDescent="0.25">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c r="CL629"/>
      <c r="CM629"/>
      <c r="CN629"/>
      <c r="CO629"/>
      <c r="CP629"/>
      <c r="CQ629"/>
      <c r="CR629"/>
      <c r="CS629"/>
      <c r="CT629"/>
      <c r="CU629"/>
      <c r="CV629"/>
      <c r="CW629"/>
      <c r="CX629"/>
      <c r="CY629"/>
      <c r="CZ629"/>
      <c r="DA629"/>
      <c r="DB629"/>
      <c r="DC629"/>
      <c r="DD629"/>
      <c r="DE629"/>
      <c r="DF629"/>
      <c r="DG629"/>
      <c r="DH629"/>
      <c r="DI629"/>
      <c r="DJ629"/>
      <c r="DK629"/>
    </row>
    <row r="630" spans="13:115" x14ac:dyDescent="0.25">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c r="CL630"/>
      <c r="CM630"/>
      <c r="CN630"/>
      <c r="CO630"/>
      <c r="CP630"/>
      <c r="CQ630"/>
      <c r="CR630"/>
      <c r="CS630"/>
      <c r="CT630"/>
      <c r="CU630"/>
      <c r="CV630"/>
      <c r="CW630"/>
      <c r="CX630"/>
      <c r="CY630"/>
      <c r="CZ630"/>
      <c r="DA630"/>
      <c r="DB630"/>
      <c r="DC630"/>
      <c r="DD630"/>
      <c r="DE630"/>
      <c r="DF630"/>
      <c r="DG630"/>
      <c r="DH630"/>
      <c r="DI630"/>
      <c r="DJ630"/>
      <c r="DK630"/>
    </row>
    <row r="631" spans="13:115" x14ac:dyDescent="0.25">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c r="BY631"/>
      <c r="BZ631"/>
      <c r="CA631"/>
      <c r="CB631"/>
      <c r="CC631"/>
      <c r="CD631"/>
      <c r="CE631"/>
      <c r="CF631"/>
      <c r="CG631"/>
      <c r="CH631"/>
      <c r="CI631"/>
      <c r="CJ631"/>
      <c r="CK631"/>
      <c r="CL631"/>
      <c r="CM631"/>
      <c r="CN631"/>
      <c r="CO631"/>
      <c r="CP631"/>
      <c r="CQ631"/>
      <c r="CR631"/>
      <c r="CS631"/>
      <c r="CT631"/>
      <c r="CU631"/>
      <c r="CV631"/>
      <c r="CW631"/>
      <c r="CX631"/>
      <c r="CY631"/>
      <c r="CZ631"/>
      <c r="DA631"/>
      <c r="DB631"/>
      <c r="DC631"/>
      <c r="DD631"/>
      <c r="DE631"/>
      <c r="DF631"/>
      <c r="DG631"/>
      <c r="DH631"/>
      <c r="DI631"/>
      <c r="DJ631"/>
      <c r="DK631"/>
    </row>
    <row r="632" spans="13:115" x14ac:dyDescent="0.25">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c r="CL632"/>
      <c r="CM632"/>
      <c r="CN632"/>
      <c r="CO632"/>
      <c r="CP632"/>
      <c r="CQ632"/>
      <c r="CR632"/>
      <c r="CS632"/>
      <c r="CT632"/>
      <c r="CU632"/>
      <c r="CV632"/>
      <c r="CW632"/>
      <c r="CX632"/>
      <c r="CY632"/>
      <c r="CZ632"/>
      <c r="DA632"/>
      <c r="DB632"/>
      <c r="DC632"/>
      <c r="DD632"/>
      <c r="DE632"/>
      <c r="DF632"/>
      <c r="DG632"/>
      <c r="DH632"/>
      <c r="DI632"/>
      <c r="DJ632"/>
      <c r="DK632"/>
    </row>
    <row r="633" spans="13:115" x14ac:dyDescent="0.25">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c r="BY633"/>
      <c r="BZ633"/>
      <c r="CA633"/>
      <c r="CB633"/>
      <c r="CC633"/>
      <c r="CD633"/>
      <c r="CE633"/>
      <c r="CF633"/>
      <c r="CG633"/>
      <c r="CH633"/>
      <c r="CI633"/>
      <c r="CJ633"/>
      <c r="CK633"/>
      <c r="CL633"/>
      <c r="CM633"/>
      <c r="CN633"/>
      <c r="CO633"/>
      <c r="CP633"/>
      <c r="CQ633"/>
      <c r="CR633"/>
      <c r="CS633"/>
      <c r="CT633"/>
      <c r="CU633"/>
      <c r="CV633"/>
      <c r="CW633"/>
      <c r="CX633"/>
      <c r="CY633"/>
      <c r="CZ633"/>
      <c r="DA633"/>
      <c r="DB633"/>
      <c r="DC633"/>
      <c r="DD633"/>
      <c r="DE633"/>
      <c r="DF633"/>
      <c r="DG633"/>
      <c r="DH633"/>
      <c r="DI633"/>
      <c r="DJ633"/>
      <c r="DK633"/>
    </row>
    <row r="634" spans="13:115" x14ac:dyDescent="0.25">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c r="BQ634"/>
      <c r="BR634"/>
      <c r="BS634"/>
      <c r="BT634"/>
      <c r="BU634"/>
      <c r="BV634"/>
      <c r="BW634"/>
      <c r="BX634"/>
      <c r="BY634"/>
      <c r="BZ634"/>
      <c r="CA634"/>
      <c r="CB634"/>
      <c r="CC634"/>
      <c r="CD634"/>
      <c r="CE634"/>
      <c r="CF634"/>
      <c r="CG634"/>
      <c r="CH634"/>
      <c r="CI634"/>
      <c r="CJ634"/>
      <c r="CK634"/>
      <c r="CL634"/>
      <c r="CM634"/>
      <c r="CN634"/>
      <c r="CO634"/>
      <c r="CP634"/>
      <c r="CQ634"/>
      <c r="CR634"/>
      <c r="CS634"/>
      <c r="CT634"/>
      <c r="CU634"/>
      <c r="CV634"/>
      <c r="CW634"/>
      <c r="CX634"/>
      <c r="CY634"/>
      <c r="CZ634"/>
      <c r="DA634"/>
      <c r="DB634"/>
      <c r="DC634"/>
      <c r="DD634"/>
      <c r="DE634"/>
      <c r="DF634"/>
      <c r="DG634"/>
      <c r="DH634"/>
      <c r="DI634"/>
      <c r="DJ634"/>
      <c r="DK634"/>
    </row>
    <row r="635" spans="13:115" x14ac:dyDescent="0.2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c r="BY635"/>
      <c r="BZ635"/>
      <c r="CA635"/>
      <c r="CB635"/>
      <c r="CC635"/>
      <c r="CD635"/>
      <c r="CE635"/>
      <c r="CF635"/>
      <c r="CG635"/>
      <c r="CH635"/>
      <c r="CI635"/>
      <c r="CJ635"/>
      <c r="CK635"/>
      <c r="CL635"/>
      <c r="CM635"/>
      <c r="CN635"/>
      <c r="CO635"/>
      <c r="CP635"/>
      <c r="CQ635"/>
      <c r="CR635"/>
      <c r="CS635"/>
      <c r="CT635"/>
      <c r="CU635"/>
      <c r="CV635"/>
      <c r="CW635"/>
      <c r="CX635"/>
      <c r="CY635"/>
      <c r="CZ635"/>
      <c r="DA635"/>
      <c r="DB635"/>
      <c r="DC635"/>
      <c r="DD635"/>
      <c r="DE635"/>
      <c r="DF635"/>
      <c r="DG635"/>
      <c r="DH635"/>
      <c r="DI635"/>
      <c r="DJ635"/>
      <c r="DK635"/>
    </row>
    <row r="636" spans="13:115" x14ac:dyDescent="0.25">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c r="BY636"/>
      <c r="BZ636"/>
      <c r="CA636"/>
      <c r="CB636"/>
      <c r="CC636"/>
      <c r="CD636"/>
      <c r="CE636"/>
      <c r="CF636"/>
      <c r="CG636"/>
      <c r="CH636"/>
      <c r="CI636"/>
      <c r="CJ636"/>
      <c r="CK636"/>
      <c r="CL636"/>
      <c r="CM636"/>
      <c r="CN636"/>
      <c r="CO636"/>
      <c r="CP636"/>
      <c r="CQ636"/>
      <c r="CR636"/>
      <c r="CS636"/>
      <c r="CT636"/>
      <c r="CU636"/>
      <c r="CV636"/>
      <c r="CW636"/>
      <c r="CX636"/>
      <c r="CY636"/>
      <c r="CZ636"/>
      <c r="DA636"/>
      <c r="DB636"/>
      <c r="DC636"/>
      <c r="DD636"/>
      <c r="DE636"/>
      <c r="DF636"/>
      <c r="DG636"/>
      <c r="DH636"/>
      <c r="DI636"/>
      <c r="DJ636"/>
      <c r="DK636"/>
    </row>
    <row r="637" spans="13:115" x14ac:dyDescent="0.25">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c r="CC637"/>
      <c r="CD637"/>
      <c r="CE637"/>
      <c r="CF637"/>
      <c r="CG637"/>
      <c r="CH637"/>
      <c r="CI637"/>
      <c r="CJ637"/>
      <c r="CK637"/>
      <c r="CL637"/>
      <c r="CM637"/>
      <c r="CN637"/>
      <c r="CO637"/>
      <c r="CP637"/>
      <c r="CQ637"/>
      <c r="CR637"/>
      <c r="CS637"/>
      <c r="CT637"/>
      <c r="CU637"/>
      <c r="CV637"/>
      <c r="CW637"/>
      <c r="CX637"/>
      <c r="CY637"/>
      <c r="CZ637"/>
      <c r="DA637"/>
      <c r="DB637"/>
      <c r="DC637"/>
      <c r="DD637"/>
      <c r="DE637"/>
      <c r="DF637"/>
      <c r="DG637"/>
      <c r="DH637"/>
      <c r="DI637"/>
      <c r="DJ637"/>
      <c r="DK637"/>
    </row>
    <row r="638" spans="13:115" x14ac:dyDescent="0.25">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c r="CL638"/>
      <c r="CM638"/>
      <c r="CN638"/>
      <c r="CO638"/>
      <c r="CP638"/>
      <c r="CQ638"/>
      <c r="CR638"/>
      <c r="CS638"/>
      <c r="CT638"/>
      <c r="CU638"/>
      <c r="CV638"/>
      <c r="CW638"/>
      <c r="CX638"/>
      <c r="CY638"/>
      <c r="CZ638"/>
      <c r="DA638"/>
      <c r="DB638"/>
      <c r="DC638"/>
      <c r="DD638"/>
      <c r="DE638"/>
      <c r="DF638"/>
      <c r="DG638"/>
      <c r="DH638"/>
      <c r="DI638"/>
      <c r="DJ638"/>
      <c r="DK638"/>
    </row>
    <row r="639" spans="13:115" x14ac:dyDescent="0.25">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c r="BY639"/>
      <c r="BZ639"/>
      <c r="CA639"/>
      <c r="CB639"/>
      <c r="CC639"/>
      <c r="CD639"/>
      <c r="CE639"/>
      <c r="CF639"/>
      <c r="CG639"/>
      <c r="CH639"/>
      <c r="CI639"/>
      <c r="CJ639"/>
      <c r="CK639"/>
      <c r="CL639"/>
      <c r="CM639"/>
      <c r="CN639"/>
      <c r="CO639"/>
      <c r="CP639"/>
      <c r="CQ639"/>
      <c r="CR639"/>
      <c r="CS639"/>
      <c r="CT639"/>
      <c r="CU639"/>
      <c r="CV639"/>
      <c r="CW639"/>
      <c r="CX639"/>
      <c r="CY639"/>
      <c r="CZ639"/>
      <c r="DA639"/>
      <c r="DB639"/>
      <c r="DC639"/>
      <c r="DD639"/>
      <c r="DE639"/>
      <c r="DF639"/>
      <c r="DG639"/>
      <c r="DH639"/>
      <c r="DI639"/>
      <c r="DJ639"/>
      <c r="DK639"/>
    </row>
    <row r="640" spans="13:115" x14ac:dyDescent="0.25">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c r="BR640"/>
      <c r="BS640"/>
      <c r="BT640"/>
      <c r="BU640"/>
      <c r="BV640"/>
      <c r="BW640"/>
      <c r="BX640"/>
      <c r="BY640"/>
      <c r="BZ640"/>
      <c r="CA640"/>
      <c r="CB640"/>
      <c r="CC640"/>
      <c r="CD640"/>
      <c r="CE640"/>
      <c r="CF640"/>
      <c r="CG640"/>
      <c r="CH640"/>
      <c r="CI640"/>
      <c r="CJ640"/>
      <c r="CK640"/>
      <c r="CL640"/>
      <c r="CM640"/>
      <c r="CN640"/>
      <c r="CO640"/>
      <c r="CP640"/>
      <c r="CQ640"/>
      <c r="CR640"/>
      <c r="CS640"/>
      <c r="CT640"/>
      <c r="CU640"/>
      <c r="CV640"/>
      <c r="CW640"/>
      <c r="CX640"/>
      <c r="CY640"/>
      <c r="CZ640"/>
      <c r="DA640"/>
      <c r="DB640"/>
      <c r="DC640"/>
      <c r="DD640"/>
      <c r="DE640"/>
      <c r="DF640"/>
      <c r="DG640"/>
      <c r="DH640"/>
      <c r="DI640"/>
      <c r="DJ640"/>
      <c r="DK640"/>
    </row>
    <row r="641" spans="13:115" x14ac:dyDescent="0.25">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c r="CC641"/>
      <c r="CD641"/>
      <c r="CE641"/>
      <c r="CF641"/>
      <c r="CG641"/>
      <c r="CH641"/>
      <c r="CI641"/>
      <c r="CJ641"/>
      <c r="CK641"/>
      <c r="CL641"/>
      <c r="CM641"/>
      <c r="CN641"/>
      <c r="CO641"/>
      <c r="CP641"/>
      <c r="CQ641"/>
      <c r="CR641"/>
      <c r="CS641"/>
      <c r="CT641"/>
      <c r="CU641"/>
      <c r="CV641"/>
      <c r="CW641"/>
      <c r="CX641"/>
      <c r="CY641"/>
      <c r="CZ641"/>
      <c r="DA641"/>
      <c r="DB641"/>
      <c r="DC641"/>
      <c r="DD641"/>
      <c r="DE641"/>
      <c r="DF641"/>
      <c r="DG641"/>
      <c r="DH641"/>
      <c r="DI641"/>
      <c r="DJ641"/>
      <c r="DK641"/>
    </row>
    <row r="642" spans="13:115" x14ac:dyDescent="0.25">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c r="BY642"/>
      <c r="BZ642"/>
      <c r="CA642"/>
      <c r="CB642"/>
      <c r="CC642"/>
      <c r="CD642"/>
      <c r="CE642"/>
      <c r="CF642"/>
      <c r="CG642"/>
      <c r="CH642"/>
      <c r="CI642"/>
      <c r="CJ642"/>
      <c r="CK642"/>
      <c r="CL642"/>
      <c r="CM642"/>
      <c r="CN642"/>
      <c r="CO642"/>
      <c r="CP642"/>
      <c r="CQ642"/>
      <c r="CR642"/>
      <c r="CS642"/>
      <c r="CT642"/>
      <c r="CU642"/>
      <c r="CV642"/>
      <c r="CW642"/>
      <c r="CX642"/>
      <c r="CY642"/>
      <c r="CZ642"/>
      <c r="DA642"/>
      <c r="DB642"/>
      <c r="DC642"/>
      <c r="DD642"/>
      <c r="DE642"/>
      <c r="DF642"/>
      <c r="DG642"/>
      <c r="DH642"/>
      <c r="DI642"/>
      <c r="DJ642"/>
      <c r="DK642"/>
    </row>
    <row r="643" spans="13:115" x14ac:dyDescent="0.25">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c r="BY643"/>
      <c r="BZ643"/>
      <c r="CA643"/>
      <c r="CB643"/>
      <c r="CC643"/>
      <c r="CD643"/>
      <c r="CE643"/>
      <c r="CF643"/>
      <c r="CG643"/>
      <c r="CH643"/>
      <c r="CI643"/>
      <c r="CJ643"/>
      <c r="CK643"/>
      <c r="CL643"/>
      <c r="CM643"/>
      <c r="CN643"/>
      <c r="CO643"/>
      <c r="CP643"/>
      <c r="CQ643"/>
      <c r="CR643"/>
      <c r="CS643"/>
      <c r="CT643"/>
      <c r="CU643"/>
      <c r="CV643"/>
      <c r="CW643"/>
      <c r="CX643"/>
      <c r="CY643"/>
      <c r="CZ643"/>
      <c r="DA643"/>
      <c r="DB643"/>
      <c r="DC643"/>
      <c r="DD643"/>
      <c r="DE643"/>
      <c r="DF643"/>
      <c r="DG643"/>
      <c r="DH643"/>
      <c r="DI643"/>
      <c r="DJ643"/>
      <c r="DK643"/>
    </row>
    <row r="644" spans="13:115" x14ac:dyDescent="0.25">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c r="BY644"/>
      <c r="BZ644"/>
      <c r="CA644"/>
      <c r="CB644"/>
      <c r="CC644"/>
      <c r="CD644"/>
      <c r="CE644"/>
      <c r="CF644"/>
      <c r="CG644"/>
      <c r="CH644"/>
      <c r="CI644"/>
      <c r="CJ644"/>
      <c r="CK644"/>
      <c r="CL644"/>
      <c r="CM644"/>
      <c r="CN644"/>
      <c r="CO644"/>
      <c r="CP644"/>
      <c r="CQ644"/>
      <c r="CR644"/>
      <c r="CS644"/>
      <c r="CT644"/>
      <c r="CU644"/>
      <c r="CV644"/>
      <c r="CW644"/>
      <c r="CX644"/>
      <c r="CY644"/>
      <c r="CZ644"/>
      <c r="DA644"/>
      <c r="DB644"/>
      <c r="DC644"/>
      <c r="DD644"/>
      <c r="DE644"/>
      <c r="DF644"/>
      <c r="DG644"/>
      <c r="DH644"/>
      <c r="DI644"/>
      <c r="DJ644"/>
      <c r="DK644"/>
    </row>
    <row r="645" spans="13:115" x14ac:dyDescent="0.2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c r="BY645"/>
      <c r="BZ645"/>
      <c r="CA645"/>
      <c r="CB645"/>
      <c r="CC645"/>
      <c r="CD645"/>
      <c r="CE645"/>
      <c r="CF645"/>
      <c r="CG645"/>
      <c r="CH645"/>
      <c r="CI645"/>
      <c r="CJ645"/>
      <c r="CK645"/>
      <c r="CL645"/>
      <c r="CM645"/>
      <c r="CN645"/>
      <c r="CO645"/>
      <c r="CP645"/>
      <c r="CQ645"/>
      <c r="CR645"/>
      <c r="CS645"/>
      <c r="CT645"/>
      <c r="CU645"/>
      <c r="CV645"/>
      <c r="CW645"/>
      <c r="CX645"/>
      <c r="CY645"/>
      <c r="CZ645"/>
      <c r="DA645"/>
      <c r="DB645"/>
      <c r="DC645"/>
      <c r="DD645"/>
      <c r="DE645"/>
      <c r="DF645"/>
      <c r="DG645"/>
      <c r="DH645"/>
      <c r="DI645"/>
      <c r="DJ645"/>
      <c r="DK645"/>
    </row>
    <row r="646" spans="13:115" x14ac:dyDescent="0.25">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c r="CV646"/>
      <c r="CW646"/>
      <c r="CX646"/>
      <c r="CY646"/>
      <c r="CZ646"/>
      <c r="DA646"/>
      <c r="DB646"/>
      <c r="DC646"/>
      <c r="DD646"/>
      <c r="DE646"/>
      <c r="DF646"/>
      <c r="DG646"/>
      <c r="DH646"/>
      <c r="DI646"/>
      <c r="DJ646"/>
      <c r="DK646"/>
    </row>
    <row r="647" spans="13:115" x14ac:dyDescent="0.25">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c r="BR647"/>
      <c r="BS647"/>
      <c r="BT647"/>
      <c r="BU647"/>
      <c r="BV647"/>
      <c r="BW647"/>
      <c r="BX647"/>
      <c r="BY647"/>
      <c r="BZ647"/>
      <c r="CA647"/>
      <c r="CB647"/>
      <c r="CC647"/>
      <c r="CD647"/>
      <c r="CE647"/>
      <c r="CF647"/>
      <c r="CG647"/>
      <c r="CH647"/>
      <c r="CI647"/>
      <c r="CJ647"/>
      <c r="CK647"/>
      <c r="CL647"/>
      <c r="CM647"/>
      <c r="CN647"/>
      <c r="CO647"/>
      <c r="CP647"/>
      <c r="CQ647"/>
      <c r="CR647"/>
      <c r="CS647"/>
      <c r="CT647"/>
      <c r="CU647"/>
      <c r="CV647"/>
      <c r="CW647"/>
      <c r="CX647"/>
      <c r="CY647"/>
      <c r="CZ647"/>
      <c r="DA647"/>
      <c r="DB647"/>
      <c r="DC647"/>
      <c r="DD647"/>
      <c r="DE647"/>
      <c r="DF647"/>
      <c r="DG647"/>
      <c r="DH647"/>
      <c r="DI647"/>
      <c r="DJ647"/>
      <c r="DK647"/>
    </row>
    <row r="648" spans="13:115" x14ac:dyDescent="0.25">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c r="BY648"/>
      <c r="BZ648"/>
      <c r="CA648"/>
      <c r="CB648"/>
      <c r="CC648"/>
      <c r="CD648"/>
      <c r="CE648"/>
      <c r="CF648"/>
      <c r="CG648"/>
      <c r="CH648"/>
      <c r="CI648"/>
      <c r="CJ648"/>
      <c r="CK648"/>
      <c r="CL648"/>
      <c r="CM648"/>
      <c r="CN648"/>
      <c r="CO648"/>
      <c r="CP648"/>
      <c r="CQ648"/>
      <c r="CR648"/>
      <c r="CS648"/>
      <c r="CT648"/>
      <c r="CU648"/>
      <c r="CV648"/>
      <c r="CW648"/>
      <c r="CX648"/>
      <c r="CY648"/>
      <c r="CZ648"/>
      <c r="DA648"/>
      <c r="DB648"/>
      <c r="DC648"/>
      <c r="DD648"/>
      <c r="DE648"/>
      <c r="DF648"/>
      <c r="DG648"/>
      <c r="DH648"/>
      <c r="DI648"/>
      <c r="DJ648"/>
      <c r="DK648"/>
    </row>
    <row r="649" spans="13:115" x14ac:dyDescent="0.25">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c r="BO649"/>
      <c r="BP649"/>
      <c r="BQ649"/>
      <c r="BR649"/>
      <c r="BS649"/>
      <c r="BT649"/>
      <c r="BU649"/>
      <c r="BV649"/>
      <c r="BW649"/>
      <c r="BX649"/>
      <c r="BY649"/>
      <c r="BZ649"/>
      <c r="CA649"/>
      <c r="CB649"/>
      <c r="CC649"/>
      <c r="CD649"/>
      <c r="CE649"/>
      <c r="CF649"/>
      <c r="CG649"/>
      <c r="CH649"/>
      <c r="CI649"/>
      <c r="CJ649"/>
      <c r="CK649"/>
      <c r="CL649"/>
      <c r="CM649"/>
      <c r="CN649"/>
      <c r="CO649"/>
      <c r="CP649"/>
      <c r="CQ649"/>
      <c r="CR649"/>
      <c r="CS649"/>
      <c r="CT649"/>
      <c r="CU649"/>
      <c r="CV649"/>
      <c r="CW649"/>
      <c r="CX649"/>
      <c r="CY649"/>
      <c r="CZ649"/>
      <c r="DA649"/>
      <c r="DB649"/>
      <c r="DC649"/>
      <c r="DD649"/>
      <c r="DE649"/>
      <c r="DF649"/>
      <c r="DG649"/>
      <c r="DH649"/>
      <c r="DI649"/>
      <c r="DJ649"/>
      <c r="DK649"/>
    </row>
    <row r="650" spans="13:115" x14ac:dyDescent="0.25">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c r="CV650"/>
      <c r="CW650"/>
      <c r="CX650"/>
      <c r="CY650"/>
      <c r="CZ650"/>
      <c r="DA650"/>
      <c r="DB650"/>
      <c r="DC650"/>
      <c r="DD650"/>
      <c r="DE650"/>
      <c r="DF650"/>
      <c r="DG650"/>
      <c r="DH650"/>
      <c r="DI650"/>
      <c r="DJ650"/>
      <c r="DK650"/>
    </row>
    <row r="651" spans="13:115" x14ac:dyDescent="0.25">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c r="BR651"/>
      <c r="BS651"/>
      <c r="BT651"/>
      <c r="BU651"/>
      <c r="BV651"/>
      <c r="BW651"/>
      <c r="BX651"/>
      <c r="BY651"/>
      <c r="BZ651"/>
      <c r="CA651"/>
      <c r="CB651"/>
      <c r="CC651"/>
      <c r="CD651"/>
      <c r="CE651"/>
      <c r="CF651"/>
      <c r="CG651"/>
      <c r="CH651"/>
      <c r="CI651"/>
      <c r="CJ651"/>
      <c r="CK651"/>
      <c r="CL651"/>
      <c r="CM651"/>
      <c r="CN651"/>
      <c r="CO651"/>
      <c r="CP651"/>
      <c r="CQ651"/>
      <c r="CR651"/>
      <c r="CS651"/>
      <c r="CT651"/>
      <c r="CU651"/>
      <c r="CV651"/>
      <c r="CW651"/>
      <c r="CX651"/>
      <c r="CY651"/>
      <c r="CZ651"/>
      <c r="DA651"/>
      <c r="DB651"/>
      <c r="DC651"/>
      <c r="DD651"/>
      <c r="DE651"/>
      <c r="DF651"/>
      <c r="DG651"/>
      <c r="DH651"/>
      <c r="DI651"/>
      <c r="DJ651"/>
      <c r="DK651"/>
    </row>
    <row r="652" spans="13:115" x14ac:dyDescent="0.25">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c r="BY652"/>
      <c r="BZ652"/>
      <c r="CA652"/>
      <c r="CB652"/>
      <c r="CC652"/>
      <c r="CD652"/>
      <c r="CE652"/>
      <c r="CF652"/>
      <c r="CG652"/>
      <c r="CH652"/>
      <c r="CI652"/>
      <c r="CJ652"/>
      <c r="CK652"/>
      <c r="CL652"/>
      <c r="CM652"/>
      <c r="CN652"/>
      <c r="CO652"/>
      <c r="CP652"/>
      <c r="CQ652"/>
      <c r="CR652"/>
      <c r="CS652"/>
      <c r="CT652"/>
      <c r="CU652"/>
      <c r="CV652"/>
      <c r="CW652"/>
      <c r="CX652"/>
      <c r="CY652"/>
      <c r="CZ652"/>
      <c r="DA652"/>
      <c r="DB652"/>
      <c r="DC652"/>
      <c r="DD652"/>
      <c r="DE652"/>
      <c r="DF652"/>
      <c r="DG652"/>
      <c r="DH652"/>
      <c r="DI652"/>
      <c r="DJ652"/>
      <c r="DK652"/>
    </row>
    <row r="653" spans="13:115" x14ac:dyDescent="0.25">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c r="CV653"/>
      <c r="CW653"/>
      <c r="CX653"/>
      <c r="CY653"/>
      <c r="CZ653"/>
      <c r="DA653"/>
      <c r="DB653"/>
      <c r="DC653"/>
      <c r="DD653"/>
      <c r="DE653"/>
      <c r="DF653"/>
      <c r="DG653"/>
      <c r="DH653"/>
      <c r="DI653"/>
      <c r="DJ653"/>
      <c r="DK653"/>
    </row>
    <row r="654" spans="13:115" x14ac:dyDescent="0.25">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c r="BY654"/>
      <c r="BZ654"/>
      <c r="CA654"/>
      <c r="CB654"/>
      <c r="CC654"/>
      <c r="CD654"/>
      <c r="CE654"/>
      <c r="CF654"/>
      <c r="CG654"/>
      <c r="CH654"/>
      <c r="CI654"/>
      <c r="CJ654"/>
      <c r="CK654"/>
      <c r="CL654"/>
      <c r="CM654"/>
      <c r="CN654"/>
      <c r="CO654"/>
      <c r="CP654"/>
      <c r="CQ654"/>
      <c r="CR654"/>
      <c r="CS654"/>
      <c r="CT654"/>
      <c r="CU654"/>
      <c r="CV654"/>
      <c r="CW654"/>
      <c r="CX654"/>
      <c r="CY654"/>
      <c r="CZ654"/>
      <c r="DA654"/>
      <c r="DB654"/>
      <c r="DC654"/>
      <c r="DD654"/>
      <c r="DE654"/>
      <c r="DF654"/>
      <c r="DG654"/>
      <c r="DH654"/>
      <c r="DI654"/>
      <c r="DJ654"/>
      <c r="DK654"/>
    </row>
    <row r="655" spans="13:115" x14ac:dyDescent="0.2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c r="BR655"/>
      <c r="BS655"/>
      <c r="BT655"/>
      <c r="BU655"/>
      <c r="BV655"/>
      <c r="BW655"/>
      <c r="BX655"/>
      <c r="BY655"/>
      <c r="BZ655"/>
      <c r="CA655"/>
      <c r="CB655"/>
      <c r="CC655"/>
      <c r="CD655"/>
      <c r="CE655"/>
      <c r="CF655"/>
      <c r="CG655"/>
      <c r="CH655"/>
      <c r="CI655"/>
      <c r="CJ655"/>
      <c r="CK655"/>
      <c r="CL655"/>
      <c r="CM655"/>
      <c r="CN655"/>
      <c r="CO655"/>
      <c r="CP655"/>
      <c r="CQ655"/>
      <c r="CR655"/>
      <c r="CS655"/>
      <c r="CT655"/>
      <c r="CU655"/>
      <c r="CV655"/>
      <c r="CW655"/>
      <c r="CX655"/>
      <c r="CY655"/>
      <c r="CZ655"/>
      <c r="DA655"/>
      <c r="DB655"/>
      <c r="DC655"/>
      <c r="DD655"/>
      <c r="DE655"/>
      <c r="DF655"/>
      <c r="DG655"/>
      <c r="DH655"/>
      <c r="DI655"/>
      <c r="DJ655"/>
      <c r="DK655"/>
    </row>
    <row r="656" spans="13:115" x14ac:dyDescent="0.25">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c r="BR656"/>
      <c r="BS656"/>
      <c r="BT656"/>
      <c r="BU656"/>
      <c r="BV656"/>
      <c r="BW656"/>
      <c r="BX656"/>
      <c r="BY656"/>
      <c r="BZ656"/>
      <c r="CA656"/>
      <c r="CB656"/>
      <c r="CC656"/>
      <c r="CD656"/>
      <c r="CE656"/>
      <c r="CF656"/>
      <c r="CG656"/>
      <c r="CH656"/>
      <c r="CI656"/>
      <c r="CJ656"/>
      <c r="CK656"/>
      <c r="CL656"/>
      <c r="CM656"/>
      <c r="CN656"/>
      <c r="CO656"/>
      <c r="CP656"/>
      <c r="CQ656"/>
      <c r="CR656"/>
      <c r="CS656"/>
      <c r="CT656"/>
      <c r="CU656"/>
      <c r="CV656"/>
      <c r="CW656"/>
      <c r="CX656"/>
      <c r="CY656"/>
      <c r="CZ656"/>
      <c r="DA656"/>
      <c r="DB656"/>
      <c r="DC656"/>
      <c r="DD656"/>
      <c r="DE656"/>
      <c r="DF656"/>
      <c r="DG656"/>
      <c r="DH656"/>
      <c r="DI656"/>
      <c r="DJ656"/>
      <c r="DK656"/>
    </row>
    <row r="657" spans="13:115" x14ac:dyDescent="0.25">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c r="BS657"/>
      <c r="BT657"/>
      <c r="BU657"/>
      <c r="BV657"/>
      <c r="BW657"/>
      <c r="BX657"/>
      <c r="BY657"/>
      <c r="BZ657"/>
      <c r="CA657"/>
      <c r="CB657"/>
      <c r="CC657"/>
      <c r="CD657"/>
      <c r="CE657"/>
      <c r="CF657"/>
      <c r="CG657"/>
      <c r="CH657"/>
      <c r="CI657"/>
      <c r="CJ657"/>
      <c r="CK657"/>
      <c r="CL657"/>
      <c r="CM657"/>
      <c r="CN657"/>
      <c r="CO657"/>
      <c r="CP657"/>
      <c r="CQ657"/>
      <c r="CR657"/>
      <c r="CS657"/>
      <c r="CT657"/>
      <c r="CU657"/>
      <c r="CV657"/>
      <c r="CW657"/>
      <c r="CX657"/>
      <c r="CY657"/>
      <c r="CZ657"/>
      <c r="DA657"/>
      <c r="DB657"/>
      <c r="DC657"/>
      <c r="DD657"/>
      <c r="DE657"/>
      <c r="DF657"/>
      <c r="DG657"/>
      <c r="DH657"/>
      <c r="DI657"/>
      <c r="DJ657"/>
      <c r="DK657"/>
    </row>
    <row r="658" spans="13:115" x14ac:dyDescent="0.25">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c r="BM658"/>
      <c r="BN658"/>
      <c r="BO658"/>
      <c r="BP658"/>
      <c r="BQ658"/>
      <c r="BR658"/>
      <c r="BS658"/>
      <c r="BT658"/>
      <c r="BU658"/>
      <c r="BV658"/>
      <c r="BW658"/>
      <c r="BX658"/>
      <c r="BY658"/>
      <c r="BZ658"/>
      <c r="CA658"/>
      <c r="CB658"/>
      <c r="CC658"/>
      <c r="CD658"/>
      <c r="CE658"/>
      <c r="CF658"/>
      <c r="CG658"/>
      <c r="CH658"/>
      <c r="CI658"/>
      <c r="CJ658"/>
      <c r="CK658"/>
      <c r="CL658"/>
      <c r="CM658"/>
      <c r="CN658"/>
      <c r="CO658"/>
      <c r="CP658"/>
      <c r="CQ658"/>
      <c r="CR658"/>
      <c r="CS658"/>
      <c r="CT658"/>
      <c r="CU658"/>
      <c r="CV658"/>
      <c r="CW658"/>
      <c r="CX658"/>
      <c r="CY658"/>
      <c r="CZ658"/>
      <c r="DA658"/>
      <c r="DB658"/>
      <c r="DC658"/>
      <c r="DD658"/>
      <c r="DE658"/>
      <c r="DF658"/>
      <c r="DG658"/>
      <c r="DH658"/>
      <c r="DI658"/>
      <c r="DJ658"/>
      <c r="DK658"/>
    </row>
    <row r="659" spans="13:115" x14ac:dyDescent="0.25">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c r="BY659"/>
      <c r="BZ659"/>
      <c r="CA659"/>
      <c r="CB659"/>
      <c r="CC659"/>
      <c r="CD659"/>
      <c r="CE659"/>
      <c r="CF659"/>
      <c r="CG659"/>
      <c r="CH659"/>
      <c r="CI659"/>
      <c r="CJ659"/>
      <c r="CK659"/>
      <c r="CL659"/>
      <c r="CM659"/>
      <c r="CN659"/>
      <c r="CO659"/>
      <c r="CP659"/>
      <c r="CQ659"/>
      <c r="CR659"/>
      <c r="CS659"/>
      <c r="CT659"/>
      <c r="CU659"/>
      <c r="CV659"/>
      <c r="CW659"/>
      <c r="CX659"/>
      <c r="CY659"/>
      <c r="CZ659"/>
      <c r="DA659"/>
      <c r="DB659"/>
      <c r="DC659"/>
      <c r="DD659"/>
      <c r="DE659"/>
      <c r="DF659"/>
      <c r="DG659"/>
      <c r="DH659"/>
      <c r="DI659"/>
      <c r="DJ659"/>
      <c r="DK659"/>
    </row>
    <row r="660" spans="13:115" x14ac:dyDescent="0.25">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c r="BM660"/>
      <c r="BN660"/>
      <c r="BO660"/>
      <c r="BP660"/>
      <c r="BQ660"/>
      <c r="BR660"/>
      <c r="BS660"/>
      <c r="BT660"/>
      <c r="BU660"/>
      <c r="BV660"/>
      <c r="BW660"/>
      <c r="BX660"/>
      <c r="BY660"/>
      <c r="BZ660"/>
      <c r="CA660"/>
      <c r="CB660"/>
      <c r="CC660"/>
      <c r="CD660"/>
      <c r="CE660"/>
      <c r="CF660"/>
      <c r="CG660"/>
      <c r="CH660"/>
      <c r="CI660"/>
      <c r="CJ660"/>
      <c r="CK660"/>
      <c r="CL660"/>
      <c r="CM660"/>
      <c r="CN660"/>
      <c r="CO660"/>
      <c r="CP660"/>
      <c r="CQ660"/>
      <c r="CR660"/>
      <c r="CS660"/>
      <c r="CT660"/>
      <c r="CU660"/>
      <c r="CV660"/>
      <c r="CW660"/>
      <c r="CX660"/>
      <c r="CY660"/>
      <c r="CZ660"/>
      <c r="DA660"/>
      <c r="DB660"/>
      <c r="DC660"/>
      <c r="DD660"/>
      <c r="DE660"/>
      <c r="DF660"/>
      <c r="DG660"/>
      <c r="DH660"/>
      <c r="DI660"/>
      <c r="DJ660"/>
      <c r="DK660"/>
    </row>
    <row r="661" spans="13:115" x14ac:dyDescent="0.25">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c r="BS661"/>
      <c r="BT661"/>
      <c r="BU661"/>
      <c r="BV661"/>
      <c r="BW661"/>
      <c r="BX661"/>
      <c r="BY661"/>
      <c r="BZ661"/>
      <c r="CA661"/>
      <c r="CB661"/>
      <c r="CC661"/>
      <c r="CD661"/>
      <c r="CE661"/>
      <c r="CF661"/>
      <c r="CG661"/>
      <c r="CH661"/>
      <c r="CI661"/>
      <c r="CJ661"/>
      <c r="CK661"/>
      <c r="CL661"/>
      <c r="CM661"/>
      <c r="CN661"/>
      <c r="CO661"/>
      <c r="CP661"/>
      <c r="CQ661"/>
      <c r="CR661"/>
      <c r="CS661"/>
      <c r="CT661"/>
      <c r="CU661"/>
      <c r="CV661"/>
      <c r="CW661"/>
      <c r="CX661"/>
      <c r="CY661"/>
      <c r="CZ661"/>
      <c r="DA661"/>
      <c r="DB661"/>
      <c r="DC661"/>
      <c r="DD661"/>
      <c r="DE661"/>
      <c r="DF661"/>
      <c r="DG661"/>
      <c r="DH661"/>
      <c r="DI661"/>
      <c r="DJ661"/>
      <c r="DK661"/>
    </row>
    <row r="662" spans="13:115" x14ac:dyDescent="0.25">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c r="BM662"/>
      <c r="BN662"/>
      <c r="BO662"/>
      <c r="BP662"/>
      <c r="BQ662"/>
      <c r="BR662"/>
      <c r="BS662"/>
      <c r="BT662"/>
      <c r="BU662"/>
      <c r="BV662"/>
      <c r="BW662"/>
      <c r="BX662"/>
      <c r="BY662"/>
      <c r="BZ662"/>
      <c r="CA662"/>
      <c r="CB662"/>
      <c r="CC662"/>
      <c r="CD662"/>
      <c r="CE662"/>
      <c r="CF662"/>
      <c r="CG662"/>
      <c r="CH662"/>
      <c r="CI662"/>
      <c r="CJ662"/>
      <c r="CK662"/>
      <c r="CL662"/>
      <c r="CM662"/>
      <c r="CN662"/>
      <c r="CO662"/>
      <c r="CP662"/>
      <c r="CQ662"/>
      <c r="CR662"/>
      <c r="CS662"/>
      <c r="CT662"/>
      <c r="CU662"/>
      <c r="CV662"/>
      <c r="CW662"/>
      <c r="CX662"/>
      <c r="CY662"/>
      <c r="CZ662"/>
      <c r="DA662"/>
      <c r="DB662"/>
      <c r="DC662"/>
      <c r="DD662"/>
      <c r="DE662"/>
      <c r="DF662"/>
      <c r="DG662"/>
      <c r="DH662"/>
      <c r="DI662"/>
      <c r="DJ662"/>
      <c r="DK662"/>
    </row>
    <row r="663" spans="13:115" x14ac:dyDescent="0.25">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c r="BY663"/>
      <c r="BZ663"/>
      <c r="CA663"/>
      <c r="CB663"/>
      <c r="CC663"/>
      <c r="CD663"/>
      <c r="CE663"/>
      <c r="CF663"/>
      <c r="CG663"/>
      <c r="CH663"/>
      <c r="CI663"/>
      <c r="CJ663"/>
      <c r="CK663"/>
      <c r="CL663"/>
      <c r="CM663"/>
      <c r="CN663"/>
      <c r="CO663"/>
      <c r="CP663"/>
      <c r="CQ663"/>
      <c r="CR663"/>
      <c r="CS663"/>
      <c r="CT663"/>
      <c r="CU663"/>
      <c r="CV663"/>
      <c r="CW663"/>
      <c r="CX663"/>
      <c r="CY663"/>
      <c r="CZ663"/>
      <c r="DA663"/>
      <c r="DB663"/>
      <c r="DC663"/>
      <c r="DD663"/>
      <c r="DE663"/>
      <c r="DF663"/>
      <c r="DG663"/>
      <c r="DH663"/>
      <c r="DI663"/>
      <c r="DJ663"/>
      <c r="DK663"/>
    </row>
    <row r="664" spans="13:115" x14ac:dyDescent="0.25">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c r="BP664"/>
      <c r="BQ664"/>
      <c r="BR664"/>
      <c r="BS664"/>
      <c r="BT664"/>
      <c r="BU664"/>
      <c r="BV664"/>
      <c r="BW664"/>
      <c r="BX664"/>
      <c r="BY664"/>
      <c r="BZ664"/>
      <c r="CA664"/>
      <c r="CB664"/>
      <c r="CC664"/>
      <c r="CD664"/>
      <c r="CE664"/>
      <c r="CF664"/>
      <c r="CG664"/>
      <c r="CH664"/>
      <c r="CI664"/>
      <c r="CJ664"/>
      <c r="CK664"/>
      <c r="CL664"/>
      <c r="CM664"/>
      <c r="CN664"/>
      <c r="CO664"/>
      <c r="CP664"/>
      <c r="CQ664"/>
      <c r="CR664"/>
      <c r="CS664"/>
      <c r="CT664"/>
      <c r="CU664"/>
      <c r="CV664"/>
      <c r="CW664"/>
      <c r="CX664"/>
      <c r="CY664"/>
      <c r="CZ664"/>
      <c r="DA664"/>
      <c r="DB664"/>
      <c r="DC664"/>
      <c r="DD664"/>
      <c r="DE664"/>
      <c r="DF664"/>
      <c r="DG664"/>
      <c r="DH664"/>
      <c r="DI664"/>
      <c r="DJ664"/>
      <c r="DK664"/>
    </row>
    <row r="665" spans="13:115" x14ac:dyDescent="0.2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c r="BY665"/>
      <c r="BZ665"/>
      <c r="CA665"/>
      <c r="CB665"/>
      <c r="CC665"/>
      <c r="CD665"/>
      <c r="CE665"/>
      <c r="CF665"/>
      <c r="CG665"/>
      <c r="CH665"/>
      <c r="CI665"/>
      <c r="CJ665"/>
      <c r="CK665"/>
      <c r="CL665"/>
      <c r="CM665"/>
      <c r="CN665"/>
      <c r="CO665"/>
      <c r="CP665"/>
      <c r="CQ665"/>
      <c r="CR665"/>
      <c r="CS665"/>
      <c r="CT665"/>
      <c r="CU665"/>
      <c r="CV665"/>
      <c r="CW665"/>
      <c r="CX665"/>
      <c r="CY665"/>
      <c r="CZ665"/>
      <c r="DA665"/>
      <c r="DB665"/>
      <c r="DC665"/>
      <c r="DD665"/>
      <c r="DE665"/>
      <c r="DF665"/>
      <c r="DG665"/>
      <c r="DH665"/>
      <c r="DI665"/>
      <c r="DJ665"/>
      <c r="DK665"/>
    </row>
    <row r="666" spans="13:115" x14ac:dyDescent="0.25">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c r="BR666"/>
      <c r="BS666"/>
      <c r="BT666"/>
      <c r="BU666"/>
      <c r="BV666"/>
      <c r="BW666"/>
      <c r="BX666"/>
      <c r="BY666"/>
      <c r="BZ666"/>
      <c r="CA666"/>
      <c r="CB666"/>
      <c r="CC666"/>
      <c r="CD666"/>
      <c r="CE666"/>
      <c r="CF666"/>
      <c r="CG666"/>
      <c r="CH666"/>
      <c r="CI666"/>
      <c r="CJ666"/>
      <c r="CK666"/>
      <c r="CL666"/>
      <c r="CM666"/>
      <c r="CN666"/>
      <c r="CO666"/>
      <c r="CP666"/>
      <c r="CQ666"/>
      <c r="CR666"/>
      <c r="CS666"/>
      <c r="CT666"/>
      <c r="CU666"/>
      <c r="CV666"/>
      <c r="CW666"/>
      <c r="CX666"/>
      <c r="CY666"/>
      <c r="CZ666"/>
      <c r="DA666"/>
      <c r="DB666"/>
      <c r="DC666"/>
      <c r="DD666"/>
      <c r="DE666"/>
      <c r="DF666"/>
      <c r="DG666"/>
      <c r="DH666"/>
      <c r="DI666"/>
      <c r="DJ666"/>
      <c r="DK666"/>
    </row>
    <row r="667" spans="13:115" x14ac:dyDescent="0.25">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c r="BM667"/>
      <c r="BN667"/>
      <c r="BO667"/>
      <c r="BP667"/>
      <c r="BQ667"/>
      <c r="BR667"/>
      <c r="BS667"/>
      <c r="BT667"/>
      <c r="BU667"/>
      <c r="BV667"/>
      <c r="BW667"/>
      <c r="BX667"/>
      <c r="BY667"/>
      <c r="BZ667"/>
      <c r="CA667"/>
      <c r="CB667"/>
      <c r="CC667"/>
      <c r="CD667"/>
      <c r="CE667"/>
      <c r="CF667"/>
      <c r="CG667"/>
      <c r="CH667"/>
      <c r="CI667"/>
      <c r="CJ667"/>
      <c r="CK667"/>
      <c r="CL667"/>
      <c r="CM667"/>
      <c r="CN667"/>
      <c r="CO667"/>
      <c r="CP667"/>
      <c r="CQ667"/>
      <c r="CR667"/>
      <c r="CS667"/>
      <c r="CT667"/>
      <c r="CU667"/>
      <c r="CV667"/>
      <c r="CW667"/>
      <c r="CX667"/>
      <c r="CY667"/>
      <c r="CZ667"/>
      <c r="DA667"/>
      <c r="DB667"/>
      <c r="DC667"/>
      <c r="DD667"/>
      <c r="DE667"/>
      <c r="DF667"/>
      <c r="DG667"/>
      <c r="DH667"/>
      <c r="DI667"/>
      <c r="DJ667"/>
      <c r="DK667"/>
    </row>
    <row r="668" spans="13:115" x14ac:dyDescent="0.25">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c r="BP668"/>
      <c r="BQ668"/>
      <c r="BR668"/>
      <c r="BS668"/>
      <c r="BT668"/>
      <c r="BU668"/>
      <c r="BV668"/>
      <c r="BW668"/>
      <c r="BX668"/>
      <c r="BY668"/>
      <c r="BZ668"/>
      <c r="CA668"/>
      <c r="CB668"/>
      <c r="CC668"/>
      <c r="CD668"/>
      <c r="CE668"/>
      <c r="CF668"/>
      <c r="CG668"/>
      <c r="CH668"/>
      <c r="CI668"/>
      <c r="CJ668"/>
      <c r="CK668"/>
      <c r="CL668"/>
      <c r="CM668"/>
      <c r="CN668"/>
      <c r="CO668"/>
      <c r="CP668"/>
      <c r="CQ668"/>
      <c r="CR668"/>
      <c r="CS668"/>
      <c r="CT668"/>
      <c r="CU668"/>
      <c r="CV668"/>
      <c r="CW668"/>
      <c r="CX668"/>
      <c r="CY668"/>
      <c r="CZ668"/>
      <c r="DA668"/>
      <c r="DB668"/>
      <c r="DC668"/>
      <c r="DD668"/>
      <c r="DE668"/>
      <c r="DF668"/>
      <c r="DG668"/>
      <c r="DH668"/>
      <c r="DI668"/>
      <c r="DJ668"/>
      <c r="DK668"/>
    </row>
    <row r="669" spans="13:115" x14ac:dyDescent="0.25">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c r="BS669"/>
      <c r="BT669"/>
      <c r="BU669"/>
      <c r="BV669"/>
      <c r="BW669"/>
      <c r="BX669"/>
      <c r="BY669"/>
      <c r="BZ669"/>
      <c r="CA669"/>
      <c r="CB669"/>
      <c r="CC669"/>
      <c r="CD669"/>
      <c r="CE669"/>
      <c r="CF669"/>
      <c r="CG669"/>
      <c r="CH669"/>
      <c r="CI669"/>
      <c r="CJ669"/>
      <c r="CK669"/>
      <c r="CL669"/>
      <c r="CM669"/>
      <c r="CN669"/>
      <c r="CO669"/>
      <c r="CP669"/>
      <c r="CQ669"/>
      <c r="CR669"/>
      <c r="CS669"/>
      <c r="CT669"/>
      <c r="CU669"/>
      <c r="CV669"/>
      <c r="CW669"/>
      <c r="CX669"/>
      <c r="CY669"/>
      <c r="CZ669"/>
      <c r="DA669"/>
      <c r="DB669"/>
      <c r="DC669"/>
      <c r="DD669"/>
      <c r="DE669"/>
      <c r="DF669"/>
      <c r="DG669"/>
      <c r="DH669"/>
      <c r="DI669"/>
      <c r="DJ669"/>
      <c r="DK669"/>
    </row>
    <row r="670" spans="13:115" x14ac:dyDescent="0.25">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c r="BY670"/>
      <c r="BZ670"/>
      <c r="CA670"/>
      <c r="CB670"/>
      <c r="CC670"/>
      <c r="CD670"/>
      <c r="CE670"/>
      <c r="CF670"/>
      <c r="CG670"/>
      <c r="CH670"/>
      <c r="CI670"/>
      <c r="CJ670"/>
      <c r="CK670"/>
      <c r="CL670"/>
      <c r="CM670"/>
      <c r="CN670"/>
      <c r="CO670"/>
      <c r="CP670"/>
      <c r="CQ670"/>
      <c r="CR670"/>
      <c r="CS670"/>
      <c r="CT670"/>
      <c r="CU670"/>
      <c r="CV670"/>
      <c r="CW670"/>
      <c r="CX670"/>
      <c r="CY670"/>
      <c r="CZ670"/>
      <c r="DA670"/>
      <c r="DB670"/>
      <c r="DC670"/>
      <c r="DD670"/>
      <c r="DE670"/>
      <c r="DF670"/>
      <c r="DG670"/>
      <c r="DH670"/>
      <c r="DI670"/>
      <c r="DJ670"/>
      <c r="DK670"/>
    </row>
    <row r="671" spans="13:115" x14ac:dyDescent="0.25">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c r="CV671"/>
      <c r="CW671"/>
      <c r="CX671"/>
      <c r="CY671"/>
      <c r="CZ671"/>
      <c r="DA671"/>
      <c r="DB671"/>
      <c r="DC671"/>
      <c r="DD671"/>
      <c r="DE671"/>
      <c r="DF671"/>
      <c r="DG671"/>
      <c r="DH671"/>
      <c r="DI671"/>
      <c r="DJ671"/>
      <c r="DK671"/>
    </row>
    <row r="672" spans="13:115" x14ac:dyDescent="0.25">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c r="BY672"/>
      <c r="BZ672"/>
      <c r="CA672"/>
      <c r="CB672"/>
      <c r="CC672"/>
      <c r="CD672"/>
      <c r="CE672"/>
      <c r="CF672"/>
      <c r="CG672"/>
      <c r="CH672"/>
      <c r="CI672"/>
      <c r="CJ672"/>
      <c r="CK672"/>
      <c r="CL672"/>
      <c r="CM672"/>
      <c r="CN672"/>
      <c r="CO672"/>
      <c r="CP672"/>
      <c r="CQ672"/>
      <c r="CR672"/>
      <c r="CS672"/>
      <c r="CT672"/>
      <c r="CU672"/>
      <c r="CV672"/>
      <c r="CW672"/>
      <c r="CX672"/>
      <c r="CY672"/>
      <c r="CZ672"/>
      <c r="DA672"/>
      <c r="DB672"/>
      <c r="DC672"/>
      <c r="DD672"/>
      <c r="DE672"/>
      <c r="DF672"/>
      <c r="DG672"/>
      <c r="DH672"/>
      <c r="DI672"/>
      <c r="DJ672"/>
      <c r="DK672"/>
    </row>
    <row r="673" spans="13:115" x14ac:dyDescent="0.25">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c r="CV673"/>
      <c r="CW673"/>
      <c r="CX673"/>
      <c r="CY673"/>
      <c r="CZ673"/>
      <c r="DA673"/>
      <c r="DB673"/>
      <c r="DC673"/>
      <c r="DD673"/>
      <c r="DE673"/>
      <c r="DF673"/>
      <c r="DG673"/>
      <c r="DH673"/>
      <c r="DI673"/>
      <c r="DJ673"/>
      <c r="DK673"/>
    </row>
    <row r="674" spans="13:115" x14ac:dyDescent="0.25">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c r="BS674"/>
      <c r="BT674"/>
      <c r="BU674"/>
      <c r="BV674"/>
      <c r="BW674"/>
      <c r="BX674"/>
      <c r="BY674"/>
      <c r="BZ674"/>
      <c r="CA674"/>
      <c r="CB674"/>
      <c r="CC674"/>
      <c r="CD674"/>
      <c r="CE674"/>
      <c r="CF674"/>
      <c r="CG674"/>
      <c r="CH674"/>
      <c r="CI674"/>
      <c r="CJ674"/>
      <c r="CK674"/>
      <c r="CL674"/>
      <c r="CM674"/>
      <c r="CN674"/>
      <c r="CO674"/>
      <c r="CP674"/>
      <c r="CQ674"/>
      <c r="CR674"/>
      <c r="CS674"/>
      <c r="CT674"/>
      <c r="CU674"/>
      <c r="CV674"/>
      <c r="CW674"/>
      <c r="CX674"/>
      <c r="CY674"/>
      <c r="CZ674"/>
      <c r="DA674"/>
      <c r="DB674"/>
      <c r="DC674"/>
      <c r="DD674"/>
      <c r="DE674"/>
      <c r="DF674"/>
      <c r="DG674"/>
      <c r="DH674"/>
      <c r="DI674"/>
      <c r="DJ674"/>
      <c r="DK674"/>
    </row>
    <row r="675" spans="13:115" x14ac:dyDescent="0.2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c r="BR675"/>
      <c r="BS675"/>
      <c r="BT675"/>
      <c r="BU675"/>
      <c r="BV675"/>
      <c r="BW675"/>
      <c r="BX675"/>
      <c r="BY675"/>
      <c r="BZ675"/>
      <c r="CA675"/>
      <c r="CB675"/>
      <c r="CC675"/>
      <c r="CD675"/>
      <c r="CE675"/>
      <c r="CF675"/>
      <c r="CG675"/>
      <c r="CH675"/>
      <c r="CI675"/>
      <c r="CJ675"/>
      <c r="CK675"/>
      <c r="CL675"/>
      <c r="CM675"/>
      <c r="CN675"/>
      <c r="CO675"/>
      <c r="CP675"/>
      <c r="CQ675"/>
      <c r="CR675"/>
      <c r="CS675"/>
      <c r="CT675"/>
      <c r="CU675"/>
      <c r="CV675"/>
      <c r="CW675"/>
      <c r="CX675"/>
      <c r="CY675"/>
      <c r="CZ675"/>
      <c r="DA675"/>
      <c r="DB675"/>
      <c r="DC675"/>
      <c r="DD675"/>
      <c r="DE675"/>
      <c r="DF675"/>
      <c r="DG675"/>
      <c r="DH675"/>
      <c r="DI675"/>
      <c r="DJ675"/>
      <c r="DK675"/>
    </row>
    <row r="676" spans="13:115" x14ac:dyDescent="0.25">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c r="BY676"/>
      <c r="BZ676"/>
      <c r="CA676"/>
      <c r="CB676"/>
      <c r="CC676"/>
      <c r="CD676"/>
      <c r="CE676"/>
      <c r="CF676"/>
      <c r="CG676"/>
      <c r="CH676"/>
      <c r="CI676"/>
      <c r="CJ676"/>
      <c r="CK676"/>
      <c r="CL676"/>
      <c r="CM676"/>
      <c r="CN676"/>
      <c r="CO676"/>
      <c r="CP676"/>
      <c r="CQ676"/>
      <c r="CR676"/>
      <c r="CS676"/>
      <c r="CT676"/>
      <c r="CU676"/>
      <c r="CV676"/>
      <c r="CW676"/>
      <c r="CX676"/>
      <c r="CY676"/>
      <c r="CZ676"/>
      <c r="DA676"/>
      <c r="DB676"/>
      <c r="DC676"/>
      <c r="DD676"/>
      <c r="DE676"/>
      <c r="DF676"/>
      <c r="DG676"/>
      <c r="DH676"/>
      <c r="DI676"/>
      <c r="DJ676"/>
      <c r="DK676"/>
    </row>
    <row r="677" spans="13:115" x14ac:dyDescent="0.25">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c r="BP677"/>
      <c r="BQ677"/>
      <c r="BR677"/>
      <c r="BS677"/>
      <c r="BT677"/>
      <c r="BU677"/>
      <c r="BV677"/>
      <c r="BW677"/>
      <c r="BX677"/>
      <c r="BY677"/>
      <c r="BZ677"/>
      <c r="CA677"/>
      <c r="CB677"/>
      <c r="CC677"/>
      <c r="CD677"/>
      <c r="CE677"/>
      <c r="CF677"/>
      <c r="CG677"/>
      <c r="CH677"/>
      <c r="CI677"/>
      <c r="CJ677"/>
      <c r="CK677"/>
      <c r="CL677"/>
      <c r="CM677"/>
      <c r="CN677"/>
      <c r="CO677"/>
      <c r="CP677"/>
      <c r="CQ677"/>
      <c r="CR677"/>
      <c r="CS677"/>
      <c r="CT677"/>
      <c r="CU677"/>
      <c r="CV677"/>
      <c r="CW677"/>
      <c r="CX677"/>
      <c r="CY677"/>
      <c r="CZ677"/>
      <c r="DA677"/>
      <c r="DB677"/>
      <c r="DC677"/>
      <c r="DD677"/>
      <c r="DE677"/>
      <c r="DF677"/>
      <c r="DG677"/>
      <c r="DH677"/>
      <c r="DI677"/>
      <c r="DJ677"/>
      <c r="DK677"/>
    </row>
    <row r="678" spans="13:115" x14ac:dyDescent="0.25">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c r="BQ678"/>
      <c r="BR678"/>
      <c r="BS678"/>
      <c r="BT678"/>
      <c r="BU678"/>
      <c r="BV678"/>
      <c r="BW678"/>
      <c r="BX678"/>
      <c r="BY678"/>
      <c r="BZ678"/>
      <c r="CA678"/>
      <c r="CB678"/>
      <c r="CC678"/>
      <c r="CD678"/>
      <c r="CE678"/>
      <c r="CF678"/>
      <c r="CG678"/>
      <c r="CH678"/>
      <c r="CI678"/>
      <c r="CJ678"/>
      <c r="CK678"/>
      <c r="CL678"/>
      <c r="CM678"/>
      <c r="CN678"/>
      <c r="CO678"/>
      <c r="CP678"/>
      <c r="CQ678"/>
      <c r="CR678"/>
      <c r="CS678"/>
      <c r="CT678"/>
      <c r="CU678"/>
      <c r="CV678"/>
      <c r="CW678"/>
      <c r="CX678"/>
      <c r="CY678"/>
      <c r="CZ678"/>
      <c r="DA678"/>
      <c r="DB678"/>
      <c r="DC678"/>
      <c r="DD678"/>
      <c r="DE678"/>
      <c r="DF678"/>
      <c r="DG678"/>
      <c r="DH678"/>
      <c r="DI678"/>
      <c r="DJ678"/>
      <c r="DK678"/>
    </row>
    <row r="679" spans="13:115" x14ac:dyDescent="0.25">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c r="BY679"/>
      <c r="BZ679"/>
      <c r="CA679"/>
      <c r="CB679"/>
      <c r="CC679"/>
      <c r="CD679"/>
      <c r="CE679"/>
      <c r="CF679"/>
      <c r="CG679"/>
      <c r="CH679"/>
      <c r="CI679"/>
      <c r="CJ679"/>
      <c r="CK679"/>
      <c r="CL679"/>
      <c r="CM679"/>
      <c r="CN679"/>
      <c r="CO679"/>
      <c r="CP679"/>
      <c r="CQ679"/>
      <c r="CR679"/>
      <c r="CS679"/>
      <c r="CT679"/>
      <c r="CU679"/>
      <c r="CV679"/>
      <c r="CW679"/>
      <c r="CX679"/>
      <c r="CY679"/>
      <c r="CZ679"/>
      <c r="DA679"/>
      <c r="DB679"/>
      <c r="DC679"/>
      <c r="DD679"/>
      <c r="DE679"/>
      <c r="DF679"/>
      <c r="DG679"/>
      <c r="DH679"/>
      <c r="DI679"/>
      <c r="DJ679"/>
      <c r="DK679"/>
    </row>
    <row r="680" spans="13:115" x14ac:dyDescent="0.25">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c r="BR680"/>
      <c r="BS680"/>
      <c r="BT680"/>
      <c r="BU680"/>
      <c r="BV680"/>
      <c r="BW680"/>
      <c r="BX680"/>
      <c r="BY680"/>
      <c r="BZ680"/>
      <c r="CA680"/>
      <c r="CB680"/>
      <c r="CC680"/>
      <c r="CD680"/>
      <c r="CE680"/>
      <c r="CF680"/>
      <c r="CG680"/>
      <c r="CH680"/>
      <c r="CI680"/>
      <c r="CJ680"/>
      <c r="CK680"/>
      <c r="CL680"/>
      <c r="CM680"/>
      <c r="CN680"/>
      <c r="CO680"/>
      <c r="CP680"/>
      <c r="CQ680"/>
      <c r="CR680"/>
      <c r="CS680"/>
      <c r="CT680"/>
      <c r="CU680"/>
      <c r="CV680"/>
      <c r="CW680"/>
      <c r="CX680"/>
      <c r="CY680"/>
      <c r="CZ680"/>
      <c r="DA680"/>
      <c r="DB680"/>
      <c r="DC680"/>
      <c r="DD680"/>
      <c r="DE680"/>
      <c r="DF680"/>
      <c r="DG680"/>
      <c r="DH680"/>
      <c r="DI680"/>
      <c r="DJ680"/>
      <c r="DK680"/>
    </row>
    <row r="681" spans="13:115" x14ac:dyDescent="0.25">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c r="BY681"/>
      <c r="BZ681"/>
      <c r="CA681"/>
      <c r="CB681"/>
      <c r="CC681"/>
      <c r="CD681"/>
      <c r="CE681"/>
      <c r="CF681"/>
      <c r="CG681"/>
      <c r="CH681"/>
      <c r="CI681"/>
      <c r="CJ681"/>
      <c r="CK681"/>
      <c r="CL681"/>
      <c r="CM681"/>
      <c r="CN681"/>
      <c r="CO681"/>
      <c r="CP681"/>
      <c r="CQ681"/>
      <c r="CR681"/>
      <c r="CS681"/>
      <c r="CT681"/>
      <c r="CU681"/>
      <c r="CV681"/>
      <c r="CW681"/>
      <c r="CX681"/>
      <c r="CY681"/>
      <c r="CZ681"/>
      <c r="DA681"/>
      <c r="DB681"/>
      <c r="DC681"/>
      <c r="DD681"/>
      <c r="DE681"/>
      <c r="DF681"/>
      <c r="DG681"/>
      <c r="DH681"/>
      <c r="DI681"/>
      <c r="DJ681"/>
      <c r="DK681"/>
    </row>
    <row r="682" spans="13:115" x14ac:dyDescent="0.25">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c r="BR682"/>
      <c r="BS682"/>
      <c r="BT682"/>
      <c r="BU682"/>
      <c r="BV682"/>
      <c r="BW682"/>
      <c r="BX682"/>
      <c r="BY682"/>
      <c r="BZ682"/>
      <c r="CA682"/>
      <c r="CB682"/>
      <c r="CC682"/>
      <c r="CD682"/>
      <c r="CE682"/>
      <c r="CF682"/>
      <c r="CG682"/>
      <c r="CH682"/>
      <c r="CI682"/>
      <c r="CJ682"/>
      <c r="CK682"/>
      <c r="CL682"/>
      <c r="CM682"/>
      <c r="CN682"/>
      <c r="CO682"/>
      <c r="CP682"/>
      <c r="CQ682"/>
      <c r="CR682"/>
      <c r="CS682"/>
      <c r="CT682"/>
      <c r="CU682"/>
      <c r="CV682"/>
      <c r="CW682"/>
      <c r="CX682"/>
      <c r="CY682"/>
      <c r="CZ682"/>
      <c r="DA682"/>
      <c r="DB682"/>
      <c r="DC682"/>
      <c r="DD682"/>
      <c r="DE682"/>
      <c r="DF682"/>
      <c r="DG682"/>
      <c r="DH682"/>
      <c r="DI682"/>
      <c r="DJ682"/>
      <c r="DK682"/>
    </row>
    <row r="683" spans="13:115" x14ac:dyDescent="0.25">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c r="BM683"/>
      <c r="BN683"/>
      <c r="BO683"/>
      <c r="BP683"/>
      <c r="BQ683"/>
      <c r="BR683"/>
      <c r="BS683"/>
      <c r="BT683"/>
      <c r="BU683"/>
      <c r="BV683"/>
      <c r="BW683"/>
      <c r="BX683"/>
      <c r="BY683"/>
      <c r="BZ683"/>
      <c r="CA683"/>
      <c r="CB683"/>
      <c r="CC683"/>
      <c r="CD683"/>
      <c r="CE683"/>
      <c r="CF683"/>
      <c r="CG683"/>
      <c r="CH683"/>
      <c r="CI683"/>
      <c r="CJ683"/>
      <c r="CK683"/>
      <c r="CL683"/>
      <c r="CM683"/>
      <c r="CN683"/>
      <c r="CO683"/>
      <c r="CP683"/>
      <c r="CQ683"/>
      <c r="CR683"/>
      <c r="CS683"/>
      <c r="CT683"/>
      <c r="CU683"/>
      <c r="CV683"/>
      <c r="CW683"/>
      <c r="CX683"/>
      <c r="CY683"/>
      <c r="CZ683"/>
      <c r="DA683"/>
      <c r="DB683"/>
      <c r="DC683"/>
      <c r="DD683"/>
      <c r="DE683"/>
      <c r="DF683"/>
      <c r="DG683"/>
      <c r="DH683"/>
      <c r="DI683"/>
      <c r="DJ683"/>
      <c r="DK683"/>
    </row>
    <row r="684" spans="13:115" x14ac:dyDescent="0.25">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c r="BM684"/>
      <c r="BN684"/>
      <c r="BO684"/>
      <c r="BP684"/>
      <c r="BQ684"/>
      <c r="BR684"/>
      <c r="BS684"/>
      <c r="BT684"/>
      <c r="BU684"/>
      <c r="BV684"/>
      <c r="BW684"/>
      <c r="BX684"/>
      <c r="BY684"/>
      <c r="BZ684"/>
      <c r="CA684"/>
      <c r="CB684"/>
      <c r="CC684"/>
      <c r="CD684"/>
      <c r="CE684"/>
      <c r="CF684"/>
      <c r="CG684"/>
      <c r="CH684"/>
      <c r="CI684"/>
      <c r="CJ684"/>
      <c r="CK684"/>
      <c r="CL684"/>
      <c r="CM684"/>
      <c r="CN684"/>
      <c r="CO684"/>
      <c r="CP684"/>
      <c r="CQ684"/>
      <c r="CR684"/>
      <c r="CS684"/>
      <c r="CT684"/>
      <c r="CU684"/>
      <c r="CV684"/>
      <c r="CW684"/>
      <c r="CX684"/>
      <c r="CY684"/>
      <c r="CZ684"/>
      <c r="DA684"/>
      <c r="DB684"/>
      <c r="DC684"/>
      <c r="DD684"/>
      <c r="DE684"/>
      <c r="DF684"/>
      <c r="DG684"/>
      <c r="DH684"/>
      <c r="DI684"/>
      <c r="DJ684"/>
      <c r="DK684"/>
    </row>
    <row r="685" spans="13:115" x14ac:dyDescent="0.2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c r="CA685"/>
      <c r="CB685"/>
      <c r="CC685"/>
      <c r="CD685"/>
      <c r="CE685"/>
      <c r="CF685"/>
      <c r="CG685"/>
      <c r="CH685"/>
      <c r="CI685"/>
      <c r="CJ685"/>
      <c r="CK685"/>
      <c r="CL685"/>
      <c r="CM685"/>
      <c r="CN685"/>
      <c r="CO685"/>
      <c r="CP685"/>
      <c r="CQ685"/>
      <c r="CR685"/>
      <c r="CS685"/>
      <c r="CT685"/>
      <c r="CU685"/>
      <c r="CV685"/>
      <c r="CW685"/>
      <c r="CX685"/>
      <c r="CY685"/>
      <c r="CZ685"/>
      <c r="DA685"/>
      <c r="DB685"/>
      <c r="DC685"/>
      <c r="DD685"/>
      <c r="DE685"/>
      <c r="DF685"/>
      <c r="DG685"/>
      <c r="DH685"/>
      <c r="DI685"/>
      <c r="DJ685"/>
      <c r="DK685"/>
    </row>
    <row r="686" spans="13:115" x14ac:dyDescent="0.25">
      <c r="M686"/>
      <c r="N686"/>
      <c r="O686"/>
      <c r="P686"/>
      <c r="Q686"/>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c r="BM686"/>
      <c r="BN686"/>
      <c r="BO686"/>
      <c r="BP686"/>
      <c r="BQ686"/>
      <c r="BR686"/>
      <c r="BS686"/>
      <c r="BT686"/>
      <c r="BU686"/>
      <c r="BV686"/>
      <c r="BW686"/>
      <c r="BX686"/>
      <c r="BY686"/>
      <c r="BZ686"/>
      <c r="CA686"/>
      <c r="CB686"/>
      <c r="CC686"/>
      <c r="CD686"/>
      <c r="CE686"/>
      <c r="CF686"/>
      <c r="CG686"/>
      <c r="CH686"/>
      <c r="CI686"/>
      <c r="CJ686"/>
      <c r="CK686"/>
      <c r="CL686"/>
      <c r="CM686"/>
      <c r="CN686"/>
      <c r="CO686"/>
      <c r="CP686"/>
      <c r="CQ686"/>
      <c r="CR686"/>
      <c r="CS686"/>
      <c r="CT686"/>
      <c r="CU686"/>
      <c r="CV686"/>
      <c r="CW686"/>
      <c r="CX686"/>
      <c r="CY686"/>
      <c r="CZ686"/>
      <c r="DA686"/>
      <c r="DB686"/>
      <c r="DC686"/>
      <c r="DD686"/>
      <c r="DE686"/>
      <c r="DF686"/>
      <c r="DG686"/>
      <c r="DH686"/>
      <c r="DI686"/>
      <c r="DJ686"/>
      <c r="DK686"/>
    </row>
    <row r="687" spans="13:115" x14ac:dyDescent="0.25">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c r="BM687"/>
      <c r="BN687"/>
      <c r="BO687"/>
      <c r="BP687"/>
      <c r="BQ687"/>
      <c r="BR687"/>
      <c r="BS687"/>
      <c r="BT687"/>
      <c r="BU687"/>
      <c r="BV687"/>
      <c r="BW687"/>
      <c r="BX687"/>
      <c r="BY687"/>
      <c r="BZ687"/>
      <c r="CA687"/>
      <c r="CB687"/>
      <c r="CC687"/>
      <c r="CD687"/>
      <c r="CE687"/>
      <c r="CF687"/>
      <c r="CG687"/>
      <c r="CH687"/>
      <c r="CI687"/>
      <c r="CJ687"/>
      <c r="CK687"/>
      <c r="CL687"/>
      <c r="CM687"/>
      <c r="CN687"/>
      <c r="CO687"/>
      <c r="CP687"/>
      <c r="CQ687"/>
      <c r="CR687"/>
      <c r="CS687"/>
      <c r="CT687"/>
      <c r="CU687"/>
      <c r="CV687"/>
      <c r="CW687"/>
      <c r="CX687"/>
      <c r="CY687"/>
      <c r="CZ687"/>
      <c r="DA687"/>
      <c r="DB687"/>
      <c r="DC687"/>
      <c r="DD687"/>
      <c r="DE687"/>
      <c r="DF687"/>
      <c r="DG687"/>
      <c r="DH687"/>
      <c r="DI687"/>
      <c r="DJ687"/>
      <c r="DK687"/>
    </row>
    <row r="688" spans="13:115" x14ac:dyDescent="0.25">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c r="BM688"/>
      <c r="BN688"/>
      <c r="BO688"/>
      <c r="BP688"/>
      <c r="BQ688"/>
      <c r="BR688"/>
      <c r="BS688"/>
      <c r="BT688"/>
      <c r="BU688"/>
      <c r="BV688"/>
      <c r="BW688"/>
      <c r="BX688"/>
      <c r="BY688"/>
      <c r="BZ688"/>
      <c r="CA688"/>
      <c r="CB688"/>
      <c r="CC688"/>
      <c r="CD688"/>
      <c r="CE688"/>
      <c r="CF688"/>
      <c r="CG688"/>
      <c r="CH688"/>
      <c r="CI688"/>
      <c r="CJ688"/>
      <c r="CK688"/>
      <c r="CL688"/>
      <c r="CM688"/>
      <c r="CN688"/>
      <c r="CO688"/>
      <c r="CP688"/>
      <c r="CQ688"/>
      <c r="CR688"/>
      <c r="CS688"/>
      <c r="CT688"/>
      <c r="CU688"/>
      <c r="CV688"/>
      <c r="CW688"/>
      <c r="CX688"/>
      <c r="CY688"/>
      <c r="CZ688"/>
      <c r="DA688"/>
      <c r="DB688"/>
      <c r="DC688"/>
      <c r="DD688"/>
      <c r="DE688"/>
      <c r="DF688"/>
      <c r="DG688"/>
      <c r="DH688"/>
      <c r="DI688"/>
      <c r="DJ688"/>
      <c r="DK688"/>
    </row>
    <row r="689" spans="13:115" x14ac:dyDescent="0.25">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c r="BR689"/>
      <c r="BS689"/>
      <c r="BT689"/>
      <c r="BU689"/>
      <c r="BV689"/>
      <c r="BW689"/>
      <c r="BX689"/>
      <c r="BY689"/>
      <c r="BZ689"/>
      <c r="CA689"/>
      <c r="CB689"/>
      <c r="CC689"/>
      <c r="CD689"/>
      <c r="CE689"/>
      <c r="CF689"/>
      <c r="CG689"/>
      <c r="CH689"/>
      <c r="CI689"/>
      <c r="CJ689"/>
      <c r="CK689"/>
      <c r="CL689"/>
      <c r="CM689"/>
      <c r="CN689"/>
      <c r="CO689"/>
      <c r="CP689"/>
      <c r="CQ689"/>
      <c r="CR689"/>
      <c r="CS689"/>
      <c r="CT689"/>
      <c r="CU689"/>
      <c r="CV689"/>
      <c r="CW689"/>
      <c r="CX689"/>
      <c r="CY689"/>
      <c r="CZ689"/>
      <c r="DA689"/>
      <c r="DB689"/>
      <c r="DC689"/>
      <c r="DD689"/>
      <c r="DE689"/>
      <c r="DF689"/>
      <c r="DG689"/>
      <c r="DH689"/>
      <c r="DI689"/>
      <c r="DJ689"/>
      <c r="DK689"/>
    </row>
    <row r="690" spans="13:115" x14ac:dyDescent="0.25">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c r="BM690"/>
      <c r="BN690"/>
      <c r="BO690"/>
      <c r="BP690"/>
      <c r="BQ690"/>
      <c r="BR690"/>
      <c r="BS690"/>
      <c r="BT690"/>
      <c r="BU690"/>
      <c r="BV690"/>
      <c r="BW690"/>
      <c r="BX690"/>
      <c r="BY690"/>
      <c r="BZ690"/>
      <c r="CA690"/>
      <c r="CB690"/>
      <c r="CC690"/>
      <c r="CD690"/>
      <c r="CE690"/>
      <c r="CF690"/>
      <c r="CG690"/>
      <c r="CH690"/>
      <c r="CI690"/>
      <c r="CJ690"/>
      <c r="CK690"/>
      <c r="CL690"/>
      <c r="CM690"/>
      <c r="CN690"/>
      <c r="CO690"/>
      <c r="CP690"/>
      <c r="CQ690"/>
      <c r="CR690"/>
      <c r="CS690"/>
      <c r="CT690"/>
      <c r="CU690"/>
      <c r="CV690"/>
      <c r="CW690"/>
      <c r="CX690"/>
      <c r="CY690"/>
      <c r="CZ690"/>
      <c r="DA690"/>
      <c r="DB690"/>
      <c r="DC690"/>
      <c r="DD690"/>
      <c r="DE690"/>
      <c r="DF690"/>
      <c r="DG690"/>
      <c r="DH690"/>
      <c r="DI690"/>
      <c r="DJ690"/>
      <c r="DK690"/>
    </row>
    <row r="691" spans="13:115" x14ac:dyDescent="0.25">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c r="BR691"/>
      <c r="BS691"/>
      <c r="BT691"/>
      <c r="BU691"/>
      <c r="BV691"/>
      <c r="BW691"/>
      <c r="BX691"/>
      <c r="BY691"/>
      <c r="BZ691"/>
      <c r="CA691"/>
      <c r="CB691"/>
      <c r="CC691"/>
      <c r="CD691"/>
      <c r="CE691"/>
      <c r="CF691"/>
      <c r="CG691"/>
      <c r="CH691"/>
      <c r="CI691"/>
      <c r="CJ691"/>
      <c r="CK691"/>
      <c r="CL691"/>
      <c r="CM691"/>
      <c r="CN691"/>
      <c r="CO691"/>
      <c r="CP691"/>
      <c r="CQ691"/>
      <c r="CR691"/>
      <c r="CS691"/>
      <c r="CT691"/>
      <c r="CU691"/>
      <c r="CV691"/>
      <c r="CW691"/>
      <c r="CX691"/>
      <c r="CY691"/>
      <c r="CZ691"/>
      <c r="DA691"/>
      <c r="DB691"/>
      <c r="DC691"/>
      <c r="DD691"/>
      <c r="DE691"/>
      <c r="DF691"/>
      <c r="DG691"/>
      <c r="DH691"/>
      <c r="DI691"/>
      <c r="DJ691"/>
      <c r="DK691"/>
    </row>
    <row r="692" spans="13:115" x14ac:dyDescent="0.25">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c r="BM692"/>
      <c r="BN692"/>
      <c r="BO692"/>
      <c r="BP692"/>
      <c r="BQ692"/>
      <c r="BR692"/>
      <c r="BS692"/>
      <c r="BT692"/>
      <c r="BU692"/>
      <c r="BV692"/>
      <c r="BW692"/>
      <c r="BX692"/>
      <c r="BY692"/>
      <c r="BZ692"/>
      <c r="CA692"/>
      <c r="CB692"/>
      <c r="CC692"/>
      <c r="CD692"/>
      <c r="CE692"/>
      <c r="CF692"/>
      <c r="CG692"/>
      <c r="CH692"/>
      <c r="CI692"/>
      <c r="CJ692"/>
      <c r="CK692"/>
      <c r="CL692"/>
      <c r="CM692"/>
      <c r="CN692"/>
      <c r="CO692"/>
      <c r="CP692"/>
      <c r="CQ692"/>
      <c r="CR692"/>
      <c r="CS692"/>
      <c r="CT692"/>
      <c r="CU692"/>
      <c r="CV692"/>
      <c r="CW692"/>
      <c r="CX692"/>
      <c r="CY692"/>
      <c r="CZ692"/>
      <c r="DA692"/>
      <c r="DB692"/>
      <c r="DC692"/>
      <c r="DD692"/>
      <c r="DE692"/>
      <c r="DF692"/>
      <c r="DG692"/>
      <c r="DH692"/>
      <c r="DI692"/>
      <c r="DJ692"/>
      <c r="DK692"/>
    </row>
    <row r="693" spans="13:115" x14ac:dyDescent="0.25">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c r="BM693"/>
      <c r="BN693"/>
      <c r="BO693"/>
      <c r="BP693"/>
      <c r="BQ693"/>
      <c r="BR693"/>
      <c r="BS693"/>
      <c r="BT693"/>
      <c r="BU693"/>
      <c r="BV693"/>
      <c r="BW693"/>
      <c r="BX693"/>
      <c r="BY693"/>
      <c r="BZ693"/>
      <c r="CA693"/>
      <c r="CB693"/>
      <c r="CC693"/>
      <c r="CD693"/>
      <c r="CE693"/>
      <c r="CF693"/>
      <c r="CG693"/>
      <c r="CH693"/>
      <c r="CI693"/>
      <c r="CJ693"/>
      <c r="CK693"/>
      <c r="CL693"/>
      <c r="CM693"/>
      <c r="CN693"/>
      <c r="CO693"/>
      <c r="CP693"/>
      <c r="CQ693"/>
      <c r="CR693"/>
      <c r="CS693"/>
      <c r="CT693"/>
      <c r="CU693"/>
      <c r="CV693"/>
      <c r="CW693"/>
      <c r="CX693"/>
      <c r="CY693"/>
      <c r="CZ693"/>
      <c r="DA693"/>
      <c r="DB693"/>
      <c r="DC693"/>
      <c r="DD693"/>
      <c r="DE693"/>
      <c r="DF693"/>
      <c r="DG693"/>
      <c r="DH693"/>
      <c r="DI693"/>
      <c r="DJ693"/>
      <c r="DK693"/>
    </row>
    <row r="694" spans="13:115" x14ac:dyDescent="0.25">
      <c r="M694"/>
      <c r="N694"/>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c r="BY694"/>
      <c r="BZ694"/>
      <c r="CA694"/>
      <c r="CB694"/>
      <c r="CC694"/>
      <c r="CD694"/>
      <c r="CE694"/>
      <c r="CF694"/>
      <c r="CG694"/>
      <c r="CH694"/>
      <c r="CI694"/>
      <c r="CJ694"/>
      <c r="CK694"/>
      <c r="CL694"/>
      <c r="CM694"/>
      <c r="CN694"/>
      <c r="CO694"/>
      <c r="CP694"/>
      <c r="CQ694"/>
      <c r="CR694"/>
      <c r="CS694"/>
      <c r="CT694"/>
      <c r="CU694"/>
      <c r="CV694"/>
      <c r="CW694"/>
      <c r="CX694"/>
      <c r="CY694"/>
      <c r="CZ694"/>
      <c r="DA694"/>
      <c r="DB694"/>
      <c r="DC694"/>
      <c r="DD694"/>
      <c r="DE694"/>
      <c r="DF694"/>
      <c r="DG694"/>
      <c r="DH694"/>
      <c r="DI694"/>
      <c r="DJ694"/>
      <c r="DK694"/>
    </row>
    <row r="695" spans="13:115" x14ac:dyDescent="0.2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c r="BQ695"/>
      <c r="BR695"/>
      <c r="BS695"/>
      <c r="BT695"/>
      <c r="BU695"/>
      <c r="BV695"/>
      <c r="BW695"/>
      <c r="BX695"/>
      <c r="BY695"/>
      <c r="BZ695"/>
      <c r="CA695"/>
      <c r="CB695"/>
      <c r="CC695"/>
      <c r="CD695"/>
      <c r="CE695"/>
      <c r="CF695"/>
      <c r="CG695"/>
      <c r="CH695"/>
      <c r="CI695"/>
      <c r="CJ695"/>
      <c r="CK695"/>
      <c r="CL695"/>
      <c r="CM695"/>
      <c r="CN695"/>
      <c r="CO695"/>
      <c r="CP695"/>
      <c r="CQ695"/>
      <c r="CR695"/>
      <c r="CS695"/>
      <c r="CT695"/>
      <c r="CU695"/>
      <c r="CV695"/>
      <c r="CW695"/>
      <c r="CX695"/>
      <c r="CY695"/>
      <c r="CZ695"/>
      <c r="DA695"/>
      <c r="DB695"/>
      <c r="DC695"/>
      <c r="DD695"/>
      <c r="DE695"/>
      <c r="DF695"/>
      <c r="DG695"/>
      <c r="DH695"/>
      <c r="DI695"/>
      <c r="DJ695"/>
      <c r="DK695"/>
    </row>
    <row r="696" spans="13:115" x14ac:dyDescent="0.25">
      <c r="M696"/>
      <c r="N696"/>
      <c r="O696"/>
      <c r="P696"/>
      <c r="Q696"/>
      <c r="R696"/>
      <c r="S696"/>
      <c r="T696"/>
      <c r="U696"/>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c r="BB696"/>
      <c r="BC696"/>
      <c r="BD696"/>
      <c r="BE696"/>
      <c r="BF696"/>
      <c r="BG696"/>
      <c r="BH696"/>
      <c r="BI696"/>
      <c r="BJ696"/>
      <c r="BK696"/>
      <c r="BL696"/>
      <c r="BM696"/>
      <c r="BN696"/>
      <c r="BO696"/>
      <c r="BP696"/>
      <c r="BQ696"/>
      <c r="BR696"/>
      <c r="BS696"/>
      <c r="BT696"/>
      <c r="BU696"/>
      <c r="BV696"/>
      <c r="BW696"/>
      <c r="BX696"/>
      <c r="BY696"/>
      <c r="BZ696"/>
      <c r="CA696"/>
      <c r="CB696"/>
      <c r="CC696"/>
      <c r="CD696"/>
      <c r="CE696"/>
      <c r="CF696"/>
      <c r="CG696"/>
      <c r="CH696"/>
      <c r="CI696"/>
      <c r="CJ696"/>
      <c r="CK696"/>
      <c r="CL696"/>
      <c r="CM696"/>
      <c r="CN696"/>
      <c r="CO696"/>
      <c r="CP696"/>
      <c r="CQ696"/>
      <c r="CR696"/>
      <c r="CS696"/>
      <c r="CT696"/>
      <c r="CU696"/>
      <c r="CV696"/>
      <c r="CW696"/>
      <c r="CX696"/>
      <c r="CY696"/>
      <c r="CZ696"/>
      <c r="DA696"/>
      <c r="DB696"/>
      <c r="DC696"/>
      <c r="DD696"/>
      <c r="DE696"/>
      <c r="DF696"/>
      <c r="DG696"/>
      <c r="DH696"/>
      <c r="DI696"/>
      <c r="DJ696"/>
      <c r="DK696"/>
    </row>
    <row r="697" spans="13:115" x14ac:dyDescent="0.25">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c r="BJ697"/>
      <c r="BK697"/>
      <c r="BL697"/>
      <c r="BM697"/>
      <c r="BN697"/>
      <c r="BO697"/>
      <c r="BP697"/>
      <c r="BQ697"/>
      <c r="BR697"/>
      <c r="BS697"/>
      <c r="BT697"/>
      <c r="BU697"/>
      <c r="BV697"/>
      <c r="BW697"/>
      <c r="BX697"/>
      <c r="BY697"/>
      <c r="BZ697"/>
      <c r="CA697"/>
      <c r="CB697"/>
      <c r="CC697"/>
      <c r="CD697"/>
      <c r="CE697"/>
      <c r="CF697"/>
      <c r="CG697"/>
      <c r="CH697"/>
      <c r="CI697"/>
      <c r="CJ697"/>
      <c r="CK697"/>
      <c r="CL697"/>
      <c r="CM697"/>
      <c r="CN697"/>
      <c r="CO697"/>
      <c r="CP697"/>
      <c r="CQ697"/>
      <c r="CR697"/>
      <c r="CS697"/>
      <c r="CT697"/>
      <c r="CU697"/>
      <c r="CV697"/>
      <c r="CW697"/>
      <c r="CX697"/>
      <c r="CY697"/>
      <c r="CZ697"/>
      <c r="DA697"/>
      <c r="DB697"/>
      <c r="DC697"/>
      <c r="DD697"/>
      <c r="DE697"/>
      <c r="DF697"/>
      <c r="DG697"/>
      <c r="DH697"/>
      <c r="DI697"/>
      <c r="DJ697"/>
      <c r="DK697"/>
    </row>
    <row r="698" spans="13:115" x14ac:dyDescent="0.25">
      <c r="M698"/>
      <c r="N698"/>
      <c r="O698"/>
      <c r="P698"/>
      <c r="Q698"/>
      <c r="R698"/>
      <c r="S698"/>
      <c r="T698"/>
      <c r="U698"/>
      <c r="V698"/>
      <c r="W698"/>
      <c r="X698"/>
      <c r="Y698"/>
      <c r="Z698"/>
      <c r="AA698"/>
      <c r="AB698"/>
      <c r="AC698"/>
      <c r="AD698"/>
      <c r="AE698"/>
      <c r="AF698"/>
      <c r="AG698"/>
      <c r="AH698"/>
      <c r="AI698"/>
      <c r="AJ698"/>
      <c r="AK698"/>
      <c r="AL698"/>
      <c r="AM698"/>
      <c r="AN698"/>
      <c r="AO698"/>
      <c r="AP698"/>
      <c r="AQ698"/>
      <c r="AR698"/>
      <c r="AS698"/>
      <c r="AT698"/>
      <c r="AU698"/>
      <c r="AV698"/>
      <c r="AW698"/>
      <c r="AX698"/>
      <c r="AY698"/>
      <c r="AZ698"/>
      <c r="BA698"/>
      <c r="BB698"/>
      <c r="BC698"/>
      <c r="BD698"/>
      <c r="BE698"/>
      <c r="BF698"/>
      <c r="BG698"/>
      <c r="BH698"/>
      <c r="BI698"/>
      <c r="BJ698"/>
      <c r="BK698"/>
      <c r="BL698"/>
      <c r="BM698"/>
      <c r="BN698"/>
      <c r="BO698"/>
      <c r="BP698"/>
      <c r="BQ698"/>
      <c r="BR698"/>
      <c r="BS698"/>
      <c r="BT698"/>
      <c r="BU698"/>
      <c r="BV698"/>
      <c r="BW698"/>
      <c r="BX698"/>
      <c r="BY698"/>
      <c r="BZ698"/>
      <c r="CA698"/>
      <c r="CB698"/>
      <c r="CC698"/>
      <c r="CD698"/>
      <c r="CE698"/>
      <c r="CF698"/>
      <c r="CG698"/>
      <c r="CH698"/>
      <c r="CI698"/>
      <c r="CJ698"/>
      <c r="CK698"/>
      <c r="CL698"/>
      <c r="CM698"/>
      <c r="CN698"/>
      <c r="CO698"/>
      <c r="CP698"/>
      <c r="CQ698"/>
      <c r="CR698"/>
      <c r="CS698"/>
      <c r="CT698"/>
      <c r="CU698"/>
      <c r="CV698"/>
      <c r="CW698"/>
      <c r="CX698"/>
      <c r="CY698"/>
      <c r="CZ698"/>
      <c r="DA698"/>
      <c r="DB698"/>
      <c r="DC698"/>
      <c r="DD698"/>
      <c r="DE698"/>
      <c r="DF698"/>
      <c r="DG698"/>
      <c r="DH698"/>
      <c r="DI698"/>
      <c r="DJ698"/>
      <c r="DK698"/>
    </row>
    <row r="699" spans="13:115" x14ac:dyDescent="0.25">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c r="BB699"/>
      <c r="BC699"/>
      <c r="BD699"/>
      <c r="BE699"/>
      <c r="BF699"/>
      <c r="BG699"/>
      <c r="BH699"/>
      <c r="BI699"/>
      <c r="BJ699"/>
      <c r="BK699"/>
      <c r="BL699"/>
      <c r="BM699"/>
      <c r="BN699"/>
      <c r="BO699"/>
      <c r="BP699"/>
      <c r="BQ699"/>
      <c r="BR699"/>
      <c r="BS699"/>
      <c r="BT699"/>
      <c r="BU699"/>
      <c r="BV699"/>
      <c r="BW699"/>
      <c r="BX699"/>
      <c r="BY699"/>
      <c r="BZ699"/>
      <c r="CA699"/>
      <c r="CB699"/>
      <c r="CC699"/>
      <c r="CD699"/>
      <c r="CE699"/>
      <c r="CF699"/>
      <c r="CG699"/>
      <c r="CH699"/>
      <c r="CI699"/>
      <c r="CJ699"/>
      <c r="CK699"/>
      <c r="CL699"/>
      <c r="CM699"/>
      <c r="CN699"/>
      <c r="CO699"/>
      <c r="CP699"/>
      <c r="CQ699"/>
      <c r="CR699"/>
      <c r="CS699"/>
      <c r="CT699"/>
      <c r="CU699"/>
      <c r="CV699"/>
      <c r="CW699"/>
      <c r="CX699"/>
      <c r="CY699"/>
      <c r="CZ699"/>
      <c r="DA699"/>
      <c r="DB699"/>
      <c r="DC699"/>
      <c r="DD699"/>
      <c r="DE699"/>
      <c r="DF699"/>
      <c r="DG699"/>
      <c r="DH699"/>
      <c r="DI699"/>
      <c r="DJ699"/>
      <c r="DK699"/>
    </row>
    <row r="700" spans="13:115" x14ac:dyDescent="0.25">
      <c r="M700"/>
      <c r="N700"/>
      <c r="O700"/>
      <c r="P700"/>
      <c r="Q700"/>
      <c r="R700"/>
      <c r="S700"/>
      <c r="T700"/>
      <c r="U700"/>
      <c r="V700"/>
      <c r="W700"/>
      <c r="X700"/>
      <c r="Y700"/>
      <c r="Z700"/>
      <c r="AA700"/>
      <c r="AB700"/>
      <c r="AC700"/>
      <c r="AD700"/>
      <c r="AE700"/>
      <c r="AF700"/>
      <c r="AG700"/>
      <c r="AH700"/>
      <c r="AI700"/>
      <c r="AJ700"/>
      <c r="AK700"/>
      <c r="AL700"/>
      <c r="AM700"/>
      <c r="AN700"/>
      <c r="AO700"/>
      <c r="AP700"/>
      <c r="AQ700"/>
      <c r="AR700"/>
      <c r="AS700"/>
      <c r="AT700"/>
      <c r="AU700"/>
      <c r="AV700"/>
      <c r="AW700"/>
      <c r="AX700"/>
      <c r="AY700"/>
      <c r="AZ700"/>
      <c r="BA700"/>
      <c r="BB700"/>
      <c r="BC700"/>
      <c r="BD700"/>
      <c r="BE700"/>
      <c r="BF700"/>
      <c r="BG700"/>
      <c r="BH700"/>
      <c r="BI700"/>
      <c r="BJ700"/>
      <c r="BK700"/>
      <c r="BL700"/>
      <c r="BM700"/>
      <c r="BN700"/>
      <c r="BO700"/>
      <c r="BP700"/>
      <c r="BQ700"/>
      <c r="BR700"/>
      <c r="BS700"/>
      <c r="BT700"/>
      <c r="BU700"/>
      <c r="BV700"/>
      <c r="BW700"/>
      <c r="BX700"/>
      <c r="BY700"/>
      <c r="BZ700"/>
      <c r="CA700"/>
      <c r="CB700"/>
      <c r="CC700"/>
      <c r="CD700"/>
      <c r="CE700"/>
      <c r="CF700"/>
      <c r="CG700"/>
      <c r="CH700"/>
      <c r="CI700"/>
      <c r="CJ700"/>
      <c r="CK700"/>
      <c r="CL700"/>
      <c r="CM700"/>
      <c r="CN700"/>
      <c r="CO700"/>
      <c r="CP700"/>
      <c r="CQ700"/>
      <c r="CR700"/>
      <c r="CS700"/>
      <c r="CT700"/>
      <c r="CU700"/>
      <c r="CV700"/>
      <c r="CW700"/>
      <c r="CX700"/>
      <c r="CY700"/>
      <c r="CZ700"/>
      <c r="DA700"/>
      <c r="DB700"/>
      <c r="DC700"/>
      <c r="DD700"/>
      <c r="DE700"/>
      <c r="DF700"/>
      <c r="DG700"/>
      <c r="DH700"/>
      <c r="DI700"/>
      <c r="DJ700"/>
      <c r="DK700"/>
    </row>
    <row r="701" spans="13:115" x14ac:dyDescent="0.25">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c r="BB701"/>
      <c r="BC701"/>
      <c r="BD701"/>
      <c r="BE701"/>
      <c r="BF701"/>
      <c r="BG701"/>
      <c r="BH701"/>
      <c r="BI701"/>
      <c r="BJ701"/>
      <c r="BK701"/>
      <c r="BL701"/>
      <c r="BM701"/>
      <c r="BN701"/>
      <c r="BO701"/>
      <c r="BP701"/>
      <c r="BQ701"/>
      <c r="BR701"/>
      <c r="BS701"/>
      <c r="BT701"/>
      <c r="BU701"/>
      <c r="BV701"/>
      <c r="BW701"/>
      <c r="BX701"/>
      <c r="BY701"/>
      <c r="BZ701"/>
      <c r="CA701"/>
      <c r="CB701"/>
      <c r="CC701"/>
      <c r="CD701"/>
      <c r="CE701"/>
      <c r="CF701"/>
      <c r="CG701"/>
      <c r="CH701"/>
      <c r="CI701"/>
      <c r="CJ701"/>
      <c r="CK701"/>
      <c r="CL701"/>
      <c r="CM701"/>
      <c r="CN701"/>
      <c r="CO701"/>
      <c r="CP701"/>
      <c r="CQ701"/>
      <c r="CR701"/>
      <c r="CS701"/>
      <c r="CT701"/>
      <c r="CU701"/>
      <c r="CV701"/>
      <c r="CW701"/>
      <c r="CX701"/>
      <c r="CY701"/>
      <c r="CZ701"/>
      <c r="DA701"/>
      <c r="DB701"/>
      <c r="DC701"/>
      <c r="DD701"/>
      <c r="DE701"/>
      <c r="DF701"/>
      <c r="DG701"/>
      <c r="DH701"/>
      <c r="DI701"/>
      <c r="DJ701"/>
      <c r="DK701"/>
    </row>
    <row r="702" spans="13:115" x14ac:dyDescent="0.25">
      <c r="M702"/>
      <c r="N702"/>
      <c r="O702"/>
      <c r="P702"/>
      <c r="Q702"/>
      <c r="R702"/>
      <c r="S702"/>
      <c r="T702"/>
      <c r="U702"/>
      <c r="V702"/>
      <c r="W702"/>
      <c r="X702"/>
      <c r="Y702"/>
      <c r="Z702"/>
      <c r="AA702"/>
      <c r="AB702"/>
      <c r="AC702"/>
      <c r="AD702"/>
      <c r="AE702"/>
      <c r="AF702"/>
      <c r="AG702"/>
      <c r="AH702"/>
      <c r="AI702"/>
      <c r="AJ702"/>
      <c r="AK702"/>
      <c r="AL702"/>
      <c r="AM702"/>
      <c r="AN702"/>
      <c r="AO702"/>
      <c r="AP702"/>
      <c r="AQ702"/>
      <c r="AR702"/>
      <c r="AS702"/>
      <c r="AT702"/>
      <c r="AU702"/>
      <c r="AV702"/>
      <c r="AW702"/>
      <c r="AX702"/>
      <c r="AY702"/>
      <c r="AZ702"/>
      <c r="BA702"/>
      <c r="BB702"/>
      <c r="BC702"/>
      <c r="BD702"/>
      <c r="BE702"/>
      <c r="BF702"/>
      <c r="BG702"/>
      <c r="BH702"/>
      <c r="BI702"/>
      <c r="BJ702"/>
      <c r="BK702"/>
      <c r="BL702"/>
      <c r="BM702"/>
      <c r="BN702"/>
      <c r="BO702"/>
      <c r="BP702"/>
      <c r="BQ702"/>
      <c r="BR702"/>
      <c r="BS702"/>
      <c r="BT702"/>
      <c r="BU702"/>
      <c r="BV702"/>
      <c r="BW702"/>
      <c r="BX702"/>
      <c r="BY702"/>
      <c r="BZ702"/>
      <c r="CA702"/>
      <c r="CB702"/>
      <c r="CC702"/>
      <c r="CD702"/>
      <c r="CE702"/>
      <c r="CF702"/>
      <c r="CG702"/>
      <c r="CH702"/>
      <c r="CI702"/>
      <c r="CJ702"/>
      <c r="CK702"/>
      <c r="CL702"/>
      <c r="CM702"/>
      <c r="CN702"/>
      <c r="CO702"/>
      <c r="CP702"/>
      <c r="CQ702"/>
      <c r="CR702"/>
      <c r="CS702"/>
      <c r="CT702"/>
      <c r="CU702"/>
      <c r="CV702"/>
      <c r="CW702"/>
      <c r="CX702"/>
      <c r="CY702"/>
      <c r="CZ702"/>
      <c r="DA702"/>
      <c r="DB702"/>
      <c r="DC702"/>
      <c r="DD702"/>
      <c r="DE702"/>
      <c r="DF702"/>
      <c r="DG702"/>
      <c r="DH702"/>
      <c r="DI702"/>
      <c r="DJ702"/>
      <c r="DK702"/>
    </row>
    <row r="703" spans="13:115" x14ac:dyDescent="0.25">
      <c r="M703"/>
      <c r="N703"/>
      <c r="O703"/>
      <c r="P703"/>
      <c r="Q703"/>
      <c r="R703"/>
      <c r="S703"/>
      <c r="T703"/>
      <c r="U703"/>
      <c r="V703"/>
      <c r="W703"/>
      <c r="X703"/>
      <c r="Y703"/>
      <c r="Z703"/>
      <c r="AA703"/>
      <c r="AB703"/>
      <c r="AC703"/>
      <c r="AD703"/>
      <c r="AE703"/>
      <c r="AF703"/>
      <c r="AG703"/>
      <c r="AH703"/>
      <c r="AI703"/>
      <c r="AJ703"/>
      <c r="AK703"/>
      <c r="AL703"/>
      <c r="AM703"/>
      <c r="AN703"/>
      <c r="AO703"/>
      <c r="AP703"/>
      <c r="AQ703"/>
      <c r="AR703"/>
      <c r="AS703"/>
      <c r="AT703"/>
      <c r="AU703"/>
      <c r="AV703"/>
      <c r="AW703"/>
      <c r="AX703"/>
      <c r="AY703"/>
      <c r="AZ703"/>
      <c r="BA703"/>
      <c r="BB703"/>
      <c r="BC703"/>
      <c r="BD703"/>
      <c r="BE703"/>
      <c r="BF703"/>
      <c r="BG703"/>
      <c r="BH703"/>
      <c r="BI703"/>
      <c r="BJ703"/>
      <c r="BK703"/>
      <c r="BL703"/>
      <c r="BM703"/>
      <c r="BN703"/>
      <c r="BO703"/>
      <c r="BP703"/>
      <c r="BQ703"/>
      <c r="BR703"/>
      <c r="BS703"/>
      <c r="BT703"/>
      <c r="BU703"/>
      <c r="BV703"/>
      <c r="BW703"/>
      <c r="BX703"/>
      <c r="BY703"/>
      <c r="BZ703"/>
      <c r="CA703"/>
      <c r="CB703"/>
      <c r="CC703"/>
      <c r="CD703"/>
      <c r="CE703"/>
      <c r="CF703"/>
      <c r="CG703"/>
      <c r="CH703"/>
      <c r="CI703"/>
      <c r="CJ703"/>
      <c r="CK703"/>
      <c r="CL703"/>
      <c r="CM703"/>
      <c r="CN703"/>
      <c r="CO703"/>
      <c r="CP703"/>
      <c r="CQ703"/>
      <c r="CR703"/>
      <c r="CS703"/>
      <c r="CT703"/>
      <c r="CU703"/>
      <c r="CV703"/>
      <c r="CW703"/>
      <c r="CX703"/>
      <c r="CY703"/>
      <c r="CZ703"/>
      <c r="DA703"/>
      <c r="DB703"/>
      <c r="DC703"/>
      <c r="DD703"/>
      <c r="DE703"/>
      <c r="DF703"/>
      <c r="DG703"/>
      <c r="DH703"/>
      <c r="DI703"/>
      <c r="DJ703"/>
      <c r="DK703"/>
    </row>
    <row r="704" spans="13:115" x14ac:dyDescent="0.25">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c r="BB704"/>
      <c r="BC704"/>
      <c r="BD704"/>
      <c r="BE704"/>
      <c r="BF704"/>
      <c r="BG704"/>
      <c r="BH704"/>
      <c r="BI704"/>
      <c r="BJ704"/>
      <c r="BK704"/>
      <c r="BL704"/>
      <c r="BM704"/>
      <c r="BN704"/>
      <c r="BO704"/>
      <c r="BP704"/>
      <c r="BQ704"/>
      <c r="BR704"/>
      <c r="BS704"/>
      <c r="BT704"/>
      <c r="BU704"/>
      <c r="BV704"/>
      <c r="BW704"/>
      <c r="BX704"/>
      <c r="BY704"/>
      <c r="BZ704"/>
      <c r="CA704"/>
      <c r="CB704"/>
      <c r="CC704"/>
      <c r="CD704"/>
      <c r="CE704"/>
      <c r="CF704"/>
      <c r="CG704"/>
      <c r="CH704"/>
      <c r="CI704"/>
      <c r="CJ704"/>
      <c r="CK704"/>
      <c r="CL704"/>
      <c r="CM704"/>
      <c r="CN704"/>
      <c r="CO704"/>
      <c r="CP704"/>
      <c r="CQ704"/>
      <c r="CR704"/>
      <c r="CS704"/>
      <c r="CT704"/>
      <c r="CU704"/>
      <c r="CV704"/>
      <c r="CW704"/>
      <c r="CX704"/>
      <c r="CY704"/>
      <c r="CZ704"/>
      <c r="DA704"/>
      <c r="DB704"/>
      <c r="DC704"/>
      <c r="DD704"/>
      <c r="DE704"/>
      <c r="DF704"/>
      <c r="DG704"/>
      <c r="DH704"/>
      <c r="DI704"/>
      <c r="DJ704"/>
      <c r="DK704"/>
    </row>
    <row r="705" spans="13:115" x14ac:dyDescent="0.25">
      <c r="M705"/>
      <c r="N705"/>
      <c r="O705"/>
      <c r="P705"/>
      <c r="Q705"/>
      <c r="R705"/>
      <c r="S705"/>
      <c r="T705"/>
      <c r="U705"/>
      <c r="V705"/>
      <c r="W705"/>
      <c r="X705"/>
      <c r="Y705"/>
      <c r="Z705"/>
      <c r="AA705"/>
      <c r="AB705"/>
      <c r="AC705"/>
      <c r="AD705"/>
      <c r="AE705"/>
      <c r="AF705"/>
      <c r="AG705"/>
      <c r="AH705"/>
      <c r="AI705"/>
      <c r="AJ705"/>
      <c r="AK705"/>
      <c r="AL705"/>
      <c r="AM705"/>
      <c r="AN705"/>
      <c r="AO705"/>
      <c r="AP705"/>
      <c r="AQ705"/>
      <c r="AR705"/>
      <c r="AS705"/>
      <c r="AT705"/>
      <c r="AU705"/>
      <c r="AV705"/>
      <c r="AW705"/>
      <c r="AX705"/>
      <c r="AY705"/>
      <c r="AZ705"/>
      <c r="BA705"/>
      <c r="BB705"/>
      <c r="BC705"/>
      <c r="BD705"/>
      <c r="BE705"/>
      <c r="BF705"/>
      <c r="BG705"/>
      <c r="BH705"/>
      <c r="BI705"/>
      <c r="BJ705"/>
      <c r="BK705"/>
      <c r="BL705"/>
      <c r="BM705"/>
      <c r="BN705"/>
      <c r="BO705"/>
      <c r="BP705"/>
      <c r="BQ705"/>
      <c r="BR705"/>
      <c r="BS705"/>
      <c r="BT705"/>
      <c r="BU705"/>
      <c r="BV705"/>
      <c r="BW705"/>
      <c r="BX705"/>
      <c r="BY705"/>
      <c r="BZ705"/>
      <c r="CA705"/>
      <c r="CB705"/>
      <c r="CC705"/>
      <c r="CD705"/>
      <c r="CE705"/>
      <c r="CF705"/>
      <c r="CG705"/>
      <c r="CH705"/>
      <c r="CI705"/>
      <c r="CJ705"/>
      <c r="CK705"/>
      <c r="CL705"/>
      <c r="CM705"/>
      <c r="CN705"/>
      <c r="CO705"/>
      <c r="CP705"/>
      <c r="CQ705"/>
      <c r="CR705"/>
      <c r="CS705"/>
      <c r="CT705"/>
      <c r="CU705"/>
      <c r="CV705"/>
      <c r="CW705"/>
      <c r="CX705"/>
      <c r="CY705"/>
      <c r="CZ705"/>
      <c r="DA705"/>
      <c r="DB705"/>
      <c r="DC705"/>
      <c r="DD705"/>
      <c r="DE705"/>
      <c r="DF705"/>
      <c r="DG705"/>
      <c r="DH705"/>
      <c r="DI705"/>
      <c r="DJ705"/>
      <c r="DK705"/>
    </row>
    <row r="706" spans="13:115" x14ac:dyDescent="0.25">
      <c r="M706"/>
      <c r="N706"/>
      <c r="O706"/>
      <c r="P706"/>
      <c r="Q706"/>
      <c r="R706"/>
      <c r="S706"/>
      <c r="T706"/>
      <c r="U706"/>
      <c r="V706"/>
      <c r="W706"/>
      <c r="X706"/>
      <c r="Y706"/>
      <c r="Z706"/>
      <c r="AA706"/>
      <c r="AB706"/>
      <c r="AC706"/>
      <c r="AD706"/>
      <c r="AE706"/>
      <c r="AF706"/>
      <c r="AG706"/>
      <c r="AH706"/>
      <c r="AI706"/>
      <c r="AJ706"/>
      <c r="AK706"/>
      <c r="AL706"/>
      <c r="AM706"/>
      <c r="AN706"/>
      <c r="AO706"/>
      <c r="AP706"/>
      <c r="AQ706"/>
      <c r="AR706"/>
      <c r="AS706"/>
      <c r="AT706"/>
      <c r="AU706"/>
      <c r="AV706"/>
      <c r="AW706"/>
      <c r="AX706"/>
      <c r="AY706"/>
      <c r="AZ706"/>
      <c r="BA706"/>
      <c r="BB706"/>
      <c r="BC706"/>
      <c r="BD706"/>
      <c r="BE706"/>
      <c r="BF706"/>
      <c r="BG706"/>
      <c r="BH706"/>
      <c r="BI706"/>
      <c r="BJ706"/>
      <c r="BK706"/>
      <c r="BL706"/>
      <c r="BM706"/>
      <c r="BN706"/>
      <c r="BO706"/>
      <c r="BP706"/>
      <c r="BQ706"/>
      <c r="BR706"/>
      <c r="BS706"/>
      <c r="BT706"/>
      <c r="BU706"/>
      <c r="BV706"/>
      <c r="BW706"/>
      <c r="BX706"/>
      <c r="BY706"/>
      <c r="BZ706"/>
      <c r="CA706"/>
      <c r="CB706"/>
      <c r="CC706"/>
      <c r="CD706"/>
      <c r="CE706"/>
      <c r="CF706"/>
      <c r="CG706"/>
      <c r="CH706"/>
      <c r="CI706"/>
      <c r="CJ706"/>
      <c r="CK706"/>
      <c r="CL706"/>
      <c r="CM706"/>
      <c r="CN706"/>
      <c r="CO706"/>
      <c r="CP706"/>
      <c r="CQ706"/>
      <c r="CR706"/>
      <c r="CS706"/>
      <c r="CT706"/>
      <c r="CU706"/>
      <c r="CV706"/>
      <c r="CW706"/>
      <c r="CX706"/>
      <c r="CY706"/>
      <c r="CZ706"/>
      <c r="DA706"/>
      <c r="DB706"/>
      <c r="DC706"/>
      <c r="DD706"/>
      <c r="DE706"/>
      <c r="DF706"/>
      <c r="DG706"/>
      <c r="DH706"/>
      <c r="DI706"/>
      <c r="DJ706"/>
      <c r="DK706"/>
    </row>
    <row r="707" spans="13:115" x14ac:dyDescent="0.25">
      <c r="M707"/>
      <c r="N707"/>
      <c r="O707"/>
      <c r="P707"/>
      <c r="Q707"/>
      <c r="R707"/>
      <c r="S707"/>
      <c r="T707"/>
      <c r="U707"/>
      <c r="V707"/>
      <c r="W707"/>
      <c r="X707"/>
      <c r="Y707"/>
      <c r="Z707"/>
      <c r="AA707"/>
      <c r="AB707"/>
      <c r="AC707"/>
      <c r="AD707"/>
      <c r="AE707"/>
      <c r="AF707"/>
      <c r="AG707"/>
      <c r="AH707"/>
      <c r="AI707"/>
      <c r="AJ707"/>
      <c r="AK707"/>
      <c r="AL707"/>
      <c r="AM707"/>
      <c r="AN707"/>
      <c r="AO707"/>
      <c r="AP707"/>
      <c r="AQ707"/>
      <c r="AR707"/>
      <c r="AS707"/>
      <c r="AT707"/>
      <c r="AU707"/>
      <c r="AV707"/>
      <c r="AW707"/>
      <c r="AX707"/>
      <c r="AY707"/>
      <c r="AZ707"/>
      <c r="BA707"/>
      <c r="BB707"/>
      <c r="BC707"/>
      <c r="BD707"/>
      <c r="BE707"/>
      <c r="BF707"/>
      <c r="BG707"/>
      <c r="BH707"/>
      <c r="BI707"/>
      <c r="BJ707"/>
      <c r="BK707"/>
      <c r="BL707"/>
      <c r="BM707"/>
      <c r="BN707"/>
      <c r="BO707"/>
      <c r="BP707"/>
      <c r="BQ707"/>
      <c r="BR707"/>
      <c r="BS707"/>
      <c r="BT707"/>
      <c r="BU707"/>
      <c r="BV707"/>
      <c r="BW707"/>
      <c r="BX707"/>
      <c r="BY707"/>
      <c r="BZ707"/>
      <c r="CA707"/>
      <c r="CB707"/>
      <c r="CC707"/>
      <c r="CD707"/>
      <c r="CE707"/>
      <c r="CF707"/>
      <c r="CG707"/>
      <c r="CH707"/>
      <c r="CI707"/>
      <c r="CJ707"/>
      <c r="CK707"/>
      <c r="CL707"/>
      <c r="CM707"/>
      <c r="CN707"/>
      <c r="CO707"/>
      <c r="CP707"/>
      <c r="CQ707"/>
      <c r="CR707"/>
      <c r="CS707"/>
      <c r="CT707"/>
      <c r="CU707"/>
      <c r="CV707"/>
      <c r="CW707"/>
      <c r="CX707"/>
      <c r="CY707"/>
      <c r="CZ707"/>
      <c r="DA707"/>
      <c r="DB707"/>
      <c r="DC707"/>
      <c r="DD707"/>
      <c r="DE707"/>
      <c r="DF707"/>
      <c r="DG707"/>
      <c r="DH707"/>
      <c r="DI707"/>
      <c r="DJ707"/>
      <c r="DK707"/>
    </row>
    <row r="708" spans="13:115" x14ac:dyDescent="0.25">
      <c r="M708"/>
      <c r="N708"/>
      <c r="O708"/>
      <c r="P708"/>
      <c r="Q708"/>
      <c r="R708"/>
      <c r="S708"/>
      <c r="T708"/>
      <c r="U708"/>
      <c r="V708"/>
      <c r="W708"/>
      <c r="X708"/>
      <c r="Y708"/>
      <c r="Z708"/>
      <c r="AA708"/>
      <c r="AB708"/>
      <c r="AC708"/>
      <c r="AD708"/>
      <c r="AE708"/>
      <c r="AF708"/>
      <c r="AG708"/>
      <c r="AH708"/>
      <c r="AI708"/>
      <c r="AJ708"/>
      <c r="AK708"/>
      <c r="AL708"/>
      <c r="AM708"/>
      <c r="AN708"/>
      <c r="AO708"/>
      <c r="AP708"/>
      <c r="AQ708"/>
      <c r="AR708"/>
      <c r="AS708"/>
      <c r="AT708"/>
      <c r="AU708"/>
      <c r="AV708"/>
      <c r="AW708"/>
      <c r="AX708"/>
      <c r="AY708"/>
      <c r="AZ708"/>
      <c r="BA708"/>
      <c r="BB708"/>
      <c r="BC708"/>
      <c r="BD708"/>
      <c r="BE708"/>
      <c r="BF708"/>
      <c r="BG708"/>
      <c r="BH708"/>
      <c r="BI708"/>
      <c r="BJ708"/>
      <c r="BK708"/>
      <c r="BL708"/>
      <c r="BM708"/>
      <c r="BN708"/>
      <c r="BO708"/>
      <c r="BP708"/>
      <c r="BQ708"/>
      <c r="BR708"/>
      <c r="BS708"/>
      <c r="BT708"/>
      <c r="BU708"/>
      <c r="BV708"/>
      <c r="BW708"/>
      <c r="BX708"/>
      <c r="BY708"/>
      <c r="BZ708"/>
      <c r="CA708"/>
      <c r="CB708"/>
      <c r="CC708"/>
      <c r="CD708"/>
      <c r="CE708"/>
      <c r="CF708"/>
      <c r="CG708"/>
      <c r="CH708"/>
      <c r="CI708"/>
      <c r="CJ708"/>
      <c r="CK708"/>
      <c r="CL708"/>
      <c r="CM708"/>
      <c r="CN708"/>
      <c r="CO708"/>
      <c r="CP708"/>
      <c r="CQ708"/>
      <c r="CR708"/>
      <c r="CS708"/>
      <c r="CT708"/>
      <c r="CU708"/>
      <c r="CV708"/>
      <c r="CW708"/>
      <c r="CX708"/>
      <c r="CY708"/>
      <c r="CZ708"/>
      <c r="DA708"/>
      <c r="DB708"/>
      <c r="DC708"/>
      <c r="DD708"/>
      <c r="DE708"/>
      <c r="DF708"/>
      <c r="DG708"/>
      <c r="DH708"/>
      <c r="DI708"/>
      <c r="DJ708"/>
      <c r="DK708"/>
    </row>
    <row r="709" spans="13:115" x14ac:dyDescent="0.25">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c r="BB709"/>
      <c r="BC709"/>
      <c r="BD709"/>
      <c r="BE709"/>
      <c r="BF709"/>
      <c r="BG709"/>
      <c r="BH709"/>
      <c r="BI709"/>
      <c r="BJ709"/>
      <c r="BK709"/>
      <c r="BL709"/>
      <c r="BM709"/>
      <c r="BN709"/>
      <c r="BO709"/>
      <c r="BP709"/>
      <c r="BQ709"/>
      <c r="BR709"/>
      <c r="BS709"/>
      <c r="BT709"/>
      <c r="BU709"/>
      <c r="BV709"/>
      <c r="BW709"/>
      <c r="BX709"/>
      <c r="BY709"/>
      <c r="BZ709"/>
      <c r="CA709"/>
      <c r="CB709"/>
      <c r="CC709"/>
      <c r="CD709"/>
      <c r="CE709"/>
      <c r="CF709"/>
      <c r="CG709"/>
      <c r="CH709"/>
      <c r="CI709"/>
      <c r="CJ709"/>
      <c r="CK709"/>
      <c r="CL709"/>
      <c r="CM709"/>
      <c r="CN709"/>
      <c r="CO709"/>
      <c r="CP709"/>
      <c r="CQ709"/>
      <c r="CR709"/>
      <c r="CS709"/>
      <c r="CT709"/>
      <c r="CU709"/>
      <c r="CV709"/>
      <c r="CW709"/>
      <c r="CX709"/>
      <c r="CY709"/>
      <c r="CZ709"/>
      <c r="DA709"/>
      <c r="DB709"/>
      <c r="DC709"/>
      <c r="DD709"/>
      <c r="DE709"/>
      <c r="DF709"/>
      <c r="DG709"/>
      <c r="DH709"/>
      <c r="DI709"/>
      <c r="DJ709"/>
      <c r="DK709"/>
    </row>
    <row r="710" spans="13:115" x14ac:dyDescent="0.25">
      <c r="M710"/>
      <c r="N710"/>
      <c r="O710"/>
      <c r="P710"/>
      <c r="Q710"/>
      <c r="R710"/>
      <c r="S710"/>
      <c r="T710"/>
      <c r="U710"/>
      <c r="V710"/>
      <c r="W710"/>
      <c r="X710"/>
      <c r="Y710"/>
      <c r="Z710"/>
      <c r="AA710"/>
      <c r="AB710"/>
      <c r="AC710"/>
      <c r="AD710"/>
      <c r="AE710"/>
      <c r="AF710"/>
      <c r="AG710"/>
      <c r="AH710"/>
      <c r="AI710"/>
      <c r="AJ710"/>
      <c r="AK710"/>
      <c r="AL710"/>
      <c r="AM710"/>
      <c r="AN710"/>
      <c r="AO710"/>
      <c r="AP710"/>
      <c r="AQ710"/>
      <c r="AR710"/>
      <c r="AS710"/>
      <c r="AT710"/>
      <c r="AU710"/>
      <c r="AV710"/>
      <c r="AW710"/>
      <c r="AX710"/>
      <c r="AY710"/>
      <c r="AZ710"/>
      <c r="BA710"/>
      <c r="BB710"/>
      <c r="BC710"/>
      <c r="BD710"/>
      <c r="BE710"/>
      <c r="BF710"/>
      <c r="BG710"/>
      <c r="BH710"/>
      <c r="BI710"/>
      <c r="BJ710"/>
      <c r="BK710"/>
      <c r="BL710"/>
      <c r="BM710"/>
      <c r="BN710"/>
      <c r="BO710"/>
      <c r="BP710"/>
      <c r="BQ710"/>
      <c r="BR710"/>
      <c r="BS710"/>
      <c r="BT710"/>
      <c r="BU710"/>
      <c r="BV710"/>
      <c r="BW710"/>
      <c r="BX710"/>
      <c r="BY710"/>
      <c r="BZ710"/>
      <c r="CA710"/>
      <c r="CB710"/>
      <c r="CC710"/>
      <c r="CD710"/>
      <c r="CE710"/>
      <c r="CF710"/>
      <c r="CG710"/>
      <c r="CH710"/>
      <c r="CI710"/>
      <c r="CJ710"/>
      <c r="CK710"/>
      <c r="CL710"/>
      <c r="CM710"/>
      <c r="CN710"/>
      <c r="CO710"/>
      <c r="CP710"/>
      <c r="CQ710"/>
      <c r="CR710"/>
      <c r="CS710"/>
      <c r="CT710"/>
      <c r="CU710"/>
      <c r="CV710"/>
      <c r="CW710"/>
      <c r="CX710"/>
      <c r="CY710"/>
      <c r="CZ710"/>
      <c r="DA710"/>
      <c r="DB710"/>
      <c r="DC710"/>
      <c r="DD710"/>
      <c r="DE710"/>
      <c r="DF710"/>
      <c r="DG710"/>
      <c r="DH710"/>
      <c r="DI710"/>
      <c r="DJ710"/>
      <c r="DK710"/>
    </row>
    <row r="711" spans="13:115" x14ac:dyDescent="0.25">
      <c r="M711"/>
      <c r="N711"/>
      <c r="O711"/>
      <c r="P711"/>
      <c r="Q711"/>
      <c r="R711"/>
      <c r="S711"/>
      <c r="T711"/>
      <c r="U711"/>
      <c r="V711"/>
      <c r="W711"/>
      <c r="X711"/>
      <c r="Y711"/>
      <c r="Z711"/>
      <c r="AA711"/>
      <c r="AB711"/>
      <c r="AC711"/>
      <c r="AD711"/>
      <c r="AE711"/>
      <c r="AF711"/>
      <c r="AG711"/>
      <c r="AH711"/>
      <c r="AI711"/>
      <c r="AJ711"/>
      <c r="AK711"/>
      <c r="AL711"/>
      <c r="AM711"/>
      <c r="AN711"/>
      <c r="AO711"/>
      <c r="AP711"/>
      <c r="AQ711"/>
      <c r="AR711"/>
      <c r="AS711"/>
      <c r="AT711"/>
      <c r="AU711"/>
      <c r="AV711"/>
      <c r="AW711"/>
      <c r="AX711"/>
      <c r="AY711"/>
      <c r="AZ711"/>
      <c r="BA711"/>
      <c r="BB711"/>
      <c r="BC711"/>
      <c r="BD711"/>
      <c r="BE711"/>
      <c r="BF711"/>
      <c r="BG711"/>
      <c r="BH711"/>
      <c r="BI711"/>
      <c r="BJ711"/>
      <c r="BK711"/>
      <c r="BL711"/>
      <c r="BM711"/>
      <c r="BN711"/>
      <c r="BO711"/>
      <c r="BP711"/>
      <c r="BQ711"/>
      <c r="BR711"/>
      <c r="BS711"/>
      <c r="BT711"/>
      <c r="BU711"/>
      <c r="BV711"/>
      <c r="BW711"/>
      <c r="BX711"/>
      <c r="BY711"/>
      <c r="BZ711"/>
      <c r="CA711"/>
      <c r="CB711"/>
      <c r="CC711"/>
      <c r="CD711"/>
      <c r="CE711"/>
      <c r="CF711"/>
      <c r="CG711"/>
      <c r="CH711"/>
      <c r="CI711"/>
      <c r="CJ711"/>
      <c r="CK711"/>
      <c r="CL711"/>
      <c r="CM711"/>
      <c r="CN711"/>
      <c r="CO711"/>
      <c r="CP711"/>
      <c r="CQ711"/>
      <c r="CR711"/>
      <c r="CS711"/>
      <c r="CT711"/>
      <c r="CU711"/>
      <c r="CV711"/>
      <c r="CW711"/>
      <c r="CX711"/>
      <c r="CY711"/>
      <c r="CZ711"/>
      <c r="DA711"/>
      <c r="DB711"/>
      <c r="DC711"/>
      <c r="DD711"/>
      <c r="DE711"/>
      <c r="DF711"/>
      <c r="DG711"/>
      <c r="DH711"/>
      <c r="DI711"/>
      <c r="DJ711"/>
      <c r="DK711"/>
    </row>
    <row r="712" spans="13:115" x14ac:dyDescent="0.25">
      <c r="M712"/>
      <c r="N712"/>
      <c r="O712"/>
      <c r="P712"/>
      <c r="Q712"/>
      <c r="R712"/>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c r="BB712"/>
      <c r="BC712"/>
      <c r="BD712"/>
      <c r="BE712"/>
      <c r="BF712"/>
      <c r="BG712"/>
      <c r="BH712"/>
      <c r="BI712"/>
      <c r="BJ712"/>
      <c r="BK712"/>
      <c r="BL712"/>
      <c r="BM712"/>
      <c r="BN712"/>
      <c r="BO712"/>
      <c r="BP712"/>
      <c r="BQ712"/>
      <c r="BR712"/>
      <c r="BS712"/>
      <c r="BT712"/>
      <c r="BU712"/>
      <c r="BV712"/>
      <c r="BW712"/>
      <c r="BX712"/>
      <c r="BY712"/>
      <c r="BZ712"/>
      <c r="CA712"/>
      <c r="CB712"/>
      <c r="CC712"/>
      <c r="CD712"/>
      <c r="CE712"/>
      <c r="CF712"/>
      <c r="CG712"/>
      <c r="CH712"/>
      <c r="CI712"/>
      <c r="CJ712"/>
      <c r="CK712"/>
      <c r="CL712"/>
      <c r="CM712"/>
      <c r="CN712"/>
      <c r="CO712"/>
      <c r="CP712"/>
      <c r="CQ712"/>
      <c r="CR712"/>
      <c r="CS712"/>
      <c r="CT712"/>
      <c r="CU712"/>
      <c r="CV712"/>
      <c r="CW712"/>
      <c r="CX712"/>
      <c r="CY712"/>
      <c r="CZ712"/>
      <c r="DA712"/>
      <c r="DB712"/>
      <c r="DC712"/>
      <c r="DD712"/>
      <c r="DE712"/>
      <c r="DF712"/>
      <c r="DG712"/>
      <c r="DH712"/>
      <c r="DI712"/>
      <c r="DJ712"/>
      <c r="DK712"/>
    </row>
    <row r="713" spans="13:115" x14ac:dyDescent="0.25">
      <c r="M713"/>
      <c r="N713"/>
      <c r="O713"/>
      <c r="P713"/>
      <c r="Q713"/>
      <c r="R713"/>
      <c r="S713"/>
      <c r="T713"/>
      <c r="U713"/>
      <c r="V713"/>
      <c r="W713"/>
      <c r="X713"/>
      <c r="Y713"/>
      <c r="Z713"/>
      <c r="AA713"/>
      <c r="AB713"/>
      <c r="AC713"/>
      <c r="AD713"/>
      <c r="AE713"/>
      <c r="AF713"/>
      <c r="AG713"/>
      <c r="AH713"/>
      <c r="AI713"/>
      <c r="AJ713"/>
      <c r="AK713"/>
      <c r="AL713"/>
      <c r="AM713"/>
      <c r="AN713"/>
      <c r="AO713"/>
      <c r="AP713"/>
      <c r="AQ713"/>
      <c r="AR713"/>
      <c r="AS713"/>
      <c r="AT713"/>
      <c r="AU713"/>
      <c r="AV713"/>
      <c r="AW713"/>
      <c r="AX713"/>
      <c r="AY713"/>
      <c r="AZ713"/>
      <c r="BA713"/>
      <c r="BB713"/>
      <c r="BC713"/>
      <c r="BD713"/>
      <c r="BE713"/>
      <c r="BF713"/>
      <c r="BG713"/>
      <c r="BH713"/>
      <c r="BI713"/>
      <c r="BJ713"/>
      <c r="BK713"/>
      <c r="BL713"/>
      <c r="BM713"/>
      <c r="BN713"/>
      <c r="BO713"/>
      <c r="BP713"/>
      <c r="BQ713"/>
      <c r="BR713"/>
      <c r="BS713"/>
      <c r="BT713"/>
      <c r="BU713"/>
      <c r="BV713"/>
      <c r="BW713"/>
      <c r="BX713"/>
      <c r="BY713"/>
      <c r="BZ713"/>
      <c r="CA713"/>
      <c r="CB713"/>
      <c r="CC713"/>
      <c r="CD713"/>
      <c r="CE713"/>
      <c r="CF713"/>
      <c r="CG713"/>
      <c r="CH713"/>
      <c r="CI713"/>
      <c r="CJ713"/>
      <c r="CK713"/>
      <c r="CL713"/>
      <c r="CM713"/>
      <c r="CN713"/>
      <c r="CO713"/>
      <c r="CP713"/>
      <c r="CQ713"/>
      <c r="CR713"/>
      <c r="CS713"/>
      <c r="CT713"/>
      <c r="CU713"/>
      <c r="CV713"/>
      <c r="CW713"/>
      <c r="CX713"/>
      <c r="CY713"/>
      <c r="CZ713"/>
      <c r="DA713"/>
      <c r="DB713"/>
      <c r="DC713"/>
      <c r="DD713"/>
      <c r="DE713"/>
      <c r="DF713"/>
      <c r="DG713"/>
      <c r="DH713"/>
      <c r="DI713"/>
      <c r="DJ713"/>
      <c r="DK713"/>
    </row>
    <row r="714" spans="13:115" x14ac:dyDescent="0.25">
      <c r="M714"/>
      <c r="N714"/>
      <c r="O714"/>
      <c r="P714"/>
      <c r="Q714"/>
      <c r="R714"/>
      <c r="S714"/>
      <c r="T714"/>
      <c r="U714"/>
      <c r="V714"/>
      <c r="W714"/>
      <c r="X714"/>
      <c r="Y714"/>
      <c r="Z714"/>
      <c r="AA714"/>
      <c r="AB714"/>
      <c r="AC714"/>
      <c r="AD714"/>
      <c r="AE714"/>
      <c r="AF714"/>
      <c r="AG714"/>
      <c r="AH714"/>
      <c r="AI714"/>
      <c r="AJ714"/>
      <c r="AK714"/>
      <c r="AL714"/>
      <c r="AM714"/>
      <c r="AN714"/>
      <c r="AO714"/>
      <c r="AP714"/>
      <c r="AQ714"/>
      <c r="AR714"/>
      <c r="AS714"/>
      <c r="AT714"/>
      <c r="AU714"/>
      <c r="AV714"/>
      <c r="AW714"/>
      <c r="AX714"/>
      <c r="AY714"/>
      <c r="AZ714"/>
      <c r="BA714"/>
      <c r="BB714"/>
      <c r="BC714"/>
      <c r="BD714"/>
      <c r="BE714"/>
      <c r="BF714"/>
      <c r="BG714"/>
      <c r="BH714"/>
      <c r="BI714"/>
      <c r="BJ714"/>
      <c r="BK714"/>
      <c r="BL714"/>
      <c r="BM714"/>
      <c r="BN714"/>
      <c r="BO714"/>
      <c r="BP714"/>
      <c r="BQ714"/>
      <c r="BR714"/>
      <c r="BS714"/>
      <c r="BT714"/>
      <c r="BU714"/>
      <c r="BV714"/>
      <c r="BW714"/>
      <c r="BX714"/>
      <c r="BY714"/>
      <c r="BZ714"/>
      <c r="CA714"/>
      <c r="CB714"/>
      <c r="CC714"/>
      <c r="CD714"/>
      <c r="CE714"/>
      <c r="CF714"/>
      <c r="CG714"/>
      <c r="CH714"/>
      <c r="CI714"/>
      <c r="CJ714"/>
      <c r="CK714"/>
      <c r="CL714"/>
      <c r="CM714"/>
      <c r="CN714"/>
      <c r="CO714"/>
      <c r="CP714"/>
      <c r="CQ714"/>
      <c r="CR714"/>
      <c r="CS714"/>
      <c r="CT714"/>
      <c r="CU714"/>
      <c r="CV714"/>
      <c r="CW714"/>
      <c r="CX714"/>
      <c r="CY714"/>
      <c r="CZ714"/>
      <c r="DA714"/>
      <c r="DB714"/>
      <c r="DC714"/>
      <c r="DD714"/>
      <c r="DE714"/>
      <c r="DF714"/>
      <c r="DG714"/>
      <c r="DH714"/>
      <c r="DI714"/>
      <c r="DJ714"/>
      <c r="DK714"/>
    </row>
    <row r="715" spans="13:115" x14ac:dyDescent="0.2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c r="BB715"/>
      <c r="BC715"/>
      <c r="BD715"/>
      <c r="BE715"/>
      <c r="BF715"/>
      <c r="BG715"/>
      <c r="BH715"/>
      <c r="BI715"/>
      <c r="BJ715"/>
      <c r="BK715"/>
      <c r="BL715"/>
      <c r="BM715"/>
      <c r="BN715"/>
      <c r="BO715"/>
      <c r="BP715"/>
      <c r="BQ715"/>
      <c r="BR715"/>
      <c r="BS715"/>
      <c r="BT715"/>
      <c r="BU715"/>
      <c r="BV715"/>
      <c r="BW715"/>
      <c r="BX715"/>
      <c r="BY715"/>
      <c r="BZ715"/>
      <c r="CA715"/>
      <c r="CB715"/>
      <c r="CC715"/>
      <c r="CD715"/>
      <c r="CE715"/>
      <c r="CF715"/>
      <c r="CG715"/>
      <c r="CH715"/>
      <c r="CI715"/>
      <c r="CJ715"/>
      <c r="CK715"/>
      <c r="CL715"/>
      <c r="CM715"/>
      <c r="CN715"/>
      <c r="CO715"/>
      <c r="CP715"/>
      <c r="CQ715"/>
      <c r="CR715"/>
      <c r="CS715"/>
      <c r="CT715"/>
      <c r="CU715"/>
      <c r="CV715"/>
      <c r="CW715"/>
      <c r="CX715"/>
      <c r="CY715"/>
      <c r="CZ715"/>
      <c r="DA715"/>
      <c r="DB715"/>
      <c r="DC715"/>
      <c r="DD715"/>
      <c r="DE715"/>
      <c r="DF715"/>
      <c r="DG715"/>
      <c r="DH715"/>
      <c r="DI715"/>
      <c r="DJ715"/>
      <c r="DK715"/>
    </row>
    <row r="716" spans="13:115" x14ac:dyDescent="0.25">
      <c r="M716"/>
      <c r="N716"/>
      <c r="O716"/>
      <c r="P716"/>
      <c r="Q716"/>
      <c r="R716"/>
      <c r="S716"/>
      <c r="T716"/>
      <c r="U716"/>
      <c r="V716"/>
      <c r="W716"/>
      <c r="X716"/>
      <c r="Y716"/>
      <c r="Z716"/>
      <c r="AA716"/>
      <c r="AB716"/>
      <c r="AC716"/>
      <c r="AD716"/>
      <c r="AE716"/>
      <c r="AF716"/>
      <c r="AG716"/>
      <c r="AH716"/>
      <c r="AI716"/>
      <c r="AJ716"/>
      <c r="AK716"/>
      <c r="AL716"/>
      <c r="AM716"/>
      <c r="AN716"/>
      <c r="AO716"/>
      <c r="AP716"/>
      <c r="AQ716"/>
      <c r="AR716"/>
      <c r="AS716"/>
      <c r="AT716"/>
      <c r="AU716"/>
      <c r="AV716"/>
      <c r="AW716"/>
      <c r="AX716"/>
      <c r="AY716"/>
      <c r="AZ716"/>
      <c r="BA716"/>
      <c r="BB716"/>
      <c r="BC716"/>
      <c r="BD716"/>
      <c r="BE716"/>
      <c r="BF716"/>
      <c r="BG716"/>
      <c r="BH716"/>
      <c r="BI716"/>
      <c r="BJ716"/>
      <c r="BK716"/>
      <c r="BL716"/>
      <c r="BM716"/>
      <c r="BN716"/>
      <c r="BO716"/>
      <c r="BP716"/>
      <c r="BQ716"/>
      <c r="BR716"/>
      <c r="BS716"/>
      <c r="BT716"/>
      <c r="BU716"/>
      <c r="BV716"/>
      <c r="BW716"/>
      <c r="BX716"/>
      <c r="BY716"/>
      <c r="BZ716"/>
      <c r="CA716"/>
      <c r="CB716"/>
      <c r="CC716"/>
      <c r="CD716"/>
      <c r="CE716"/>
      <c r="CF716"/>
      <c r="CG716"/>
      <c r="CH716"/>
      <c r="CI716"/>
      <c r="CJ716"/>
      <c r="CK716"/>
      <c r="CL716"/>
      <c r="CM716"/>
      <c r="CN716"/>
      <c r="CO716"/>
      <c r="CP716"/>
      <c r="CQ716"/>
      <c r="CR716"/>
      <c r="CS716"/>
      <c r="CT716"/>
      <c r="CU716"/>
      <c r="CV716"/>
      <c r="CW716"/>
      <c r="CX716"/>
      <c r="CY716"/>
      <c r="CZ716"/>
      <c r="DA716"/>
      <c r="DB716"/>
      <c r="DC716"/>
      <c r="DD716"/>
      <c r="DE716"/>
      <c r="DF716"/>
      <c r="DG716"/>
      <c r="DH716"/>
      <c r="DI716"/>
      <c r="DJ716"/>
      <c r="DK716"/>
    </row>
    <row r="717" spans="13:115" x14ac:dyDescent="0.25">
      <c r="M717"/>
      <c r="N717"/>
      <c r="O717"/>
      <c r="P717"/>
      <c r="Q717"/>
      <c r="R717"/>
      <c r="S717"/>
      <c r="T717"/>
      <c r="U717"/>
      <c r="V717"/>
      <c r="W717"/>
      <c r="X717"/>
      <c r="Y717"/>
      <c r="Z717"/>
      <c r="AA717"/>
      <c r="AB717"/>
      <c r="AC717"/>
      <c r="AD717"/>
      <c r="AE717"/>
      <c r="AF717"/>
      <c r="AG717"/>
      <c r="AH717"/>
      <c r="AI717"/>
      <c r="AJ717"/>
      <c r="AK717"/>
      <c r="AL717"/>
      <c r="AM717"/>
      <c r="AN717"/>
      <c r="AO717"/>
      <c r="AP717"/>
      <c r="AQ717"/>
      <c r="AR717"/>
      <c r="AS717"/>
      <c r="AT717"/>
      <c r="AU717"/>
      <c r="AV717"/>
      <c r="AW717"/>
      <c r="AX717"/>
      <c r="AY717"/>
      <c r="AZ717"/>
      <c r="BA717"/>
      <c r="BB717"/>
      <c r="BC717"/>
      <c r="BD717"/>
      <c r="BE717"/>
      <c r="BF717"/>
      <c r="BG717"/>
      <c r="BH717"/>
      <c r="BI717"/>
      <c r="BJ717"/>
      <c r="BK717"/>
      <c r="BL717"/>
      <c r="BM717"/>
      <c r="BN717"/>
      <c r="BO717"/>
      <c r="BP717"/>
      <c r="BQ717"/>
      <c r="BR717"/>
      <c r="BS717"/>
      <c r="BT717"/>
      <c r="BU717"/>
      <c r="BV717"/>
      <c r="BW717"/>
      <c r="BX717"/>
      <c r="BY717"/>
      <c r="BZ717"/>
      <c r="CA717"/>
      <c r="CB717"/>
      <c r="CC717"/>
      <c r="CD717"/>
      <c r="CE717"/>
      <c r="CF717"/>
      <c r="CG717"/>
      <c r="CH717"/>
      <c r="CI717"/>
      <c r="CJ717"/>
      <c r="CK717"/>
      <c r="CL717"/>
      <c r="CM717"/>
      <c r="CN717"/>
      <c r="CO717"/>
      <c r="CP717"/>
      <c r="CQ717"/>
      <c r="CR717"/>
      <c r="CS717"/>
      <c r="CT717"/>
      <c r="CU717"/>
      <c r="CV717"/>
      <c r="CW717"/>
      <c r="CX717"/>
      <c r="CY717"/>
      <c r="CZ717"/>
      <c r="DA717"/>
      <c r="DB717"/>
      <c r="DC717"/>
      <c r="DD717"/>
      <c r="DE717"/>
      <c r="DF717"/>
      <c r="DG717"/>
      <c r="DH717"/>
      <c r="DI717"/>
      <c r="DJ717"/>
      <c r="DK717"/>
    </row>
    <row r="718" spans="13:115" x14ac:dyDescent="0.25">
      <c r="M718"/>
      <c r="N718"/>
      <c r="O718"/>
      <c r="P718"/>
      <c r="Q718"/>
      <c r="R718"/>
      <c r="S718"/>
      <c r="T718"/>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c r="BA718"/>
      <c r="BB718"/>
      <c r="BC718"/>
      <c r="BD718"/>
      <c r="BE718"/>
      <c r="BF718"/>
      <c r="BG718"/>
      <c r="BH718"/>
      <c r="BI718"/>
      <c r="BJ718"/>
      <c r="BK718"/>
      <c r="BL718"/>
      <c r="BM718"/>
      <c r="BN718"/>
      <c r="BO718"/>
      <c r="BP718"/>
      <c r="BQ718"/>
      <c r="BR718"/>
      <c r="BS718"/>
      <c r="BT718"/>
      <c r="BU718"/>
      <c r="BV718"/>
      <c r="BW718"/>
      <c r="BX718"/>
      <c r="BY718"/>
      <c r="BZ718"/>
      <c r="CA718"/>
      <c r="CB718"/>
      <c r="CC718"/>
      <c r="CD718"/>
      <c r="CE718"/>
      <c r="CF718"/>
      <c r="CG718"/>
      <c r="CH718"/>
      <c r="CI718"/>
      <c r="CJ718"/>
      <c r="CK718"/>
      <c r="CL718"/>
      <c r="CM718"/>
      <c r="CN718"/>
      <c r="CO718"/>
      <c r="CP718"/>
      <c r="CQ718"/>
      <c r="CR718"/>
      <c r="CS718"/>
      <c r="CT718"/>
      <c r="CU718"/>
      <c r="CV718"/>
      <c r="CW718"/>
      <c r="CX718"/>
      <c r="CY718"/>
      <c r="CZ718"/>
      <c r="DA718"/>
      <c r="DB718"/>
      <c r="DC718"/>
      <c r="DD718"/>
      <c r="DE718"/>
      <c r="DF718"/>
      <c r="DG718"/>
      <c r="DH718"/>
      <c r="DI718"/>
      <c r="DJ718"/>
      <c r="DK718"/>
    </row>
    <row r="719" spans="13:115" x14ac:dyDescent="0.25">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c r="BB719"/>
      <c r="BC719"/>
      <c r="BD719"/>
      <c r="BE719"/>
      <c r="BF719"/>
      <c r="BG719"/>
      <c r="BH719"/>
      <c r="BI719"/>
      <c r="BJ719"/>
      <c r="BK719"/>
      <c r="BL719"/>
      <c r="BM719"/>
      <c r="BN719"/>
      <c r="BO719"/>
      <c r="BP719"/>
      <c r="BQ719"/>
      <c r="BR719"/>
      <c r="BS719"/>
      <c r="BT719"/>
      <c r="BU719"/>
      <c r="BV719"/>
      <c r="BW719"/>
      <c r="BX719"/>
      <c r="BY719"/>
      <c r="BZ719"/>
      <c r="CA719"/>
      <c r="CB719"/>
      <c r="CC719"/>
      <c r="CD719"/>
      <c r="CE719"/>
      <c r="CF719"/>
      <c r="CG719"/>
      <c r="CH719"/>
      <c r="CI719"/>
      <c r="CJ719"/>
      <c r="CK719"/>
      <c r="CL719"/>
      <c r="CM719"/>
      <c r="CN719"/>
      <c r="CO719"/>
      <c r="CP719"/>
      <c r="CQ719"/>
      <c r="CR719"/>
      <c r="CS719"/>
      <c r="CT719"/>
      <c r="CU719"/>
      <c r="CV719"/>
      <c r="CW719"/>
      <c r="CX719"/>
      <c r="CY719"/>
      <c r="CZ719"/>
      <c r="DA719"/>
      <c r="DB719"/>
      <c r="DC719"/>
      <c r="DD719"/>
      <c r="DE719"/>
      <c r="DF719"/>
      <c r="DG719"/>
      <c r="DH719"/>
      <c r="DI719"/>
      <c r="DJ719"/>
      <c r="DK719"/>
    </row>
    <row r="720" spans="13:115" x14ac:dyDescent="0.25">
      <c r="M720"/>
      <c r="N720"/>
      <c r="O720"/>
      <c r="P720"/>
      <c r="Q720"/>
      <c r="R720"/>
      <c r="S720"/>
      <c r="T720"/>
      <c r="U720"/>
      <c r="V720"/>
      <c r="W720"/>
      <c r="X720"/>
      <c r="Y720"/>
      <c r="Z720"/>
      <c r="AA720"/>
      <c r="AB720"/>
      <c r="AC720"/>
      <c r="AD720"/>
      <c r="AE720"/>
      <c r="AF720"/>
      <c r="AG720"/>
      <c r="AH720"/>
      <c r="AI720"/>
      <c r="AJ720"/>
      <c r="AK720"/>
      <c r="AL720"/>
      <c r="AM720"/>
      <c r="AN720"/>
      <c r="AO720"/>
      <c r="AP720"/>
      <c r="AQ720"/>
      <c r="AR720"/>
      <c r="AS720"/>
      <c r="AT720"/>
      <c r="AU720"/>
      <c r="AV720"/>
      <c r="AW720"/>
      <c r="AX720"/>
      <c r="AY720"/>
      <c r="AZ720"/>
      <c r="BA720"/>
      <c r="BB720"/>
      <c r="BC720"/>
      <c r="BD720"/>
      <c r="BE720"/>
      <c r="BF720"/>
      <c r="BG720"/>
      <c r="BH720"/>
      <c r="BI720"/>
      <c r="BJ720"/>
      <c r="BK720"/>
      <c r="BL720"/>
      <c r="BM720"/>
      <c r="BN720"/>
      <c r="BO720"/>
      <c r="BP720"/>
      <c r="BQ720"/>
      <c r="BR720"/>
      <c r="BS720"/>
      <c r="BT720"/>
      <c r="BU720"/>
      <c r="BV720"/>
      <c r="BW720"/>
      <c r="BX720"/>
      <c r="BY720"/>
      <c r="BZ720"/>
      <c r="CA720"/>
      <c r="CB720"/>
      <c r="CC720"/>
      <c r="CD720"/>
      <c r="CE720"/>
      <c r="CF720"/>
      <c r="CG720"/>
      <c r="CH720"/>
      <c r="CI720"/>
      <c r="CJ720"/>
      <c r="CK720"/>
      <c r="CL720"/>
      <c r="CM720"/>
      <c r="CN720"/>
      <c r="CO720"/>
      <c r="CP720"/>
      <c r="CQ720"/>
      <c r="CR720"/>
      <c r="CS720"/>
      <c r="CT720"/>
      <c r="CU720"/>
      <c r="CV720"/>
      <c r="CW720"/>
      <c r="CX720"/>
      <c r="CY720"/>
      <c r="CZ720"/>
      <c r="DA720"/>
      <c r="DB720"/>
      <c r="DC720"/>
      <c r="DD720"/>
      <c r="DE720"/>
      <c r="DF720"/>
      <c r="DG720"/>
      <c r="DH720"/>
      <c r="DI720"/>
      <c r="DJ720"/>
      <c r="DK720"/>
    </row>
    <row r="721" spans="13:115" x14ac:dyDescent="0.25">
      <c r="M721"/>
      <c r="N721"/>
      <c r="O721"/>
      <c r="P721"/>
      <c r="Q721"/>
      <c r="R721"/>
      <c r="S721"/>
      <c r="T721"/>
      <c r="U721"/>
      <c r="V721"/>
      <c r="W721"/>
      <c r="X721"/>
      <c r="Y721"/>
      <c r="Z721"/>
      <c r="AA721"/>
      <c r="AB721"/>
      <c r="AC721"/>
      <c r="AD721"/>
      <c r="AE721"/>
      <c r="AF721"/>
      <c r="AG721"/>
      <c r="AH721"/>
      <c r="AI721"/>
      <c r="AJ721"/>
      <c r="AK721"/>
      <c r="AL721"/>
      <c r="AM721"/>
      <c r="AN721"/>
      <c r="AO721"/>
      <c r="AP721"/>
      <c r="AQ721"/>
      <c r="AR721"/>
      <c r="AS721"/>
      <c r="AT721"/>
      <c r="AU721"/>
      <c r="AV721"/>
      <c r="AW721"/>
      <c r="AX721"/>
      <c r="AY721"/>
      <c r="AZ721"/>
      <c r="BA721"/>
      <c r="BB721"/>
      <c r="BC721"/>
      <c r="BD721"/>
      <c r="BE721"/>
      <c r="BF721"/>
      <c r="BG721"/>
      <c r="BH721"/>
      <c r="BI721"/>
      <c r="BJ721"/>
      <c r="BK721"/>
      <c r="BL721"/>
      <c r="BM721"/>
      <c r="BN721"/>
      <c r="BO721"/>
      <c r="BP721"/>
      <c r="BQ721"/>
      <c r="BR721"/>
      <c r="BS721"/>
      <c r="BT721"/>
      <c r="BU721"/>
      <c r="BV721"/>
      <c r="BW721"/>
      <c r="BX721"/>
      <c r="BY721"/>
      <c r="BZ721"/>
      <c r="CA721"/>
      <c r="CB721"/>
      <c r="CC721"/>
      <c r="CD721"/>
      <c r="CE721"/>
      <c r="CF721"/>
      <c r="CG721"/>
      <c r="CH721"/>
      <c r="CI721"/>
      <c r="CJ721"/>
      <c r="CK721"/>
      <c r="CL721"/>
      <c r="CM721"/>
      <c r="CN721"/>
      <c r="CO721"/>
      <c r="CP721"/>
      <c r="CQ721"/>
      <c r="CR721"/>
      <c r="CS721"/>
      <c r="CT721"/>
      <c r="CU721"/>
      <c r="CV721"/>
      <c r="CW721"/>
      <c r="CX721"/>
      <c r="CY721"/>
      <c r="CZ721"/>
      <c r="DA721"/>
      <c r="DB721"/>
      <c r="DC721"/>
      <c r="DD721"/>
      <c r="DE721"/>
      <c r="DF721"/>
      <c r="DG721"/>
      <c r="DH721"/>
      <c r="DI721"/>
      <c r="DJ721"/>
      <c r="DK721"/>
    </row>
    <row r="722" spans="13:115" x14ac:dyDescent="0.25">
      <c r="M722"/>
      <c r="N722"/>
      <c r="O722"/>
      <c r="P722"/>
      <c r="Q722"/>
      <c r="R722"/>
      <c r="S722"/>
      <c r="T722"/>
      <c r="U722"/>
      <c r="V722"/>
      <c r="W722"/>
      <c r="X722"/>
      <c r="Y722"/>
      <c r="Z722"/>
      <c r="AA722"/>
      <c r="AB722"/>
      <c r="AC722"/>
      <c r="AD722"/>
      <c r="AE722"/>
      <c r="AF722"/>
      <c r="AG722"/>
      <c r="AH722"/>
      <c r="AI722"/>
      <c r="AJ722"/>
      <c r="AK722"/>
      <c r="AL722"/>
      <c r="AM722"/>
      <c r="AN722"/>
      <c r="AO722"/>
      <c r="AP722"/>
      <c r="AQ722"/>
      <c r="AR722"/>
      <c r="AS722"/>
      <c r="AT722"/>
      <c r="AU722"/>
      <c r="AV722"/>
      <c r="AW722"/>
      <c r="AX722"/>
      <c r="AY722"/>
      <c r="AZ722"/>
      <c r="BA722"/>
      <c r="BB722"/>
      <c r="BC722"/>
      <c r="BD722"/>
      <c r="BE722"/>
      <c r="BF722"/>
      <c r="BG722"/>
      <c r="BH722"/>
      <c r="BI722"/>
      <c r="BJ722"/>
      <c r="BK722"/>
      <c r="BL722"/>
      <c r="BM722"/>
      <c r="BN722"/>
      <c r="BO722"/>
      <c r="BP722"/>
      <c r="BQ722"/>
      <c r="BR722"/>
      <c r="BS722"/>
      <c r="BT722"/>
      <c r="BU722"/>
      <c r="BV722"/>
      <c r="BW722"/>
      <c r="BX722"/>
      <c r="BY722"/>
      <c r="BZ722"/>
      <c r="CA722"/>
      <c r="CB722"/>
      <c r="CC722"/>
      <c r="CD722"/>
      <c r="CE722"/>
      <c r="CF722"/>
      <c r="CG722"/>
      <c r="CH722"/>
      <c r="CI722"/>
      <c r="CJ722"/>
      <c r="CK722"/>
      <c r="CL722"/>
      <c r="CM722"/>
      <c r="CN722"/>
      <c r="CO722"/>
      <c r="CP722"/>
      <c r="CQ722"/>
      <c r="CR722"/>
      <c r="CS722"/>
      <c r="CT722"/>
      <c r="CU722"/>
      <c r="CV722"/>
      <c r="CW722"/>
      <c r="CX722"/>
      <c r="CY722"/>
      <c r="CZ722"/>
      <c r="DA722"/>
      <c r="DB722"/>
      <c r="DC722"/>
      <c r="DD722"/>
      <c r="DE722"/>
      <c r="DF722"/>
      <c r="DG722"/>
      <c r="DH722"/>
      <c r="DI722"/>
      <c r="DJ722"/>
      <c r="DK722"/>
    </row>
    <row r="723" spans="13:115" x14ac:dyDescent="0.25">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c r="BA723"/>
      <c r="BB723"/>
      <c r="BC723"/>
      <c r="BD723"/>
      <c r="BE723"/>
      <c r="BF723"/>
      <c r="BG723"/>
      <c r="BH723"/>
      <c r="BI723"/>
      <c r="BJ723"/>
      <c r="BK723"/>
      <c r="BL723"/>
      <c r="BM723"/>
      <c r="BN723"/>
      <c r="BO723"/>
      <c r="BP723"/>
      <c r="BQ723"/>
      <c r="BR723"/>
      <c r="BS723"/>
      <c r="BT723"/>
      <c r="BU723"/>
      <c r="BV723"/>
      <c r="BW723"/>
      <c r="BX723"/>
      <c r="BY723"/>
      <c r="BZ723"/>
      <c r="CA723"/>
      <c r="CB723"/>
      <c r="CC723"/>
      <c r="CD723"/>
      <c r="CE723"/>
      <c r="CF723"/>
      <c r="CG723"/>
      <c r="CH723"/>
      <c r="CI723"/>
      <c r="CJ723"/>
      <c r="CK723"/>
      <c r="CL723"/>
      <c r="CM723"/>
      <c r="CN723"/>
      <c r="CO723"/>
      <c r="CP723"/>
      <c r="CQ723"/>
      <c r="CR723"/>
      <c r="CS723"/>
      <c r="CT723"/>
      <c r="CU723"/>
      <c r="CV723"/>
      <c r="CW723"/>
      <c r="CX723"/>
      <c r="CY723"/>
      <c r="CZ723"/>
      <c r="DA723"/>
      <c r="DB723"/>
      <c r="DC723"/>
      <c r="DD723"/>
      <c r="DE723"/>
      <c r="DF723"/>
      <c r="DG723"/>
      <c r="DH723"/>
      <c r="DI723"/>
      <c r="DJ723"/>
      <c r="DK723"/>
    </row>
    <row r="724" spans="13:115" x14ac:dyDescent="0.25">
      <c r="M724"/>
      <c r="N724"/>
      <c r="O724"/>
      <c r="P724"/>
      <c r="Q724"/>
      <c r="R724"/>
      <c r="S724"/>
      <c r="T724"/>
      <c r="U724"/>
      <c r="V724"/>
      <c r="W724"/>
      <c r="X724"/>
      <c r="Y724"/>
      <c r="Z724"/>
      <c r="AA724"/>
      <c r="AB724"/>
      <c r="AC724"/>
      <c r="AD724"/>
      <c r="AE724"/>
      <c r="AF724"/>
      <c r="AG724"/>
      <c r="AH724"/>
      <c r="AI724"/>
      <c r="AJ724"/>
      <c r="AK724"/>
      <c r="AL724"/>
      <c r="AM724"/>
      <c r="AN724"/>
      <c r="AO724"/>
      <c r="AP724"/>
      <c r="AQ724"/>
      <c r="AR724"/>
      <c r="AS724"/>
      <c r="AT724"/>
      <c r="AU724"/>
      <c r="AV724"/>
      <c r="AW724"/>
      <c r="AX724"/>
      <c r="AY724"/>
      <c r="AZ724"/>
      <c r="BA724"/>
      <c r="BB724"/>
      <c r="BC724"/>
      <c r="BD724"/>
      <c r="BE724"/>
      <c r="BF724"/>
      <c r="BG724"/>
      <c r="BH724"/>
      <c r="BI724"/>
      <c r="BJ724"/>
      <c r="BK724"/>
      <c r="BL724"/>
      <c r="BM724"/>
      <c r="BN724"/>
      <c r="BO724"/>
      <c r="BP724"/>
      <c r="BQ724"/>
      <c r="BR724"/>
      <c r="BS724"/>
      <c r="BT724"/>
      <c r="BU724"/>
      <c r="BV724"/>
      <c r="BW724"/>
      <c r="BX724"/>
      <c r="BY724"/>
      <c r="BZ724"/>
      <c r="CA724"/>
      <c r="CB724"/>
      <c r="CC724"/>
      <c r="CD724"/>
      <c r="CE724"/>
      <c r="CF724"/>
      <c r="CG724"/>
      <c r="CH724"/>
      <c r="CI724"/>
      <c r="CJ724"/>
      <c r="CK724"/>
      <c r="CL724"/>
      <c r="CM724"/>
      <c r="CN724"/>
      <c r="CO724"/>
      <c r="CP724"/>
      <c r="CQ724"/>
      <c r="CR724"/>
      <c r="CS724"/>
      <c r="CT724"/>
      <c r="CU724"/>
      <c r="CV724"/>
      <c r="CW724"/>
      <c r="CX724"/>
      <c r="CY724"/>
      <c r="CZ724"/>
      <c r="DA724"/>
      <c r="DB724"/>
      <c r="DC724"/>
      <c r="DD724"/>
      <c r="DE724"/>
      <c r="DF724"/>
      <c r="DG724"/>
      <c r="DH724"/>
      <c r="DI724"/>
      <c r="DJ724"/>
      <c r="DK724"/>
    </row>
    <row r="725" spans="13:115" x14ac:dyDescent="0.25">
      <c r="M725"/>
      <c r="N725"/>
      <c r="O725"/>
      <c r="P725"/>
      <c r="Q725"/>
      <c r="R725"/>
      <c r="S725"/>
      <c r="T725"/>
      <c r="U725"/>
      <c r="V725"/>
      <c r="W725"/>
      <c r="X725"/>
      <c r="Y725"/>
      <c r="Z725"/>
      <c r="AA725"/>
      <c r="AB725"/>
      <c r="AC725"/>
      <c r="AD725"/>
      <c r="AE725"/>
      <c r="AF725"/>
      <c r="AG725"/>
      <c r="AH725"/>
      <c r="AI725"/>
      <c r="AJ725"/>
      <c r="AK725"/>
      <c r="AL725"/>
      <c r="AM725"/>
      <c r="AN725"/>
      <c r="AO725"/>
      <c r="AP725"/>
      <c r="AQ725"/>
      <c r="AR725"/>
      <c r="AS725"/>
      <c r="AT725"/>
      <c r="AU725"/>
      <c r="AV725"/>
      <c r="AW725"/>
      <c r="AX725"/>
      <c r="AY725"/>
      <c r="AZ725"/>
      <c r="BA725"/>
      <c r="BB725"/>
      <c r="BC725"/>
      <c r="BD725"/>
      <c r="BE725"/>
      <c r="BF725"/>
      <c r="BG725"/>
      <c r="BH725"/>
      <c r="BI725"/>
      <c r="BJ725"/>
      <c r="BK725"/>
      <c r="BL725"/>
      <c r="BM725"/>
      <c r="BN725"/>
      <c r="BO725"/>
      <c r="BP725"/>
      <c r="BQ725"/>
      <c r="BR725"/>
      <c r="BS725"/>
      <c r="BT725"/>
      <c r="BU725"/>
      <c r="BV725"/>
      <c r="BW725"/>
      <c r="BX725"/>
      <c r="BY725"/>
      <c r="BZ725"/>
      <c r="CA725"/>
      <c r="CB725"/>
      <c r="CC725"/>
      <c r="CD725"/>
      <c r="CE725"/>
      <c r="CF725"/>
      <c r="CG725"/>
      <c r="CH725"/>
      <c r="CI725"/>
      <c r="CJ725"/>
      <c r="CK725"/>
      <c r="CL725"/>
      <c r="CM725"/>
      <c r="CN725"/>
      <c r="CO725"/>
      <c r="CP725"/>
      <c r="CQ725"/>
      <c r="CR725"/>
      <c r="CS725"/>
      <c r="CT725"/>
      <c r="CU725"/>
      <c r="CV725"/>
      <c r="CW725"/>
      <c r="CX725"/>
      <c r="CY725"/>
      <c r="CZ725"/>
      <c r="DA725"/>
      <c r="DB725"/>
      <c r="DC725"/>
      <c r="DD725"/>
      <c r="DE725"/>
      <c r="DF725"/>
      <c r="DG725"/>
      <c r="DH725"/>
      <c r="DI725"/>
      <c r="DJ725"/>
      <c r="DK725"/>
    </row>
    <row r="726" spans="13:115" x14ac:dyDescent="0.25">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c r="BB726"/>
      <c r="BC726"/>
      <c r="BD726"/>
      <c r="BE726"/>
      <c r="BF726"/>
      <c r="BG726"/>
      <c r="BH726"/>
      <c r="BI726"/>
      <c r="BJ726"/>
      <c r="BK726"/>
      <c r="BL726"/>
      <c r="BM726"/>
      <c r="BN726"/>
      <c r="BO726"/>
      <c r="BP726"/>
      <c r="BQ726"/>
      <c r="BR726"/>
      <c r="BS726"/>
      <c r="BT726"/>
      <c r="BU726"/>
      <c r="BV726"/>
      <c r="BW726"/>
      <c r="BX726"/>
      <c r="BY726"/>
      <c r="BZ726"/>
      <c r="CA726"/>
      <c r="CB726"/>
      <c r="CC726"/>
      <c r="CD726"/>
      <c r="CE726"/>
      <c r="CF726"/>
      <c r="CG726"/>
      <c r="CH726"/>
      <c r="CI726"/>
      <c r="CJ726"/>
      <c r="CK726"/>
      <c r="CL726"/>
      <c r="CM726"/>
      <c r="CN726"/>
      <c r="CO726"/>
      <c r="CP726"/>
      <c r="CQ726"/>
      <c r="CR726"/>
      <c r="CS726"/>
      <c r="CT726"/>
      <c r="CU726"/>
      <c r="CV726"/>
      <c r="CW726"/>
      <c r="CX726"/>
      <c r="CY726"/>
      <c r="CZ726"/>
      <c r="DA726"/>
      <c r="DB726"/>
      <c r="DC726"/>
      <c r="DD726"/>
      <c r="DE726"/>
      <c r="DF726"/>
      <c r="DG726"/>
      <c r="DH726"/>
      <c r="DI726"/>
      <c r="DJ726"/>
      <c r="DK726"/>
    </row>
    <row r="727" spans="13:115" x14ac:dyDescent="0.25">
      <c r="M727"/>
      <c r="N727"/>
      <c r="O727"/>
      <c r="P727"/>
      <c r="Q727"/>
      <c r="R727"/>
      <c r="S727"/>
      <c r="T727"/>
      <c r="U727"/>
      <c r="V727"/>
      <c r="W727"/>
      <c r="X727"/>
      <c r="Y727"/>
      <c r="Z727"/>
      <c r="AA727"/>
      <c r="AB727"/>
      <c r="AC727"/>
      <c r="AD727"/>
      <c r="AE727"/>
      <c r="AF727"/>
      <c r="AG727"/>
      <c r="AH727"/>
      <c r="AI727"/>
      <c r="AJ727"/>
      <c r="AK727"/>
      <c r="AL727"/>
      <c r="AM727"/>
      <c r="AN727"/>
      <c r="AO727"/>
      <c r="AP727"/>
      <c r="AQ727"/>
      <c r="AR727"/>
      <c r="AS727"/>
      <c r="AT727"/>
      <c r="AU727"/>
      <c r="AV727"/>
      <c r="AW727"/>
      <c r="AX727"/>
      <c r="AY727"/>
      <c r="AZ727"/>
      <c r="BA727"/>
      <c r="BB727"/>
      <c r="BC727"/>
      <c r="BD727"/>
      <c r="BE727"/>
      <c r="BF727"/>
      <c r="BG727"/>
      <c r="BH727"/>
      <c r="BI727"/>
      <c r="BJ727"/>
      <c r="BK727"/>
      <c r="BL727"/>
      <c r="BM727"/>
      <c r="BN727"/>
      <c r="BO727"/>
      <c r="BP727"/>
      <c r="BQ727"/>
      <c r="BR727"/>
      <c r="BS727"/>
      <c r="BT727"/>
      <c r="BU727"/>
      <c r="BV727"/>
      <c r="BW727"/>
      <c r="BX727"/>
      <c r="BY727"/>
      <c r="BZ727"/>
      <c r="CA727"/>
      <c r="CB727"/>
      <c r="CC727"/>
      <c r="CD727"/>
      <c r="CE727"/>
      <c r="CF727"/>
      <c r="CG727"/>
      <c r="CH727"/>
      <c r="CI727"/>
      <c r="CJ727"/>
      <c r="CK727"/>
      <c r="CL727"/>
      <c r="CM727"/>
      <c r="CN727"/>
      <c r="CO727"/>
      <c r="CP727"/>
      <c r="CQ727"/>
      <c r="CR727"/>
      <c r="CS727"/>
      <c r="CT727"/>
      <c r="CU727"/>
      <c r="CV727"/>
      <c r="CW727"/>
      <c r="CX727"/>
      <c r="CY727"/>
      <c r="CZ727"/>
      <c r="DA727"/>
      <c r="DB727"/>
      <c r="DC727"/>
      <c r="DD727"/>
      <c r="DE727"/>
      <c r="DF727"/>
      <c r="DG727"/>
      <c r="DH727"/>
      <c r="DI727"/>
      <c r="DJ727"/>
      <c r="DK727"/>
    </row>
    <row r="728" spans="13:115" x14ac:dyDescent="0.25">
      <c r="M728"/>
      <c r="N728"/>
      <c r="O728"/>
      <c r="P728"/>
      <c r="Q728"/>
      <c r="R728"/>
      <c r="S728"/>
      <c r="T728"/>
      <c r="U728"/>
      <c r="V728"/>
      <c r="W728"/>
      <c r="X728"/>
      <c r="Y728"/>
      <c r="Z728"/>
      <c r="AA728"/>
      <c r="AB728"/>
      <c r="AC728"/>
      <c r="AD728"/>
      <c r="AE728"/>
      <c r="AF728"/>
      <c r="AG728"/>
      <c r="AH728"/>
      <c r="AI728"/>
      <c r="AJ728"/>
      <c r="AK728"/>
      <c r="AL728"/>
      <c r="AM728"/>
      <c r="AN728"/>
      <c r="AO728"/>
      <c r="AP728"/>
      <c r="AQ728"/>
      <c r="AR728"/>
      <c r="AS728"/>
      <c r="AT728"/>
      <c r="AU728"/>
      <c r="AV728"/>
      <c r="AW728"/>
      <c r="AX728"/>
      <c r="AY728"/>
      <c r="AZ728"/>
      <c r="BA728"/>
      <c r="BB728"/>
      <c r="BC728"/>
      <c r="BD728"/>
      <c r="BE728"/>
      <c r="BF728"/>
      <c r="BG728"/>
      <c r="BH728"/>
      <c r="BI728"/>
      <c r="BJ728"/>
      <c r="BK728"/>
      <c r="BL728"/>
      <c r="BM728"/>
      <c r="BN728"/>
      <c r="BO728"/>
      <c r="BP728"/>
      <c r="BQ728"/>
      <c r="BR728"/>
      <c r="BS728"/>
      <c r="BT728"/>
      <c r="BU728"/>
      <c r="BV728"/>
      <c r="BW728"/>
      <c r="BX728"/>
      <c r="BY728"/>
      <c r="BZ728"/>
      <c r="CA728"/>
      <c r="CB728"/>
      <c r="CC728"/>
      <c r="CD728"/>
      <c r="CE728"/>
      <c r="CF728"/>
      <c r="CG728"/>
      <c r="CH728"/>
      <c r="CI728"/>
      <c r="CJ728"/>
      <c r="CK728"/>
      <c r="CL728"/>
      <c r="CM728"/>
      <c r="CN728"/>
      <c r="CO728"/>
      <c r="CP728"/>
      <c r="CQ728"/>
      <c r="CR728"/>
      <c r="CS728"/>
      <c r="CT728"/>
      <c r="CU728"/>
      <c r="CV728"/>
      <c r="CW728"/>
      <c r="CX728"/>
      <c r="CY728"/>
      <c r="CZ728"/>
      <c r="DA728"/>
      <c r="DB728"/>
      <c r="DC728"/>
      <c r="DD728"/>
      <c r="DE728"/>
      <c r="DF728"/>
      <c r="DG728"/>
      <c r="DH728"/>
      <c r="DI728"/>
      <c r="DJ728"/>
      <c r="DK728"/>
    </row>
    <row r="729" spans="13:115" x14ac:dyDescent="0.25">
      <c r="M729"/>
      <c r="N729"/>
      <c r="O729"/>
      <c r="P729"/>
      <c r="Q729"/>
      <c r="R729"/>
      <c r="S729"/>
      <c r="T729"/>
      <c r="U729"/>
      <c r="V729"/>
      <c r="W729"/>
      <c r="X729"/>
      <c r="Y729"/>
      <c r="Z729"/>
      <c r="AA729"/>
      <c r="AB729"/>
      <c r="AC729"/>
      <c r="AD729"/>
      <c r="AE729"/>
      <c r="AF729"/>
      <c r="AG729"/>
      <c r="AH729"/>
      <c r="AI729"/>
      <c r="AJ729"/>
      <c r="AK729"/>
      <c r="AL729"/>
      <c r="AM729"/>
      <c r="AN729"/>
      <c r="AO729"/>
      <c r="AP729"/>
      <c r="AQ729"/>
      <c r="AR729"/>
      <c r="AS729"/>
      <c r="AT729"/>
      <c r="AU729"/>
      <c r="AV729"/>
      <c r="AW729"/>
      <c r="AX729"/>
      <c r="AY729"/>
      <c r="AZ729"/>
      <c r="BA729"/>
      <c r="BB729"/>
      <c r="BC729"/>
      <c r="BD729"/>
      <c r="BE729"/>
      <c r="BF729"/>
      <c r="BG729"/>
      <c r="BH729"/>
      <c r="BI729"/>
      <c r="BJ729"/>
      <c r="BK729"/>
      <c r="BL729"/>
      <c r="BM729"/>
      <c r="BN729"/>
      <c r="BO729"/>
      <c r="BP729"/>
      <c r="BQ729"/>
      <c r="BR729"/>
      <c r="BS729"/>
      <c r="BT729"/>
      <c r="BU729"/>
      <c r="BV729"/>
      <c r="BW729"/>
      <c r="BX729"/>
      <c r="BY729"/>
      <c r="BZ729"/>
      <c r="CA729"/>
      <c r="CB729"/>
      <c r="CC729"/>
      <c r="CD729"/>
      <c r="CE729"/>
      <c r="CF729"/>
      <c r="CG729"/>
      <c r="CH729"/>
      <c r="CI729"/>
      <c r="CJ729"/>
      <c r="CK729"/>
      <c r="CL729"/>
      <c r="CM729"/>
      <c r="CN729"/>
      <c r="CO729"/>
      <c r="CP729"/>
      <c r="CQ729"/>
      <c r="CR729"/>
      <c r="CS729"/>
      <c r="CT729"/>
      <c r="CU729"/>
      <c r="CV729"/>
      <c r="CW729"/>
      <c r="CX729"/>
      <c r="CY729"/>
      <c r="CZ729"/>
      <c r="DA729"/>
      <c r="DB729"/>
      <c r="DC729"/>
      <c r="DD729"/>
      <c r="DE729"/>
      <c r="DF729"/>
      <c r="DG729"/>
      <c r="DH729"/>
      <c r="DI729"/>
      <c r="DJ729"/>
      <c r="DK729"/>
    </row>
    <row r="730" spans="13:115" x14ac:dyDescent="0.25">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c r="BA730"/>
      <c r="BB730"/>
      <c r="BC730"/>
      <c r="BD730"/>
      <c r="BE730"/>
      <c r="BF730"/>
      <c r="BG730"/>
      <c r="BH730"/>
      <c r="BI730"/>
      <c r="BJ730"/>
      <c r="BK730"/>
      <c r="BL730"/>
      <c r="BM730"/>
      <c r="BN730"/>
      <c r="BO730"/>
      <c r="BP730"/>
      <c r="BQ730"/>
      <c r="BR730"/>
      <c r="BS730"/>
      <c r="BT730"/>
      <c r="BU730"/>
      <c r="BV730"/>
      <c r="BW730"/>
      <c r="BX730"/>
      <c r="BY730"/>
      <c r="BZ730"/>
      <c r="CA730"/>
      <c r="CB730"/>
      <c r="CC730"/>
      <c r="CD730"/>
      <c r="CE730"/>
      <c r="CF730"/>
      <c r="CG730"/>
      <c r="CH730"/>
      <c r="CI730"/>
      <c r="CJ730"/>
      <c r="CK730"/>
      <c r="CL730"/>
      <c r="CM730"/>
      <c r="CN730"/>
      <c r="CO730"/>
      <c r="CP730"/>
      <c r="CQ730"/>
      <c r="CR730"/>
      <c r="CS730"/>
      <c r="CT730"/>
      <c r="CU730"/>
      <c r="CV730"/>
      <c r="CW730"/>
      <c r="CX730"/>
      <c r="CY730"/>
      <c r="CZ730"/>
      <c r="DA730"/>
      <c r="DB730"/>
      <c r="DC730"/>
      <c r="DD730"/>
      <c r="DE730"/>
      <c r="DF730"/>
      <c r="DG730"/>
      <c r="DH730"/>
      <c r="DI730"/>
      <c r="DJ730"/>
      <c r="DK730"/>
    </row>
    <row r="731" spans="13:115" x14ac:dyDescent="0.25">
      <c r="M731"/>
      <c r="N731"/>
      <c r="O731"/>
      <c r="P731"/>
      <c r="Q731"/>
      <c r="R731"/>
      <c r="S731"/>
      <c r="T731"/>
      <c r="U731"/>
      <c r="V731"/>
      <c r="W731"/>
      <c r="X731"/>
      <c r="Y731"/>
      <c r="Z731"/>
      <c r="AA731"/>
      <c r="AB731"/>
      <c r="AC731"/>
      <c r="AD731"/>
      <c r="AE731"/>
      <c r="AF731"/>
      <c r="AG731"/>
      <c r="AH731"/>
      <c r="AI731"/>
      <c r="AJ731"/>
      <c r="AK731"/>
      <c r="AL731"/>
      <c r="AM731"/>
      <c r="AN731"/>
      <c r="AO731"/>
      <c r="AP731"/>
      <c r="AQ731"/>
      <c r="AR731"/>
      <c r="AS731"/>
      <c r="AT731"/>
      <c r="AU731"/>
      <c r="AV731"/>
      <c r="AW731"/>
      <c r="AX731"/>
      <c r="AY731"/>
      <c r="AZ731"/>
      <c r="BA731"/>
      <c r="BB731"/>
      <c r="BC731"/>
      <c r="BD731"/>
      <c r="BE731"/>
      <c r="BF731"/>
      <c r="BG731"/>
      <c r="BH731"/>
      <c r="BI731"/>
      <c r="BJ731"/>
      <c r="BK731"/>
      <c r="BL731"/>
      <c r="BM731"/>
      <c r="BN731"/>
      <c r="BO731"/>
      <c r="BP731"/>
      <c r="BQ731"/>
      <c r="BR731"/>
      <c r="BS731"/>
      <c r="BT731"/>
      <c r="BU731"/>
      <c r="BV731"/>
      <c r="BW731"/>
      <c r="BX731"/>
      <c r="BY731"/>
      <c r="BZ731"/>
      <c r="CA731"/>
      <c r="CB731"/>
      <c r="CC731"/>
      <c r="CD731"/>
      <c r="CE731"/>
      <c r="CF731"/>
      <c r="CG731"/>
      <c r="CH731"/>
      <c r="CI731"/>
      <c r="CJ731"/>
      <c r="CK731"/>
      <c r="CL731"/>
      <c r="CM731"/>
      <c r="CN731"/>
      <c r="CO731"/>
      <c r="CP731"/>
      <c r="CQ731"/>
      <c r="CR731"/>
      <c r="CS731"/>
      <c r="CT731"/>
      <c r="CU731"/>
      <c r="CV731"/>
      <c r="CW731"/>
      <c r="CX731"/>
      <c r="CY731"/>
      <c r="CZ731"/>
      <c r="DA731"/>
      <c r="DB731"/>
      <c r="DC731"/>
      <c r="DD731"/>
      <c r="DE731"/>
      <c r="DF731"/>
      <c r="DG731"/>
      <c r="DH731"/>
      <c r="DI731"/>
      <c r="DJ731"/>
      <c r="DK731"/>
    </row>
    <row r="732" spans="13:115" x14ac:dyDescent="0.25">
      <c r="M732"/>
      <c r="N732"/>
      <c r="O732"/>
      <c r="P732"/>
      <c r="Q732"/>
      <c r="R732"/>
      <c r="S732"/>
      <c r="T732"/>
      <c r="U732"/>
      <c r="V732"/>
      <c r="W732"/>
      <c r="X732"/>
      <c r="Y732"/>
      <c r="Z732"/>
      <c r="AA732"/>
      <c r="AB732"/>
      <c r="AC732"/>
      <c r="AD732"/>
      <c r="AE732"/>
      <c r="AF732"/>
      <c r="AG732"/>
      <c r="AH732"/>
      <c r="AI732"/>
      <c r="AJ732"/>
      <c r="AK732"/>
      <c r="AL732"/>
      <c r="AM732"/>
      <c r="AN732"/>
      <c r="AO732"/>
      <c r="AP732"/>
      <c r="AQ732"/>
      <c r="AR732"/>
      <c r="AS732"/>
      <c r="AT732"/>
      <c r="AU732"/>
      <c r="AV732"/>
      <c r="AW732"/>
      <c r="AX732"/>
      <c r="AY732"/>
      <c r="AZ732"/>
      <c r="BA732"/>
      <c r="BB732"/>
      <c r="BC732"/>
      <c r="BD732"/>
      <c r="BE732"/>
      <c r="BF732"/>
      <c r="BG732"/>
      <c r="BH732"/>
      <c r="BI732"/>
      <c r="BJ732"/>
      <c r="BK732"/>
      <c r="BL732"/>
      <c r="BM732"/>
      <c r="BN732"/>
      <c r="BO732"/>
      <c r="BP732"/>
      <c r="BQ732"/>
      <c r="BR732"/>
      <c r="BS732"/>
      <c r="BT732"/>
      <c r="BU732"/>
      <c r="BV732"/>
      <c r="BW732"/>
      <c r="BX732"/>
      <c r="BY732"/>
      <c r="BZ732"/>
      <c r="CA732"/>
      <c r="CB732"/>
      <c r="CC732"/>
      <c r="CD732"/>
      <c r="CE732"/>
      <c r="CF732"/>
      <c r="CG732"/>
      <c r="CH732"/>
      <c r="CI732"/>
      <c r="CJ732"/>
      <c r="CK732"/>
      <c r="CL732"/>
      <c r="CM732"/>
      <c r="CN732"/>
      <c r="CO732"/>
      <c r="CP732"/>
      <c r="CQ732"/>
      <c r="CR732"/>
      <c r="CS732"/>
      <c r="CT732"/>
      <c r="CU732"/>
      <c r="CV732"/>
      <c r="CW732"/>
      <c r="CX732"/>
      <c r="CY732"/>
      <c r="CZ732"/>
      <c r="DA732"/>
      <c r="DB732"/>
      <c r="DC732"/>
      <c r="DD732"/>
      <c r="DE732"/>
      <c r="DF732"/>
      <c r="DG732"/>
      <c r="DH732"/>
      <c r="DI732"/>
      <c r="DJ732"/>
      <c r="DK732"/>
    </row>
    <row r="733" spans="13:115" x14ac:dyDescent="0.25">
      <c r="M733"/>
      <c r="N733"/>
      <c r="O733"/>
      <c r="P733"/>
      <c r="Q733"/>
      <c r="R733"/>
      <c r="S733"/>
      <c r="T733"/>
      <c r="U733"/>
      <c r="V733"/>
      <c r="W733"/>
      <c r="X733"/>
      <c r="Y733"/>
      <c r="Z733"/>
      <c r="AA733"/>
      <c r="AB733"/>
      <c r="AC733"/>
      <c r="AD733"/>
      <c r="AE733"/>
      <c r="AF733"/>
      <c r="AG733"/>
      <c r="AH733"/>
      <c r="AI733"/>
      <c r="AJ733"/>
      <c r="AK733"/>
      <c r="AL733"/>
      <c r="AM733"/>
      <c r="AN733"/>
      <c r="AO733"/>
      <c r="AP733"/>
      <c r="AQ733"/>
      <c r="AR733"/>
      <c r="AS733"/>
      <c r="AT733"/>
      <c r="AU733"/>
      <c r="AV733"/>
      <c r="AW733"/>
      <c r="AX733"/>
      <c r="AY733"/>
      <c r="AZ733"/>
      <c r="BA733"/>
      <c r="BB733"/>
      <c r="BC733"/>
      <c r="BD733"/>
      <c r="BE733"/>
      <c r="BF733"/>
      <c r="BG733"/>
      <c r="BH733"/>
      <c r="BI733"/>
      <c r="BJ733"/>
      <c r="BK733"/>
      <c r="BL733"/>
      <c r="BM733"/>
      <c r="BN733"/>
      <c r="BO733"/>
      <c r="BP733"/>
      <c r="BQ733"/>
      <c r="BR733"/>
      <c r="BS733"/>
      <c r="BT733"/>
      <c r="BU733"/>
      <c r="BV733"/>
      <c r="BW733"/>
      <c r="BX733"/>
      <c r="BY733"/>
      <c r="BZ733"/>
      <c r="CA733"/>
      <c r="CB733"/>
      <c r="CC733"/>
      <c r="CD733"/>
      <c r="CE733"/>
      <c r="CF733"/>
      <c r="CG733"/>
      <c r="CH733"/>
      <c r="CI733"/>
      <c r="CJ733"/>
      <c r="CK733"/>
      <c r="CL733"/>
      <c r="CM733"/>
      <c r="CN733"/>
      <c r="CO733"/>
      <c r="CP733"/>
      <c r="CQ733"/>
      <c r="CR733"/>
      <c r="CS733"/>
      <c r="CT733"/>
      <c r="CU733"/>
      <c r="CV733"/>
      <c r="CW733"/>
      <c r="CX733"/>
      <c r="CY733"/>
      <c r="CZ733"/>
      <c r="DA733"/>
      <c r="DB733"/>
      <c r="DC733"/>
      <c r="DD733"/>
      <c r="DE733"/>
      <c r="DF733"/>
      <c r="DG733"/>
      <c r="DH733"/>
      <c r="DI733"/>
      <c r="DJ733"/>
      <c r="DK733"/>
    </row>
    <row r="734" spans="13:115" x14ac:dyDescent="0.25">
      <c r="M734"/>
      <c r="N734"/>
      <c r="O734"/>
      <c r="P734"/>
      <c r="Q734"/>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c r="BA734"/>
      <c r="BB734"/>
      <c r="BC734"/>
      <c r="BD734"/>
      <c r="BE734"/>
      <c r="BF734"/>
      <c r="BG734"/>
      <c r="BH734"/>
      <c r="BI734"/>
      <c r="BJ734"/>
      <c r="BK734"/>
      <c r="BL734"/>
      <c r="BM734"/>
      <c r="BN734"/>
      <c r="BO734"/>
      <c r="BP734"/>
      <c r="BQ734"/>
      <c r="BR734"/>
      <c r="BS734"/>
      <c r="BT734"/>
      <c r="BU734"/>
      <c r="BV734"/>
      <c r="BW734"/>
      <c r="BX734"/>
      <c r="BY734"/>
      <c r="BZ734"/>
      <c r="CA734"/>
      <c r="CB734"/>
      <c r="CC734"/>
      <c r="CD734"/>
      <c r="CE734"/>
      <c r="CF734"/>
      <c r="CG734"/>
      <c r="CH734"/>
      <c r="CI734"/>
      <c r="CJ734"/>
      <c r="CK734"/>
      <c r="CL734"/>
      <c r="CM734"/>
      <c r="CN734"/>
      <c r="CO734"/>
      <c r="CP734"/>
      <c r="CQ734"/>
      <c r="CR734"/>
      <c r="CS734"/>
      <c r="CT734"/>
      <c r="CU734"/>
      <c r="CV734"/>
      <c r="CW734"/>
      <c r="CX734"/>
      <c r="CY734"/>
      <c r="CZ734"/>
      <c r="DA734"/>
      <c r="DB734"/>
      <c r="DC734"/>
      <c r="DD734"/>
      <c r="DE734"/>
      <c r="DF734"/>
      <c r="DG734"/>
      <c r="DH734"/>
      <c r="DI734"/>
      <c r="DJ734"/>
      <c r="DK734"/>
    </row>
    <row r="735" spans="13:115" x14ac:dyDescent="0.25">
      <c r="M735"/>
      <c r="N735"/>
      <c r="O735"/>
      <c r="P735"/>
      <c r="Q735"/>
      <c r="R735"/>
      <c r="S735"/>
      <c r="T735"/>
      <c r="U735"/>
      <c r="V735"/>
      <c r="W735"/>
      <c r="X735"/>
      <c r="Y735"/>
      <c r="Z735"/>
      <c r="AA735"/>
      <c r="AB735"/>
      <c r="AC735"/>
      <c r="AD735"/>
      <c r="AE735"/>
      <c r="AF735"/>
      <c r="AG735"/>
      <c r="AH735"/>
      <c r="AI735"/>
      <c r="AJ735"/>
      <c r="AK735"/>
      <c r="AL735"/>
      <c r="AM735"/>
      <c r="AN735"/>
      <c r="AO735"/>
      <c r="AP735"/>
      <c r="AQ735"/>
      <c r="AR735"/>
      <c r="AS735"/>
      <c r="AT735"/>
      <c r="AU735"/>
      <c r="AV735"/>
      <c r="AW735"/>
      <c r="AX735"/>
      <c r="AY735"/>
      <c r="AZ735"/>
      <c r="BA735"/>
      <c r="BB735"/>
      <c r="BC735"/>
      <c r="BD735"/>
      <c r="BE735"/>
      <c r="BF735"/>
      <c r="BG735"/>
      <c r="BH735"/>
      <c r="BI735"/>
      <c r="BJ735"/>
      <c r="BK735"/>
      <c r="BL735"/>
      <c r="BM735"/>
      <c r="BN735"/>
      <c r="BO735"/>
      <c r="BP735"/>
      <c r="BQ735"/>
      <c r="BR735"/>
      <c r="BS735"/>
      <c r="BT735"/>
      <c r="BU735"/>
      <c r="BV735"/>
      <c r="BW735"/>
      <c r="BX735"/>
      <c r="BY735"/>
      <c r="BZ735"/>
      <c r="CA735"/>
      <c r="CB735"/>
      <c r="CC735"/>
      <c r="CD735"/>
      <c r="CE735"/>
      <c r="CF735"/>
      <c r="CG735"/>
      <c r="CH735"/>
      <c r="CI735"/>
      <c r="CJ735"/>
      <c r="CK735"/>
      <c r="CL735"/>
      <c r="CM735"/>
      <c r="CN735"/>
      <c r="CO735"/>
      <c r="CP735"/>
      <c r="CQ735"/>
      <c r="CR735"/>
      <c r="CS735"/>
      <c r="CT735"/>
      <c r="CU735"/>
      <c r="CV735"/>
      <c r="CW735"/>
      <c r="CX735"/>
      <c r="CY735"/>
      <c r="CZ735"/>
      <c r="DA735"/>
      <c r="DB735"/>
      <c r="DC735"/>
      <c r="DD735"/>
      <c r="DE735"/>
      <c r="DF735"/>
      <c r="DG735"/>
      <c r="DH735"/>
      <c r="DI735"/>
      <c r="DJ735"/>
      <c r="DK735"/>
    </row>
    <row r="736" spans="13:115" x14ac:dyDescent="0.25">
      <c r="M736"/>
      <c r="N736"/>
      <c r="O736"/>
      <c r="P736"/>
      <c r="Q736"/>
      <c r="R736"/>
      <c r="S736"/>
      <c r="T736"/>
      <c r="U736"/>
      <c r="V736"/>
      <c r="W736"/>
      <c r="X736"/>
      <c r="Y736"/>
      <c r="Z736"/>
      <c r="AA736"/>
      <c r="AB736"/>
      <c r="AC736"/>
      <c r="AD736"/>
      <c r="AE736"/>
      <c r="AF736"/>
      <c r="AG736"/>
      <c r="AH736"/>
      <c r="AI736"/>
      <c r="AJ736"/>
      <c r="AK736"/>
      <c r="AL736"/>
      <c r="AM736"/>
      <c r="AN736"/>
      <c r="AO736"/>
      <c r="AP736"/>
      <c r="AQ736"/>
      <c r="AR736"/>
      <c r="AS736"/>
      <c r="AT736"/>
      <c r="AU736"/>
      <c r="AV736"/>
      <c r="AW736"/>
      <c r="AX736"/>
      <c r="AY736"/>
      <c r="AZ736"/>
      <c r="BA736"/>
      <c r="BB736"/>
      <c r="BC736"/>
      <c r="BD736"/>
      <c r="BE736"/>
      <c r="BF736"/>
      <c r="BG736"/>
      <c r="BH736"/>
      <c r="BI736"/>
      <c r="BJ736"/>
      <c r="BK736"/>
      <c r="BL736"/>
      <c r="BM736"/>
      <c r="BN736"/>
      <c r="BO736"/>
      <c r="BP736"/>
      <c r="BQ736"/>
      <c r="BR736"/>
      <c r="BS736"/>
      <c r="BT736"/>
      <c r="BU736"/>
      <c r="BV736"/>
      <c r="BW736"/>
      <c r="BX736"/>
      <c r="BY736"/>
      <c r="BZ736"/>
      <c r="CA736"/>
      <c r="CB736"/>
      <c r="CC736"/>
      <c r="CD736"/>
      <c r="CE736"/>
      <c r="CF736"/>
      <c r="CG736"/>
      <c r="CH736"/>
      <c r="CI736"/>
      <c r="CJ736"/>
      <c r="CK736"/>
      <c r="CL736"/>
      <c r="CM736"/>
      <c r="CN736"/>
      <c r="CO736"/>
      <c r="CP736"/>
      <c r="CQ736"/>
      <c r="CR736"/>
      <c r="CS736"/>
      <c r="CT736"/>
      <c r="CU736"/>
      <c r="CV736"/>
      <c r="CW736"/>
      <c r="CX736"/>
      <c r="CY736"/>
      <c r="CZ736"/>
      <c r="DA736"/>
      <c r="DB736"/>
      <c r="DC736"/>
      <c r="DD736"/>
      <c r="DE736"/>
      <c r="DF736"/>
      <c r="DG736"/>
      <c r="DH736"/>
      <c r="DI736"/>
      <c r="DJ736"/>
      <c r="DK736"/>
    </row>
    <row r="737" spans="13:115" x14ac:dyDescent="0.25">
      <c r="M737"/>
      <c r="N737"/>
      <c r="O737"/>
      <c r="P737"/>
      <c r="Q737"/>
      <c r="R737"/>
      <c r="S737"/>
      <c r="T737"/>
      <c r="U737"/>
      <c r="V737"/>
      <c r="W737"/>
      <c r="X737"/>
      <c r="Y737"/>
      <c r="Z737"/>
      <c r="AA737"/>
      <c r="AB737"/>
      <c r="AC737"/>
      <c r="AD737"/>
      <c r="AE737"/>
      <c r="AF737"/>
      <c r="AG737"/>
      <c r="AH737"/>
      <c r="AI737"/>
      <c r="AJ737"/>
      <c r="AK737"/>
      <c r="AL737"/>
      <c r="AM737"/>
      <c r="AN737"/>
      <c r="AO737"/>
      <c r="AP737"/>
      <c r="AQ737"/>
      <c r="AR737"/>
      <c r="AS737"/>
      <c r="AT737"/>
      <c r="AU737"/>
      <c r="AV737"/>
      <c r="AW737"/>
      <c r="AX737"/>
      <c r="AY737"/>
      <c r="AZ737"/>
      <c r="BA737"/>
      <c r="BB737"/>
      <c r="BC737"/>
      <c r="BD737"/>
      <c r="BE737"/>
      <c r="BF737"/>
      <c r="BG737"/>
      <c r="BH737"/>
      <c r="BI737"/>
      <c r="BJ737"/>
      <c r="BK737"/>
      <c r="BL737"/>
      <c r="BM737"/>
      <c r="BN737"/>
      <c r="BO737"/>
      <c r="BP737"/>
      <c r="BQ737"/>
      <c r="BR737"/>
      <c r="BS737"/>
      <c r="BT737"/>
      <c r="BU737"/>
      <c r="BV737"/>
      <c r="BW737"/>
      <c r="BX737"/>
      <c r="BY737"/>
      <c r="BZ737"/>
      <c r="CA737"/>
      <c r="CB737"/>
      <c r="CC737"/>
      <c r="CD737"/>
      <c r="CE737"/>
      <c r="CF737"/>
      <c r="CG737"/>
      <c r="CH737"/>
      <c r="CI737"/>
      <c r="CJ737"/>
      <c r="CK737"/>
      <c r="CL737"/>
      <c r="CM737"/>
      <c r="CN737"/>
      <c r="CO737"/>
      <c r="CP737"/>
      <c r="CQ737"/>
      <c r="CR737"/>
      <c r="CS737"/>
      <c r="CT737"/>
      <c r="CU737"/>
      <c r="CV737"/>
      <c r="CW737"/>
      <c r="CX737"/>
      <c r="CY737"/>
      <c r="CZ737"/>
      <c r="DA737"/>
      <c r="DB737"/>
      <c r="DC737"/>
      <c r="DD737"/>
      <c r="DE737"/>
      <c r="DF737"/>
      <c r="DG737"/>
      <c r="DH737"/>
      <c r="DI737"/>
      <c r="DJ737"/>
      <c r="DK737"/>
    </row>
    <row r="738" spans="13:115" x14ac:dyDescent="0.25">
      <c r="M738"/>
      <c r="N738"/>
      <c r="O738"/>
      <c r="P738"/>
      <c r="Q738"/>
      <c r="R738"/>
      <c r="S738"/>
      <c r="T738"/>
      <c r="U738"/>
      <c r="V738"/>
      <c r="W738"/>
      <c r="X738"/>
      <c r="Y738"/>
      <c r="Z738"/>
      <c r="AA738"/>
      <c r="AB738"/>
      <c r="AC738"/>
      <c r="AD738"/>
      <c r="AE738"/>
      <c r="AF738"/>
      <c r="AG738"/>
      <c r="AH738"/>
      <c r="AI738"/>
      <c r="AJ738"/>
      <c r="AK738"/>
      <c r="AL738"/>
      <c r="AM738"/>
      <c r="AN738"/>
      <c r="AO738"/>
      <c r="AP738"/>
      <c r="AQ738"/>
      <c r="AR738"/>
      <c r="AS738"/>
      <c r="AT738"/>
      <c r="AU738"/>
      <c r="AV738"/>
      <c r="AW738"/>
      <c r="AX738"/>
      <c r="AY738"/>
      <c r="AZ738"/>
      <c r="BA738"/>
      <c r="BB738"/>
      <c r="BC738"/>
      <c r="BD738"/>
      <c r="BE738"/>
      <c r="BF738"/>
      <c r="BG738"/>
      <c r="BH738"/>
      <c r="BI738"/>
      <c r="BJ738"/>
      <c r="BK738"/>
      <c r="BL738"/>
      <c r="BM738"/>
      <c r="BN738"/>
      <c r="BO738"/>
      <c r="BP738"/>
      <c r="BQ738"/>
      <c r="BR738"/>
      <c r="BS738"/>
      <c r="BT738"/>
      <c r="BU738"/>
      <c r="BV738"/>
      <c r="BW738"/>
      <c r="BX738"/>
      <c r="BY738"/>
      <c r="BZ738"/>
      <c r="CA738"/>
      <c r="CB738"/>
      <c r="CC738"/>
      <c r="CD738"/>
      <c r="CE738"/>
      <c r="CF738"/>
      <c r="CG738"/>
      <c r="CH738"/>
      <c r="CI738"/>
      <c r="CJ738"/>
      <c r="CK738"/>
      <c r="CL738"/>
      <c r="CM738"/>
      <c r="CN738"/>
      <c r="CO738"/>
      <c r="CP738"/>
      <c r="CQ738"/>
      <c r="CR738"/>
      <c r="CS738"/>
      <c r="CT738"/>
      <c r="CU738"/>
      <c r="CV738"/>
      <c r="CW738"/>
      <c r="CX738"/>
      <c r="CY738"/>
      <c r="CZ738"/>
      <c r="DA738"/>
      <c r="DB738"/>
      <c r="DC738"/>
      <c r="DD738"/>
      <c r="DE738"/>
      <c r="DF738"/>
      <c r="DG738"/>
      <c r="DH738"/>
      <c r="DI738"/>
      <c r="DJ738"/>
      <c r="DK738"/>
    </row>
    <row r="739" spans="13:115" x14ac:dyDescent="0.25">
      <c r="M739"/>
      <c r="N739"/>
      <c r="O739"/>
      <c r="P739"/>
      <c r="Q739"/>
      <c r="R739"/>
      <c r="S739"/>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c r="BA739"/>
      <c r="BB739"/>
      <c r="BC739"/>
      <c r="BD739"/>
      <c r="BE739"/>
      <c r="BF739"/>
      <c r="BG739"/>
      <c r="BH739"/>
      <c r="BI739"/>
      <c r="BJ739"/>
      <c r="BK739"/>
      <c r="BL739"/>
      <c r="BM739"/>
      <c r="BN739"/>
      <c r="BO739"/>
      <c r="BP739"/>
      <c r="BQ739"/>
      <c r="BR739"/>
      <c r="BS739"/>
      <c r="BT739"/>
      <c r="BU739"/>
      <c r="BV739"/>
      <c r="BW739"/>
      <c r="BX739"/>
      <c r="BY739"/>
      <c r="BZ739"/>
      <c r="CA739"/>
      <c r="CB739"/>
      <c r="CC739"/>
      <c r="CD739"/>
      <c r="CE739"/>
      <c r="CF739"/>
      <c r="CG739"/>
      <c r="CH739"/>
      <c r="CI739"/>
      <c r="CJ739"/>
      <c r="CK739"/>
      <c r="CL739"/>
      <c r="CM739"/>
      <c r="CN739"/>
      <c r="CO739"/>
      <c r="CP739"/>
      <c r="CQ739"/>
      <c r="CR739"/>
      <c r="CS739"/>
      <c r="CT739"/>
      <c r="CU739"/>
      <c r="CV739"/>
      <c r="CW739"/>
      <c r="CX739"/>
      <c r="CY739"/>
      <c r="CZ739"/>
      <c r="DA739"/>
      <c r="DB739"/>
      <c r="DC739"/>
      <c r="DD739"/>
      <c r="DE739"/>
      <c r="DF739"/>
      <c r="DG739"/>
      <c r="DH739"/>
      <c r="DI739"/>
      <c r="DJ739"/>
      <c r="DK739"/>
    </row>
    <row r="740" spans="13:115" x14ac:dyDescent="0.25">
      <c r="M740"/>
      <c r="N740"/>
      <c r="O740"/>
      <c r="P740"/>
      <c r="Q740"/>
      <c r="R740"/>
      <c r="S740"/>
      <c r="T740"/>
      <c r="U740"/>
      <c r="V740"/>
      <c r="W740"/>
      <c r="X740"/>
      <c r="Y740"/>
      <c r="Z740"/>
      <c r="AA740"/>
      <c r="AB740"/>
      <c r="AC740"/>
      <c r="AD740"/>
      <c r="AE740"/>
      <c r="AF740"/>
      <c r="AG740"/>
      <c r="AH740"/>
      <c r="AI740"/>
      <c r="AJ740"/>
      <c r="AK740"/>
      <c r="AL740"/>
      <c r="AM740"/>
      <c r="AN740"/>
      <c r="AO740"/>
      <c r="AP740"/>
      <c r="AQ740"/>
      <c r="AR740"/>
      <c r="AS740"/>
      <c r="AT740"/>
      <c r="AU740"/>
      <c r="AV740"/>
      <c r="AW740"/>
      <c r="AX740"/>
      <c r="AY740"/>
      <c r="AZ740"/>
      <c r="BA740"/>
      <c r="BB740"/>
      <c r="BC740"/>
      <c r="BD740"/>
      <c r="BE740"/>
      <c r="BF740"/>
      <c r="BG740"/>
      <c r="BH740"/>
      <c r="BI740"/>
      <c r="BJ740"/>
      <c r="BK740"/>
      <c r="BL740"/>
      <c r="BM740"/>
      <c r="BN740"/>
      <c r="BO740"/>
      <c r="BP740"/>
      <c r="BQ740"/>
      <c r="BR740"/>
      <c r="BS740"/>
      <c r="BT740"/>
      <c r="BU740"/>
      <c r="BV740"/>
      <c r="BW740"/>
      <c r="BX740"/>
      <c r="BY740"/>
      <c r="BZ740"/>
      <c r="CA740"/>
      <c r="CB740"/>
      <c r="CC740"/>
      <c r="CD740"/>
      <c r="CE740"/>
      <c r="CF740"/>
      <c r="CG740"/>
      <c r="CH740"/>
      <c r="CI740"/>
      <c r="CJ740"/>
      <c r="CK740"/>
      <c r="CL740"/>
      <c r="CM740"/>
      <c r="CN740"/>
      <c r="CO740"/>
      <c r="CP740"/>
      <c r="CQ740"/>
      <c r="CR740"/>
      <c r="CS740"/>
      <c r="CT740"/>
      <c r="CU740"/>
      <c r="CV740"/>
      <c r="CW740"/>
      <c r="CX740"/>
      <c r="CY740"/>
      <c r="CZ740"/>
      <c r="DA740"/>
      <c r="DB740"/>
      <c r="DC740"/>
      <c r="DD740"/>
      <c r="DE740"/>
      <c r="DF740"/>
      <c r="DG740"/>
      <c r="DH740"/>
      <c r="DI740"/>
      <c r="DJ740"/>
      <c r="DK740"/>
    </row>
    <row r="741" spans="13:115" x14ac:dyDescent="0.25">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c r="BB741"/>
      <c r="BC741"/>
      <c r="BD741"/>
      <c r="BE741"/>
      <c r="BF741"/>
      <c r="BG741"/>
      <c r="BH741"/>
      <c r="BI741"/>
      <c r="BJ741"/>
      <c r="BK741"/>
      <c r="BL741"/>
      <c r="BM741"/>
      <c r="BN741"/>
      <c r="BO741"/>
      <c r="BP741"/>
      <c r="BQ741"/>
      <c r="BR741"/>
      <c r="BS741"/>
      <c r="BT741"/>
      <c r="BU741"/>
      <c r="BV741"/>
      <c r="BW741"/>
      <c r="BX741"/>
      <c r="BY741"/>
      <c r="BZ741"/>
      <c r="CA741"/>
      <c r="CB741"/>
      <c r="CC741"/>
      <c r="CD741"/>
      <c r="CE741"/>
      <c r="CF741"/>
      <c r="CG741"/>
      <c r="CH741"/>
      <c r="CI741"/>
      <c r="CJ741"/>
      <c r="CK741"/>
      <c r="CL741"/>
      <c r="CM741"/>
      <c r="CN741"/>
      <c r="CO741"/>
      <c r="CP741"/>
      <c r="CQ741"/>
      <c r="CR741"/>
      <c r="CS741"/>
      <c r="CT741"/>
      <c r="CU741"/>
      <c r="CV741"/>
      <c r="CW741"/>
      <c r="CX741"/>
      <c r="CY741"/>
      <c r="CZ741"/>
      <c r="DA741"/>
      <c r="DB741"/>
      <c r="DC741"/>
      <c r="DD741"/>
      <c r="DE741"/>
      <c r="DF741"/>
      <c r="DG741"/>
      <c r="DH741"/>
      <c r="DI741"/>
      <c r="DJ741"/>
      <c r="DK741"/>
    </row>
    <row r="742" spans="13:115" x14ac:dyDescent="0.25">
      <c r="M742"/>
      <c r="N742"/>
      <c r="O742"/>
      <c r="P742"/>
      <c r="Q742"/>
      <c r="R742"/>
      <c r="S742"/>
      <c r="T742"/>
      <c r="U742"/>
      <c r="V742"/>
      <c r="W742"/>
      <c r="X742"/>
      <c r="Y742"/>
      <c r="Z742"/>
      <c r="AA742"/>
      <c r="AB742"/>
      <c r="AC742"/>
      <c r="AD742"/>
      <c r="AE742"/>
      <c r="AF742"/>
      <c r="AG742"/>
      <c r="AH742"/>
      <c r="AI742"/>
      <c r="AJ742"/>
      <c r="AK742"/>
      <c r="AL742"/>
      <c r="AM742"/>
      <c r="AN742"/>
      <c r="AO742"/>
      <c r="AP742"/>
      <c r="AQ742"/>
      <c r="AR742"/>
      <c r="AS742"/>
      <c r="AT742"/>
      <c r="AU742"/>
      <c r="AV742"/>
      <c r="AW742"/>
      <c r="AX742"/>
      <c r="AY742"/>
      <c r="AZ742"/>
      <c r="BA742"/>
      <c r="BB742"/>
      <c r="BC742"/>
      <c r="BD742"/>
      <c r="BE742"/>
      <c r="BF742"/>
      <c r="BG742"/>
      <c r="BH742"/>
      <c r="BI742"/>
      <c r="BJ742"/>
      <c r="BK742"/>
      <c r="BL742"/>
      <c r="BM742"/>
      <c r="BN742"/>
      <c r="BO742"/>
      <c r="BP742"/>
      <c r="BQ742"/>
      <c r="BR742"/>
      <c r="BS742"/>
      <c r="BT742"/>
      <c r="BU742"/>
      <c r="BV742"/>
      <c r="BW742"/>
      <c r="BX742"/>
      <c r="BY742"/>
      <c r="BZ742"/>
      <c r="CA742"/>
      <c r="CB742"/>
      <c r="CC742"/>
      <c r="CD742"/>
      <c r="CE742"/>
      <c r="CF742"/>
      <c r="CG742"/>
      <c r="CH742"/>
      <c r="CI742"/>
      <c r="CJ742"/>
      <c r="CK742"/>
      <c r="CL742"/>
      <c r="CM742"/>
      <c r="CN742"/>
      <c r="CO742"/>
      <c r="CP742"/>
      <c r="CQ742"/>
      <c r="CR742"/>
      <c r="CS742"/>
      <c r="CT742"/>
      <c r="CU742"/>
      <c r="CV742"/>
      <c r="CW742"/>
      <c r="CX742"/>
      <c r="CY742"/>
      <c r="CZ742"/>
      <c r="DA742"/>
      <c r="DB742"/>
      <c r="DC742"/>
      <c r="DD742"/>
      <c r="DE742"/>
      <c r="DF742"/>
      <c r="DG742"/>
      <c r="DH742"/>
      <c r="DI742"/>
      <c r="DJ742"/>
      <c r="DK742"/>
    </row>
    <row r="743" spans="13:115" x14ac:dyDescent="0.25">
      <c r="M743"/>
      <c r="N743"/>
      <c r="O743"/>
      <c r="P743"/>
      <c r="Q743"/>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c r="BA743"/>
      <c r="BB743"/>
      <c r="BC743"/>
      <c r="BD743"/>
      <c r="BE743"/>
      <c r="BF743"/>
      <c r="BG743"/>
      <c r="BH743"/>
      <c r="BI743"/>
      <c r="BJ743"/>
      <c r="BK743"/>
      <c r="BL743"/>
      <c r="BM743"/>
      <c r="BN743"/>
      <c r="BO743"/>
      <c r="BP743"/>
      <c r="BQ743"/>
      <c r="BR743"/>
      <c r="BS743"/>
      <c r="BT743"/>
      <c r="BU743"/>
      <c r="BV743"/>
      <c r="BW743"/>
      <c r="BX743"/>
      <c r="BY743"/>
      <c r="BZ743"/>
      <c r="CA743"/>
      <c r="CB743"/>
      <c r="CC743"/>
      <c r="CD743"/>
      <c r="CE743"/>
      <c r="CF743"/>
      <c r="CG743"/>
      <c r="CH743"/>
      <c r="CI743"/>
      <c r="CJ743"/>
      <c r="CK743"/>
      <c r="CL743"/>
      <c r="CM743"/>
      <c r="CN743"/>
      <c r="CO743"/>
      <c r="CP743"/>
      <c r="CQ743"/>
      <c r="CR743"/>
      <c r="CS743"/>
      <c r="CT743"/>
      <c r="CU743"/>
      <c r="CV743"/>
      <c r="CW743"/>
      <c r="CX743"/>
      <c r="CY743"/>
      <c r="CZ743"/>
      <c r="DA743"/>
      <c r="DB743"/>
      <c r="DC743"/>
      <c r="DD743"/>
      <c r="DE743"/>
      <c r="DF743"/>
      <c r="DG743"/>
      <c r="DH743"/>
      <c r="DI743"/>
      <c r="DJ743"/>
      <c r="DK743"/>
    </row>
    <row r="744" spans="13:115" x14ac:dyDescent="0.25">
      <c r="M744"/>
      <c r="N744"/>
      <c r="O744"/>
      <c r="P744"/>
      <c r="Q744"/>
      <c r="R744"/>
      <c r="S744"/>
      <c r="T744"/>
      <c r="U744"/>
      <c r="V744"/>
      <c r="W744"/>
      <c r="X744"/>
      <c r="Y744"/>
      <c r="Z744"/>
      <c r="AA744"/>
      <c r="AB744"/>
      <c r="AC744"/>
      <c r="AD744"/>
      <c r="AE744"/>
      <c r="AF744"/>
      <c r="AG744"/>
      <c r="AH744"/>
      <c r="AI744"/>
      <c r="AJ744"/>
      <c r="AK744"/>
      <c r="AL744"/>
      <c r="AM744"/>
      <c r="AN744"/>
      <c r="AO744"/>
      <c r="AP744"/>
      <c r="AQ744"/>
      <c r="AR744"/>
      <c r="AS744"/>
      <c r="AT744"/>
      <c r="AU744"/>
      <c r="AV744"/>
      <c r="AW744"/>
      <c r="AX744"/>
      <c r="AY744"/>
      <c r="AZ744"/>
      <c r="BA744"/>
      <c r="BB744"/>
      <c r="BC744"/>
      <c r="BD744"/>
      <c r="BE744"/>
      <c r="BF744"/>
      <c r="BG744"/>
      <c r="BH744"/>
      <c r="BI744"/>
      <c r="BJ744"/>
      <c r="BK744"/>
      <c r="BL744"/>
      <c r="BM744"/>
      <c r="BN744"/>
      <c r="BO744"/>
      <c r="BP744"/>
      <c r="BQ744"/>
      <c r="BR744"/>
      <c r="BS744"/>
      <c r="BT744"/>
      <c r="BU744"/>
      <c r="BV744"/>
      <c r="BW744"/>
      <c r="BX744"/>
      <c r="BY744"/>
      <c r="BZ744"/>
      <c r="CA744"/>
      <c r="CB744"/>
      <c r="CC744"/>
      <c r="CD744"/>
      <c r="CE744"/>
      <c r="CF744"/>
      <c r="CG744"/>
      <c r="CH744"/>
      <c r="CI744"/>
      <c r="CJ744"/>
      <c r="CK744"/>
      <c r="CL744"/>
      <c r="CM744"/>
      <c r="CN744"/>
      <c r="CO744"/>
      <c r="CP744"/>
      <c r="CQ744"/>
      <c r="CR744"/>
      <c r="CS744"/>
      <c r="CT744"/>
      <c r="CU744"/>
      <c r="CV744"/>
      <c r="CW744"/>
      <c r="CX744"/>
      <c r="CY744"/>
      <c r="CZ744"/>
      <c r="DA744"/>
      <c r="DB744"/>
      <c r="DC744"/>
      <c r="DD744"/>
      <c r="DE744"/>
      <c r="DF744"/>
      <c r="DG744"/>
      <c r="DH744"/>
      <c r="DI744"/>
      <c r="DJ744"/>
      <c r="DK744"/>
    </row>
    <row r="745" spans="13:115" x14ac:dyDescent="0.25">
      <c r="M745"/>
      <c r="N745"/>
      <c r="O745"/>
      <c r="P745"/>
      <c r="Q745"/>
      <c r="R745"/>
      <c r="S745"/>
      <c r="T745"/>
      <c r="U745"/>
      <c r="V745"/>
      <c r="W745"/>
      <c r="X745"/>
      <c r="Y745"/>
      <c r="Z745"/>
      <c r="AA745"/>
      <c r="AB745"/>
      <c r="AC745"/>
      <c r="AD745"/>
      <c r="AE745"/>
      <c r="AF745"/>
      <c r="AG745"/>
      <c r="AH745"/>
      <c r="AI745"/>
      <c r="AJ745"/>
      <c r="AK745"/>
      <c r="AL745"/>
      <c r="AM745"/>
      <c r="AN745"/>
      <c r="AO745"/>
      <c r="AP745"/>
      <c r="AQ745"/>
      <c r="AR745"/>
      <c r="AS745"/>
      <c r="AT745"/>
      <c r="AU745"/>
      <c r="AV745"/>
      <c r="AW745"/>
      <c r="AX745"/>
      <c r="AY745"/>
      <c r="AZ745"/>
      <c r="BA745"/>
      <c r="BB745"/>
      <c r="BC745"/>
      <c r="BD745"/>
      <c r="BE745"/>
      <c r="BF745"/>
      <c r="BG745"/>
      <c r="BH745"/>
      <c r="BI745"/>
      <c r="BJ745"/>
      <c r="BK745"/>
      <c r="BL745"/>
      <c r="BM745"/>
      <c r="BN745"/>
      <c r="BO745"/>
      <c r="BP745"/>
      <c r="BQ745"/>
      <c r="BR745"/>
      <c r="BS745"/>
      <c r="BT745"/>
      <c r="BU745"/>
      <c r="BV745"/>
      <c r="BW745"/>
      <c r="BX745"/>
      <c r="BY745"/>
      <c r="BZ745"/>
      <c r="CA745"/>
      <c r="CB745"/>
      <c r="CC745"/>
      <c r="CD745"/>
      <c r="CE745"/>
      <c r="CF745"/>
      <c r="CG745"/>
      <c r="CH745"/>
      <c r="CI745"/>
      <c r="CJ745"/>
      <c r="CK745"/>
      <c r="CL745"/>
      <c r="CM745"/>
      <c r="CN745"/>
      <c r="CO745"/>
      <c r="CP745"/>
      <c r="CQ745"/>
      <c r="CR745"/>
      <c r="CS745"/>
      <c r="CT745"/>
      <c r="CU745"/>
      <c r="CV745"/>
      <c r="CW745"/>
      <c r="CX745"/>
      <c r="CY745"/>
      <c r="CZ745"/>
      <c r="DA745"/>
      <c r="DB745"/>
      <c r="DC745"/>
      <c r="DD745"/>
      <c r="DE745"/>
      <c r="DF745"/>
      <c r="DG745"/>
      <c r="DH745"/>
      <c r="DI745"/>
      <c r="DJ745"/>
      <c r="DK745"/>
    </row>
    <row r="746" spans="13:115" x14ac:dyDescent="0.25">
      <c r="M746"/>
      <c r="N746"/>
      <c r="O746"/>
      <c r="P746"/>
      <c r="Q746"/>
      <c r="R746"/>
      <c r="S746"/>
      <c r="T746"/>
      <c r="U746"/>
      <c r="V746"/>
      <c r="W746"/>
      <c r="X746"/>
      <c r="Y746"/>
      <c r="Z746"/>
      <c r="AA746"/>
      <c r="AB746"/>
      <c r="AC746"/>
      <c r="AD746"/>
      <c r="AE746"/>
      <c r="AF746"/>
      <c r="AG746"/>
      <c r="AH746"/>
      <c r="AI746"/>
      <c r="AJ746"/>
      <c r="AK746"/>
      <c r="AL746"/>
      <c r="AM746"/>
      <c r="AN746"/>
      <c r="AO746"/>
      <c r="AP746"/>
      <c r="AQ746"/>
      <c r="AR746"/>
      <c r="AS746"/>
      <c r="AT746"/>
      <c r="AU746"/>
      <c r="AV746"/>
      <c r="AW746"/>
      <c r="AX746"/>
      <c r="AY746"/>
      <c r="AZ746"/>
      <c r="BA746"/>
      <c r="BB746"/>
      <c r="BC746"/>
      <c r="BD746"/>
      <c r="BE746"/>
      <c r="BF746"/>
      <c r="BG746"/>
      <c r="BH746"/>
      <c r="BI746"/>
      <c r="BJ746"/>
      <c r="BK746"/>
      <c r="BL746"/>
      <c r="BM746"/>
      <c r="BN746"/>
      <c r="BO746"/>
      <c r="BP746"/>
      <c r="BQ746"/>
      <c r="BR746"/>
      <c r="BS746"/>
      <c r="BT746"/>
      <c r="BU746"/>
      <c r="BV746"/>
      <c r="BW746"/>
      <c r="BX746"/>
      <c r="BY746"/>
      <c r="BZ746"/>
      <c r="CA746"/>
      <c r="CB746"/>
      <c r="CC746"/>
      <c r="CD746"/>
      <c r="CE746"/>
      <c r="CF746"/>
      <c r="CG746"/>
      <c r="CH746"/>
      <c r="CI746"/>
      <c r="CJ746"/>
      <c r="CK746"/>
      <c r="CL746"/>
      <c r="CM746"/>
      <c r="CN746"/>
      <c r="CO746"/>
      <c r="CP746"/>
      <c r="CQ746"/>
      <c r="CR746"/>
      <c r="CS746"/>
      <c r="CT746"/>
      <c r="CU746"/>
      <c r="CV746"/>
      <c r="CW746"/>
      <c r="CX746"/>
      <c r="CY746"/>
      <c r="CZ746"/>
      <c r="DA746"/>
      <c r="DB746"/>
      <c r="DC746"/>
      <c r="DD746"/>
      <c r="DE746"/>
      <c r="DF746"/>
      <c r="DG746"/>
      <c r="DH746"/>
      <c r="DI746"/>
      <c r="DJ746"/>
      <c r="DK746"/>
    </row>
    <row r="747" spans="13:115" x14ac:dyDescent="0.25">
      <c r="M747"/>
      <c r="N747"/>
      <c r="O747"/>
      <c r="P747"/>
      <c r="Q747"/>
      <c r="R747"/>
      <c r="S747"/>
      <c r="T747"/>
      <c r="U747"/>
      <c r="V747"/>
      <c r="W747"/>
      <c r="X747"/>
      <c r="Y747"/>
      <c r="Z747"/>
      <c r="AA747"/>
      <c r="AB747"/>
      <c r="AC747"/>
      <c r="AD747"/>
      <c r="AE747"/>
      <c r="AF747"/>
      <c r="AG747"/>
      <c r="AH747"/>
      <c r="AI747"/>
      <c r="AJ747"/>
      <c r="AK747"/>
      <c r="AL747"/>
      <c r="AM747"/>
      <c r="AN747"/>
      <c r="AO747"/>
      <c r="AP747"/>
      <c r="AQ747"/>
      <c r="AR747"/>
      <c r="AS747"/>
      <c r="AT747"/>
      <c r="AU747"/>
      <c r="AV747"/>
      <c r="AW747"/>
      <c r="AX747"/>
      <c r="AY747"/>
      <c r="AZ747"/>
      <c r="BA747"/>
      <c r="BB747"/>
      <c r="BC747"/>
      <c r="BD747"/>
      <c r="BE747"/>
      <c r="BF747"/>
      <c r="BG747"/>
      <c r="BH747"/>
      <c r="BI747"/>
      <c r="BJ747"/>
      <c r="BK747"/>
      <c r="BL747"/>
      <c r="BM747"/>
      <c r="BN747"/>
      <c r="BO747"/>
      <c r="BP747"/>
      <c r="BQ747"/>
      <c r="BR747"/>
      <c r="BS747"/>
      <c r="BT747"/>
      <c r="BU747"/>
      <c r="BV747"/>
      <c r="BW747"/>
      <c r="BX747"/>
      <c r="BY747"/>
      <c r="BZ747"/>
      <c r="CA747"/>
      <c r="CB747"/>
      <c r="CC747"/>
      <c r="CD747"/>
      <c r="CE747"/>
      <c r="CF747"/>
      <c r="CG747"/>
      <c r="CH747"/>
      <c r="CI747"/>
      <c r="CJ747"/>
      <c r="CK747"/>
      <c r="CL747"/>
      <c r="CM747"/>
      <c r="CN747"/>
      <c r="CO747"/>
      <c r="CP747"/>
      <c r="CQ747"/>
      <c r="CR747"/>
      <c r="CS747"/>
      <c r="CT747"/>
      <c r="CU747"/>
      <c r="CV747"/>
      <c r="CW747"/>
      <c r="CX747"/>
      <c r="CY747"/>
      <c r="CZ747"/>
      <c r="DA747"/>
      <c r="DB747"/>
      <c r="DC747"/>
      <c r="DD747"/>
      <c r="DE747"/>
      <c r="DF747"/>
      <c r="DG747"/>
      <c r="DH747"/>
      <c r="DI747"/>
      <c r="DJ747"/>
      <c r="DK747"/>
    </row>
    <row r="748" spans="13:115" x14ac:dyDescent="0.25">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c r="BB748"/>
      <c r="BC748"/>
      <c r="BD748"/>
      <c r="BE748"/>
      <c r="BF748"/>
      <c r="BG748"/>
      <c r="BH748"/>
      <c r="BI748"/>
      <c r="BJ748"/>
      <c r="BK748"/>
      <c r="BL748"/>
      <c r="BM748"/>
      <c r="BN748"/>
      <c r="BO748"/>
      <c r="BP748"/>
      <c r="BQ748"/>
      <c r="BR748"/>
      <c r="BS748"/>
      <c r="BT748"/>
      <c r="BU748"/>
      <c r="BV748"/>
      <c r="BW748"/>
      <c r="BX748"/>
      <c r="BY748"/>
      <c r="BZ748"/>
      <c r="CA748"/>
      <c r="CB748"/>
      <c r="CC748"/>
      <c r="CD748"/>
      <c r="CE748"/>
      <c r="CF748"/>
      <c r="CG748"/>
      <c r="CH748"/>
      <c r="CI748"/>
      <c r="CJ748"/>
      <c r="CK748"/>
      <c r="CL748"/>
      <c r="CM748"/>
      <c r="CN748"/>
      <c r="CO748"/>
      <c r="CP748"/>
      <c r="CQ748"/>
      <c r="CR748"/>
      <c r="CS748"/>
      <c r="CT748"/>
      <c r="CU748"/>
      <c r="CV748"/>
      <c r="CW748"/>
      <c r="CX748"/>
      <c r="CY748"/>
      <c r="CZ748"/>
      <c r="DA748"/>
      <c r="DB748"/>
      <c r="DC748"/>
      <c r="DD748"/>
      <c r="DE748"/>
      <c r="DF748"/>
      <c r="DG748"/>
      <c r="DH748"/>
      <c r="DI748"/>
      <c r="DJ748"/>
      <c r="DK748"/>
    </row>
    <row r="749" spans="13:115" x14ac:dyDescent="0.25">
      <c r="M749"/>
      <c r="N749"/>
      <c r="O749"/>
      <c r="P749"/>
      <c r="Q749"/>
      <c r="R749"/>
      <c r="S749"/>
      <c r="T749"/>
      <c r="U749"/>
      <c r="V749"/>
      <c r="W749"/>
      <c r="X749"/>
      <c r="Y749"/>
      <c r="Z749"/>
      <c r="AA749"/>
      <c r="AB749"/>
      <c r="AC749"/>
      <c r="AD749"/>
      <c r="AE749"/>
      <c r="AF749"/>
      <c r="AG749"/>
      <c r="AH749"/>
      <c r="AI749"/>
      <c r="AJ749"/>
      <c r="AK749"/>
      <c r="AL749"/>
      <c r="AM749"/>
      <c r="AN749"/>
      <c r="AO749"/>
      <c r="AP749"/>
      <c r="AQ749"/>
      <c r="AR749"/>
      <c r="AS749"/>
      <c r="AT749"/>
      <c r="AU749"/>
      <c r="AV749"/>
      <c r="AW749"/>
      <c r="AX749"/>
      <c r="AY749"/>
      <c r="AZ749"/>
      <c r="BA749"/>
      <c r="BB749"/>
      <c r="BC749"/>
      <c r="BD749"/>
      <c r="BE749"/>
      <c r="BF749"/>
      <c r="BG749"/>
      <c r="BH749"/>
      <c r="BI749"/>
      <c r="BJ749"/>
      <c r="BK749"/>
      <c r="BL749"/>
      <c r="BM749"/>
      <c r="BN749"/>
      <c r="BO749"/>
      <c r="BP749"/>
      <c r="BQ749"/>
      <c r="BR749"/>
      <c r="BS749"/>
      <c r="BT749"/>
      <c r="BU749"/>
      <c r="BV749"/>
      <c r="BW749"/>
      <c r="BX749"/>
      <c r="BY749"/>
      <c r="BZ749"/>
      <c r="CA749"/>
      <c r="CB749"/>
      <c r="CC749"/>
      <c r="CD749"/>
      <c r="CE749"/>
      <c r="CF749"/>
      <c r="CG749"/>
      <c r="CH749"/>
      <c r="CI749"/>
      <c r="CJ749"/>
      <c r="CK749"/>
      <c r="CL749"/>
      <c r="CM749"/>
      <c r="CN749"/>
      <c r="CO749"/>
      <c r="CP749"/>
      <c r="CQ749"/>
      <c r="CR749"/>
      <c r="CS749"/>
      <c r="CT749"/>
      <c r="CU749"/>
      <c r="CV749"/>
      <c r="CW749"/>
      <c r="CX749"/>
      <c r="CY749"/>
      <c r="CZ749"/>
      <c r="DA749"/>
      <c r="DB749"/>
      <c r="DC749"/>
      <c r="DD749"/>
      <c r="DE749"/>
      <c r="DF749"/>
      <c r="DG749"/>
      <c r="DH749"/>
      <c r="DI749"/>
      <c r="DJ749"/>
      <c r="DK749"/>
    </row>
    <row r="750" spans="13:115" x14ac:dyDescent="0.25">
      <c r="M750"/>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c r="AU750"/>
      <c r="AV750"/>
      <c r="AW750"/>
      <c r="AX750"/>
      <c r="AY750"/>
      <c r="AZ750"/>
      <c r="BA750"/>
      <c r="BB750"/>
      <c r="BC750"/>
      <c r="BD750"/>
      <c r="BE750"/>
      <c r="BF750"/>
      <c r="BG750"/>
      <c r="BH750"/>
      <c r="BI750"/>
      <c r="BJ750"/>
      <c r="BK750"/>
      <c r="BL750"/>
      <c r="BM750"/>
      <c r="BN750"/>
      <c r="BO750"/>
      <c r="BP750"/>
      <c r="BQ750"/>
      <c r="BR750"/>
      <c r="BS750"/>
      <c r="BT750"/>
      <c r="BU750"/>
      <c r="BV750"/>
      <c r="BW750"/>
      <c r="BX750"/>
      <c r="BY750"/>
      <c r="BZ750"/>
      <c r="CA750"/>
      <c r="CB750"/>
      <c r="CC750"/>
      <c r="CD750"/>
      <c r="CE750"/>
      <c r="CF750"/>
      <c r="CG750"/>
      <c r="CH750"/>
      <c r="CI750"/>
      <c r="CJ750"/>
      <c r="CK750"/>
      <c r="CL750"/>
      <c r="CM750"/>
      <c r="CN750"/>
      <c r="CO750"/>
      <c r="CP750"/>
      <c r="CQ750"/>
      <c r="CR750"/>
      <c r="CS750"/>
      <c r="CT750"/>
      <c r="CU750"/>
      <c r="CV750"/>
      <c r="CW750"/>
      <c r="CX750"/>
      <c r="CY750"/>
      <c r="CZ750"/>
      <c r="DA750"/>
      <c r="DB750"/>
      <c r="DC750"/>
      <c r="DD750"/>
      <c r="DE750"/>
      <c r="DF750"/>
      <c r="DG750"/>
      <c r="DH750"/>
      <c r="DI750"/>
      <c r="DJ750"/>
      <c r="DK750"/>
    </row>
    <row r="751" spans="13:115" x14ac:dyDescent="0.25">
      <c r="M751"/>
      <c r="N751"/>
      <c r="O751"/>
      <c r="P751"/>
      <c r="Q751"/>
      <c r="R751"/>
      <c r="S751"/>
      <c r="T751"/>
      <c r="U751"/>
      <c r="V751"/>
      <c r="W751"/>
      <c r="X751"/>
      <c r="Y751"/>
      <c r="Z751"/>
      <c r="AA751"/>
      <c r="AB751"/>
      <c r="AC751"/>
      <c r="AD751"/>
      <c r="AE751"/>
      <c r="AF751"/>
      <c r="AG751"/>
      <c r="AH751"/>
      <c r="AI751"/>
      <c r="AJ751"/>
      <c r="AK751"/>
      <c r="AL751"/>
      <c r="AM751"/>
      <c r="AN751"/>
      <c r="AO751"/>
      <c r="AP751"/>
      <c r="AQ751"/>
      <c r="AR751"/>
      <c r="AS751"/>
      <c r="AT751"/>
      <c r="AU751"/>
      <c r="AV751"/>
      <c r="AW751"/>
      <c r="AX751"/>
      <c r="AY751"/>
      <c r="AZ751"/>
      <c r="BA751"/>
      <c r="BB751"/>
      <c r="BC751"/>
      <c r="BD751"/>
      <c r="BE751"/>
      <c r="BF751"/>
      <c r="BG751"/>
      <c r="BH751"/>
      <c r="BI751"/>
      <c r="BJ751"/>
      <c r="BK751"/>
      <c r="BL751"/>
      <c r="BM751"/>
      <c r="BN751"/>
      <c r="BO751"/>
      <c r="BP751"/>
      <c r="BQ751"/>
      <c r="BR751"/>
      <c r="BS751"/>
      <c r="BT751"/>
      <c r="BU751"/>
      <c r="BV751"/>
      <c r="BW751"/>
      <c r="BX751"/>
      <c r="BY751"/>
      <c r="BZ751"/>
      <c r="CA751"/>
      <c r="CB751"/>
      <c r="CC751"/>
      <c r="CD751"/>
      <c r="CE751"/>
      <c r="CF751"/>
      <c r="CG751"/>
      <c r="CH751"/>
      <c r="CI751"/>
      <c r="CJ751"/>
      <c r="CK751"/>
      <c r="CL751"/>
      <c r="CM751"/>
      <c r="CN751"/>
      <c r="CO751"/>
      <c r="CP751"/>
      <c r="CQ751"/>
      <c r="CR751"/>
      <c r="CS751"/>
      <c r="CT751"/>
      <c r="CU751"/>
      <c r="CV751"/>
      <c r="CW751"/>
      <c r="CX751"/>
      <c r="CY751"/>
      <c r="CZ751"/>
      <c r="DA751"/>
      <c r="DB751"/>
      <c r="DC751"/>
      <c r="DD751"/>
      <c r="DE751"/>
      <c r="DF751"/>
      <c r="DG751"/>
      <c r="DH751"/>
      <c r="DI751"/>
      <c r="DJ751"/>
      <c r="DK751"/>
    </row>
    <row r="752" spans="13:115" x14ac:dyDescent="0.25">
      <c r="M752"/>
      <c r="N752"/>
      <c r="O752"/>
      <c r="P752"/>
      <c r="Q752"/>
      <c r="R752"/>
      <c r="S752"/>
      <c r="T752"/>
      <c r="U752"/>
      <c r="V752"/>
      <c r="W752"/>
      <c r="X752"/>
      <c r="Y752"/>
      <c r="Z752"/>
      <c r="AA752"/>
      <c r="AB752"/>
      <c r="AC752"/>
      <c r="AD752"/>
      <c r="AE752"/>
      <c r="AF752"/>
      <c r="AG752"/>
      <c r="AH752"/>
      <c r="AI752"/>
      <c r="AJ752"/>
      <c r="AK752"/>
      <c r="AL752"/>
      <c r="AM752"/>
      <c r="AN752"/>
      <c r="AO752"/>
      <c r="AP752"/>
      <c r="AQ752"/>
      <c r="AR752"/>
      <c r="AS752"/>
      <c r="AT752"/>
      <c r="AU752"/>
      <c r="AV752"/>
      <c r="AW752"/>
      <c r="AX752"/>
      <c r="AY752"/>
      <c r="AZ752"/>
      <c r="BA752"/>
      <c r="BB752"/>
      <c r="BC752"/>
      <c r="BD752"/>
      <c r="BE752"/>
      <c r="BF752"/>
      <c r="BG752"/>
      <c r="BH752"/>
      <c r="BI752"/>
      <c r="BJ752"/>
      <c r="BK752"/>
      <c r="BL752"/>
      <c r="BM752"/>
      <c r="BN752"/>
      <c r="BO752"/>
      <c r="BP752"/>
      <c r="BQ752"/>
      <c r="BR752"/>
      <c r="BS752"/>
      <c r="BT752"/>
      <c r="BU752"/>
      <c r="BV752"/>
      <c r="BW752"/>
      <c r="BX752"/>
      <c r="BY752"/>
      <c r="BZ752"/>
      <c r="CA752"/>
      <c r="CB752"/>
      <c r="CC752"/>
      <c r="CD752"/>
      <c r="CE752"/>
      <c r="CF752"/>
      <c r="CG752"/>
      <c r="CH752"/>
      <c r="CI752"/>
      <c r="CJ752"/>
      <c r="CK752"/>
      <c r="CL752"/>
      <c r="CM752"/>
      <c r="CN752"/>
      <c r="CO752"/>
      <c r="CP752"/>
      <c r="CQ752"/>
      <c r="CR752"/>
      <c r="CS752"/>
      <c r="CT752"/>
      <c r="CU752"/>
      <c r="CV752"/>
      <c r="CW752"/>
      <c r="CX752"/>
      <c r="CY752"/>
      <c r="CZ752"/>
      <c r="DA752"/>
      <c r="DB752"/>
      <c r="DC752"/>
      <c r="DD752"/>
      <c r="DE752"/>
      <c r="DF752"/>
      <c r="DG752"/>
      <c r="DH752"/>
      <c r="DI752"/>
      <c r="DJ752"/>
      <c r="DK752"/>
    </row>
    <row r="753" spans="13:115" x14ac:dyDescent="0.25">
      <c r="M753"/>
      <c r="N753"/>
      <c r="O753"/>
      <c r="P753"/>
      <c r="Q753"/>
      <c r="R753"/>
      <c r="S753"/>
      <c r="T753"/>
      <c r="U753"/>
      <c r="V753"/>
      <c r="W753"/>
      <c r="X753"/>
      <c r="Y753"/>
      <c r="Z753"/>
      <c r="AA753"/>
      <c r="AB753"/>
      <c r="AC753"/>
      <c r="AD753"/>
      <c r="AE753"/>
      <c r="AF753"/>
      <c r="AG753"/>
      <c r="AH753"/>
      <c r="AI753"/>
      <c r="AJ753"/>
      <c r="AK753"/>
      <c r="AL753"/>
      <c r="AM753"/>
      <c r="AN753"/>
      <c r="AO753"/>
      <c r="AP753"/>
      <c r="AQ753"/>
      <c r="AR753"/>
      <c r="AS753"/>
      <c r="AT753"/>
      <c r="AU753"/>
      <c r="AV753"/>
      <c r="AW753"/>
      <c r="AX753"/>
      <c r="AY753"/>
      <c r="AZ753"/>
      <c r="BA753"/>
      <c r="BB753"/>
      <c r="BC753"/>
      <c r="BD753"/>
      <c r="BE753"/>
      <c r="BF753"/>
      <c r="BG753"/>
      <c r="BH753"/>
      <c r="BI753"/>
      <c r="BJ753"/>
      <c r="BK753"/>
      <c r="BL753"/>
      <c r="BM753"/>
      <c r="BN753"/>
      <c r="BO753"/>
      <c r="BP753"/>
      <c r="BQ753"/>
      <c r="BR753"/>
      <c r="BS753"/>
      <c r="BT753"/>
      <c r="BU753"/>
      <c r="BV753"/>
      <c r="BW753"/>
      <c r="BX753"/>
      <c r="BY753"/>
      <c r="BZ753"/>
      <c r="CA753"/>
      <c r="CB753"/>
      <c r="CC753"/>
      <c r="CD753"/>
      <c r="CE753"/>
      <c r="CF753"/>
      <c r="CG753"/>
      <c r="CH753"/>
      <c r="CI753"/>
      <c r="CJ753"/>
      <c r="CK753"/>
      <c r="CL753"/>
      <c r="CM753"/>
      <c r="CN753"/>
      <c r="CO753"/>
      <c r="CP753"/>
      <c r="CQ753"/>
      <c r="CR753"/>
      <c r="CS753"/>
      <c r="CT753"/>
      <c r="CU753"/>
      <c r="CV753"/>
      <c r="CW753"/>
      <c r="CX753"/>
      <c r="CY753"/>
      <c r="CZ753"/>
      <c r="DA753"/>
      <c r="DB753"/>
      <c r="DC753"/>
      <c r="DD753"/>
      <c r="DE753"/>
      <c r="DF753"/>
      <c r="DG753"/>
      <c r="DH753"/>
      <c r="DI753"/>
      <c r="DJ753"/>
      <c r="DK753"/>
    </row>
    <row r="754" spans="13:115" x14ac:dyDescent="0.25">
      <c r="M754"/>
      <c r="N754"/>
      <c r="O754"/>
      <c r="P754"/>
      <c r="Q754"/>
      <c r="R754"/>
      <c r="S754"/>
      <c r="T754"/>
      <c r="U754"/>
      <c r="V754"/>
      <c r="W754"/>
      <c r="X754"/>
      <c r="Y754"/>
      <c r="Z754"/>
      <c r="AA754"/>
      <c r="AB754"/>
      <c r="AC754"/>
      <c r="AD754"/>
      <c r="AE754"/>
      <c r="AF754"/>
      <c r="AG754"/>
      <c r="AH754"/>
      <c r="AI754"/>
      <c r="AJ754"/>
      <c r="AK754"/>
      <c r="AL754"/>
      <c r="AM754"/>
      <c r="AN754"/>
      <c r="AO754"/>
      <c r="AP754"/>
      <c r="AQ754"/>
      <c r="AR754"/>
      <c r="AS754"/>
      <c r="AT754"/>
      <c r="AU754"/>
      <c r="AV754"/>
      <c r="AW754"/>
      <c r="AX754"/>
      <c r="AY754"/>
      <c r="AZ754"/>
      <c r="BA754"/>
      <c r="BB754"/>
      <c r="BC754"/>
      <c r="BD754"/>
      <c r="BE754"/>
      <c r="BF754"/>
      <c r="BG754"/>
      <c r="BH754"/>
      <c r="BI754"/>
      <c r="BJ754"/>
      <c r="BK754"/>
      <c r="BL754"/>
      <c r="BM754"/>
      <c r="BN754"/>
      <c r="BO754"/>
      <c r="BP754"/>
      <c r="BQ754"/>
      <c r="BR754"/>
      <c r="BS754"/>
      <c r="BT754"/>
      <c r="BU754"/>
      <c r="BV754"/>
      <c r="BW754"/>
      <c r="BX754"/>
      <c r="BY754"/>
      <c r="BZ754"/>
      <c r="CA754"/>
      <c r="CB754"/>
      <c r="CC754"/>
      <c r="CD754"/>
      <c r="CE754"/>
      <c r="CF754"/>
      <c r="CG754"/>
      <c r="CH754"/>
      <c r="CI754"/>
      <c r="CJ754"/>
      <c r="CK754"/>
      <c r="CL754"/>
      <c r="CM754"/>
      <c r="CN754"/>
      <c r="CO754"/>
      <c r="CP754"/>
      <c r="CQ754"/>
      <c r="CR754"/>
      <c r="CS754"/>
      <c r="CT754"/>
      <c r="CU754"/>
      <c r="CV754"/>
      <c r="CW754"/>
      <c r="CX754"/>
      <c r="CY754"/>
      <c r="CZ754"/>
      <c r="DA754"/>
      <c r="DB754"/>
      <c r="DC754"/>
      <c r="DD754"/>
      <c r="DE754"/>
      <c r="DF754"/>
      <c r="DG754"/>
      <c r="DH754"/>
      <c r="DI754"/>
      <c r="DJ754"/>
      <c r="DK754"/>
    </row>
    <row r="755" spans="13:115" x14ac:dyDescent="0.25">
      <c r="M755"/>
      <c r="N755"/>
      <c r="O755"/>
      <c r="P755"/>
      <c r="Q755"/>
      <c r="R755"/>
      <c r="S755"/>
      <c r="T755"/>
      <c r="U755"/>
      <c r="V755"/>
      <c r="W755"/>
      <c r="X755"/>
      <c r="Y755"/>
      <c r="Z755"/>
      <c r="AA755"/>
      <c r="AB755"/>
      <c r="AC755"/>
      <c r="AD755"/>
      <c r="AE755"/>
      <c r="AF755"/>
      <c r="AG755"/>
      <c r="AH755"/>
      <c r="AI755"/>
      <c r="AJ755"/>
      <c r="AK755"/>
      <c r="AL755"/>
      <c r="AM755"/>
      <c r="AN755"/>
      <c r="AO755"/>
      <c r="AP755"/>
      <c r="AQ755"/>
      <c r="AR755"/>
      <c r="AS755"/>
      <c r="AT755"/>
      <c r="AU755"/>
      <c r="AV755"/>
      <c r="AW755"/>
      <c r="AX755"/>
      <c r="AY755"/>
      <c r="AZ755"/>
      <c r="BA755"/>
      <c r="BB755"/>
      <c r="BC755"/>
      <c r="BD755"/>
      <c r="BE755"/>
      <c r="BF755"/>
      <c r="BG755"/>
      <c r="BH755"/>
      <c r="BI755"/>
      <c r="BJ755"/>
      <c r="BK755"/>
      <c r="BL755"/>
      <c r="BM755"/>
      <c r="BN755"/>
      <c r="BO755"/>
      <c r="BP755"/>
      <c r="BQ755"/>
      <c r="BR755"/>
      <c r="BS755"/>
      <c r="BT755"/>
      <c r="BU755"/>
      <c r="BV755"/>
      <c r="BW755"/>
      <c r="BX755"/>
      <c r="BY755"/>
      <c r="BZ755"/>
      <c r="CA755"/>
      <c r="CB755"/>
      <c r="CC755"/>
      <c r="CD755"/>
      <c r="CE755"/>
      <c r="CF755"/>
      <c r="CG755"/>
      <c r="CH755"/>
      <c r="CI755"/>
      <c r="CJ755"/>
      <c r="CK755"/>
      <c r="CL755"/>
      <c r="CM755"/>
      <c r="CN755"/>
      <c r="CO755"/>
      <c r="CP755"/>
      <c r="CQ755"/>
      <c r="CR755"/>
      <c r="CS755"/>
      <c r="CT755"/>
      <c r="CU755"/>
      <c r="CV755"/>
      <c r="CW755"/>
      <c r="CX755"/>
      <c r="CY755"/>
      <c r="CZ755"/>
      <c r="DA755"/>
      <c r="DB755"/>
      <c r="DC755"/>
      <c r="DD755"/>
      <c r="DE755"/>
      <c r="DF755"/>
      <c r="DG755"/>
      <c r="DH755"/>
      <c r="DI755"/>
      <c r="DJ755"/>
      <c r="DK755"/>
    </row>
    <row r="756" spans="13:115" x14ac:dyDescent="0.25">
      <c r="M756"/>
      <c r="N756"/>
      <c r="O756"/>
      <c r="P756"/>
      <c r="Q756"/>
      <c r="R756"/>
      <c r="S756"/>
      <c r="T756"/>
      <c r="U756"/>
      <c r="V756"/>
      <c r="W756"/>
      <c r="X756"/>
      <c r="Y756"/>
      <c r="Z756"/>
      <c r="AA756"/>
      <c r="AB756"/>
      <c r="AC756"/>
      <c r="AD756"/>
      <c r="AE756"/>
      <c r="AF756"/>
      <c r="AG756"/>
      <c r="AH756"/>
      <c r="AI756"/>
      <c r="AJ756"/>
      <c r="AK756"/>
      <c r="AL756"/>
      <c r="AM756"/>
      <c r="AN756"/>
      <c r="AO756"/>
      <c r="AP756"/>
      <c r="AQ756"/>
      <c r="AR756"/>
      <c r="AS756"/>
      <c r="AT756"/>
      <c r="AU756"/>
      <c r="AV756"/>
      <c r="AW756"/>
      <c r="AX756"/>
      <c r="AY756"/>
      <c r="AZ756"/>
      <c r="BA756"/>
      <c r="BB756"/>
      <c r="BC756"/>
      <c r="BD756"/>
      <c r="BE756"/>
      <c r="BF756"/>
      <c r="BG756"/>
      <c r="BH756"/>
      <c r="BI756"/>
      <c r="BJ756"/>
      <c r="BK756"/>
      <c r="BL756"/>
      <c r="BM756"/>
      <c r="BN756"/>
      <c r="BO756"/>
      <c r="BP756"/>
      <c r="BQ756"/>
      <c r="BR756"/>
      <c r="BS756"/>
      <c r="BT756"/>
      <c r="BU756"/>
      <c r="BV756"/>
      <c r="BW756"/>
      <c r="BX756"/>
      <c r="BY756"/>
      <c r="BZ756"/>
      <c r="CA756"/>
      <c r="CB756"/>
      <c r="CC756"/>
      <c r="CD756"/>
      <c r="CE756"/>
      <c r="CF756"/>
      <c r="CG756"/>
      <c r="CH756"/>
      <c r="CI756"/>
      <c r="CJ756"/>
      <c r="CK756"/>
      <c r="CL756"/>
      <c r="CM756"/>
      <c r="CN756"/>
      <c r="CO756"/>
      <c r="CP756"/>
      <c r="CQ756"/>
      <c r="CR756"/>
      <c r="CS756"/>
      <c r="CT756"/>
      <c r="CU756"/>
      <c r="CV756"/>
      <c r="CW756"/>
      <c r="CX756"/>
      <c r="CY756"/>
      <c r="CZ756"/>
      <c r="DA756"/>
      <c r="DB756"/>
      <c r="DC756"/>
      <c r="DD756"/>
      <c r="DE756"/>
      <c r="DF756"/>
      <c r="DG756"/>
      <c r="DH756"/>
      <c r="DI756"/>
      <c r="DJ756"/>
      <c r="DK756"/>
    </row>
    <row r="757" spans="13:115" x14ac:dyDescent="0.25">
      <c r="M757"/>
      <c r="N757"/>
      <c r="O757"/>
      <c r="P757"/>
      <c r="Q757"/>
      <c r="R757"/>
      <c r="S757"/>
      <c r="T757"/>
      <c r="U757"/>
      <c r="V757"/>
      <c r="W757"/>
      <c r="X757"/>
      <c r="Y757"/>
      <c r="Z757"/>
      <c r="AA757"/>
      <c r="AB757"/>
      <c r="AC757"/>
      <c r="AD757"/>
      <c r="AE757"/>
      <c r="AF757"/>
      <c r="AG757"/>
      <c r="AH757"/>
      <c r="AI757"/>
      <c r="AJ757"/>
      <c r="AK757"/>
      <c r="AL757"/>
      <c r="AM757"/>
      <c r="AN757"/>
      <c r="AO757"/>
      <c r="AP757"/>
      <c r="AQ757"/>
      <c r="AR757"/>
      <c r="AS757"/>
      <c r="AT757"/>
      <c r="AU757"/>
      <c r="AV757"/>
      <c r="AW757"/>
      <c r="AX757"/>
      <c r="AY757"/>
      <c r="AZ757"/>
      <c r="BA757"/>
      <c r="BB757"/>
      <c r="BC757"/>
      <c r="BD757"/>
      <c r="BE757"/>
      <c r="BF757"/>
      <c r="BG757"/>
      <c r="BH757"/>
      <c r="BI757"/>
      <c r="BJ757"/>
      <c r="BK757"/>
      <c r="BL757"/>
      <c r="BM757"/>
      <c r="BN757"/>
      <c r="BO757"/>
      <c r="BP757"/>
      <c r="BQ757"/>
      <c r="BR757"/>
      <c r="BS757"/>
      <c r="BT757"/>
      <c r="BU757"/>
      <c r="BV757"/>
      <c r="BW757"/>
      <c r="BX757"/>
      <c r="BY757"/>
      <c r="BZ757"/>
      <c r="CA757"/>
      <c r="CB757"/>
      <c r="CC757"/>
      <c r="CD757"/>
      <c r="CE757"/>
      <c r="CF757"/>
      <c r="CG757"/>
      <c r="CH757"/>
      <c r="CI757"/>
      <c r="CJ757"/>
      <c r="CK757"/>
      <c r="CL757"/>
      <c r="CM757"/>
      <c r="CN757"/>
      <c r="CO757"/>
      <c r="CP757"/>
      <c r="CQ757"/>
      <c r="CR757"/>
      <c r="CS757"/>
      <c r="CT757"/>
      <c r="CU757"/>
      <c r="CV757"/>
      <c r="CW757"/>
      <c r="CX757"/>
      <c r="CY757"/>
      <c r="CZ757"/>
      <c r="DA757"/>
      <c r="DB757"/>
      <c r="DC757"/>
      <c r="DD757"/>
      <c r="DE757"/>
      <c r="DF757"/>
      <c r="DG757"/>
      <c r="DH757"/>
      <c r="DI757"/>
      <c r="DJ757"/>
      <c r="DK757"/>
    </row>
    <row r="758" spans="13:115" x14ac:dyDescent="0.25">
      <c r="M758"/>
      <c r="N758"/>
      <c r="O758"/>
      <c r="P758"/>
      <c r="Q758"/>
      <c r="R758"/>
      <c r="S758"/>
      <c r="T758"/>
      <c r="U758"/>
      <c r="V758"/>
      <c r="W758"/>
      <c r="X758"/>
      <c r="Y758"/>
      <c r="Z758"/>
      <c r="AA758"/>
      <c r="AB758"/>
      <c r="AC758"/>
      <c r="AD758"/>
      <c r="AE758"/>
      <c r="AF758"/>
      <c r="AG758"/>
      <c r="AH758"/>
      <c r="AI758"/>
      <c r="AJ758"/>
      <c r="AK758"/>
      <c r="AL758"/>
      <c r="AM758"/>
      <c r="AN758"/>
      <c r="AO758"/>
      <c r="AP758"/>
      <c r="AQ758"/>
      <c r="AR758"/>
      <c r="AS758"/>
      <c r="AT758"/>
      <c r="AU758"/>
      <c r="AV758"/>
      <c r="AW758"/>
      <c r="AX758"/>
      <c r="AY758"/>
      <c r="AZ758"/>
      <c r="BA758"/>
      <c r="BB758"/>
      <c r="BC758"/>
      <c r="BD758"/>
      <c r="BE758"/>
      <c r="BF758"/>
      <c r="BG758"/>
      <c r="BH758"/>
      <c r="BI758"/>
      <c r="BJ758"/>
      <c r="BK758"/>
      <c r="BL758"/>
      <c r="BM758"/>
      <c r="BN758"/>
      <c r="BO758"/>
      <c r="BP758"/>
      <c r="BQ758"/>
      <c r="BR758"/>
      <c r="BS758"/>
      <c r="BT758"/>
      <c r="BU758"/>
      <c r="BV758"/>
      <c r="BW758"/>
      <c r="BX758"/>
      <c r="BY758"/>
      <c r="BZ758"/>
      <c r="CA758"/>
      <c r="CB758"/>
      <c r="CC758"/>
      <c r="CD758"/>
      <c r="CE758"/>
      <c r="CF758"/>
      <c r="CG758"/>
      <c r="CH758"/>
      <c r="CI758"/>
      <c r="CJ758"/>
      <c r="CK758"/>
      <c r="CL758"/>
      <c r="CM758"/>
      <c r="CN758"/>
      <c r="CO758"/>
      <c r="CP758"/>
      <c r="CQ758"/>
      <c r="CR758"/>
      <c r="CS758"/>
      <c r="CT758"/>
      <c r="CU758"/>
      <c r="CV758"/>
      <c r="CW758"/>
      <c r="CX758"/>
      <c r="CY758"/>
      <c r="CZ758"/>
      <c r="DA758"/>
      <c r="DB758"/>
      <c r="DC758"/>
      <c r="DD758"/>
      <c r="DE758"/>
      <c r="DF758"/>
      <c r="DG758"/>
      <c r="DH758"/>
      <c r="DI758"/>
      <c r="DJ758"/>
      <c r="DK758"/>
    </row>
    <row r="759" spans="13:115" x14ac:dyDescent="0.25">
      <c r="M759"/>
      <c r="N759"/>
      <c r="O759"/>
      <c r="P759"/>
      <c r="Q759"/>
      <c r="R759"/>
      <c r="S759"/>
      <c r="T759"/>
      <c r="U759"/>
      <c r="V759"/>
      <c r="W759"/>
      <c r="X759"/>
      <c r="Y759"/>
      <c r="Z759"/>
      <c r="AA759"/>
      <c r="AB759"/>
      <c r="AC759"/>
      <c r="AD759"/>
      <c r="AE759"/>
      <c r="AF759"/>
      <c r="AG759"/>
      <c r="AH759"/>
      <c r="AI759"/>
      <c r="AJ759"/>
      <c r="AK759"/>
      <c r="AL759"/>
      <c r="AM759"/>
      <c r="AN759"/>
      <c r="AO759"/>
      <c r="AP759"/>
      <c r="AQ759"/>
      <c r="AR759"/>
      <c r="AS759"/>
      <c r="AT759"/>
      <c r="AU759"/>
      <c r="AV759"/>
      <c r="AW759"/>
      <c r="AX759"/>
      <c r="AY759"/>
      <c r="AZ759"/>
      <c r="BA759"/>
      <c r="BB759"/>
      <c r="BC759"/>
      <c r="BD759"/>
      <c r="BE759"/>
      <c r="BF759"/>
      <c r="BG759"/>
      <c r="BH759"/>
      <c r="BI759"/>
      <c r="BJ759"/>
      <c r="BK759"/>
      <c r="BL759"/>
      <c r="BM759"/>
      <c r="BN759"/>
      <c r="BO759"/>
      <c r="BP759"/>
      <c r="BQ759"/>
      <c r="BR759"/>
      <c r="BS759"/>
      <c r="BT759"/>
      <c r="BU759"/>
      <c r="BV759"/>
      <c r="BW759"/>
      <c r="BX759"/>
      <c r="BY759"/>
      <c r="BZ759"/>
      <c r="CA759"/>
      <c r="CB759"/>
      <c r="CC759"/>
      <c r="CD759"/>
      <c r="CE759"/>
      <c r="CF759"/>
      <c r="CG759"/>
      <c r="CH759"/>
      <c r="CI759"/>
      <c r="CJ759"/>
      <c r="CK759"/>
      <c r="CL759"/>
      <c r="CM759"/>
      <c r="CN759"/>
      <c r="CO759"/>
      <c r="CP759"/>
      <c r="CQ759"/>
      <c r="CR759"/>
      <c r="CS759"/>
      <c r="CT759"/>
      <c r="CU759"/>
      <c r="CV759"/>
      <c r="CW759"/>
      <c r="CX759"/>
      <c r="CY759"/>
      <c r="CZ759"/>
      <c r="DA759"/>
      <c r="DB759"/>
      <c r="DC759"/>
      <c r="DD759"/>
      <c r="DE759"/>
      <c r="DF759"/>
      <c r="DG759"/>
      <c r="DH759"/>
      <c r="DI759"/>
      <c r="DJ759"/>
      <c r="DK759"/>
    </row>
    <row r="760" spans="13:115" x14ac:dyDescent="0.25">
      <c r="M760"/>
      <c r="N760"/>
      <c r="O760"/>
      <c r="P760"/>
      <c r="Q760"/>
      <c r="R760"/>
      <c r="S760"/>
      <c r="T760"/>
      <c r="U760"/>
      <c r="V760"/>
      <c r="W760"/>
      <c r="X760"/>
      <c r="Y760"/>
      <c r="Z760"/>
      <c r="AA760"/>
      <c r="AB760"/>
      <c r="AC760"/>
      <c r="AD760"/>
      <c r="AE760"/>
      <c r="AF760"/>
      <c r="AG760"/>
      <c r="AH760"/>
      <c r="AI760"/>
      <c r="AJ760"/>
      <c r="AK760"/>
      <c r="AL760"/>
      <c r="AM760"/>
      <c r="AN760"/>
      <c r="AO760"/>
      <c r="AP760"/>
      <c r="AQ760"/>
      <c r="AR760"/>
      <c r="AS760"/>
      <c r="AT760"/>
      <c r="AU760"/>
      <c r="AV760"/>
      <c r="AW760"/>
      <c r="AX760"/>
      <c r="AY760"/>
      <c r="AZ760"/>
      <c r="BA760"/>
      <c r="BB760"/>
      <c r="BC760"/>
      <c r="BD760"/>
      <c r="BE760"/>
      <c r="BF760"/>
      <c r="BG760"/>
      <c r="BH760"/>
      <c r="BI760"/>
      <c r="BJ760"/>
      <c r="BK760"/>
      <c r="BL760"/>
      <c r="BM760"/>
      <c r="BN760"/>
      <c r="BO760"/>
      <c r="BP760"/>
      <c r="BQ760"/>
      <c r="BR760"/>
      <c r="BS760"/>
      <c r="BT760"/>
      <c r="BU760"/>
      <c r="BV760"/>
      <c r="BW760"/>
      <c r="BX760"/>
      <c r="BY760"/>
      <c r="BZ760"/>
      <c r="CA760"/>
      <c r="CB760"/>
      <c r="CC760"/>
      <c r="CD760"/>
      <c r="CE760"/>
      <c r="CF760"/>
      <c r="CG760"/>
      <c r="CH760"/>
      <c r="CI760"/>
      <c r="CJ760"/>
      <c r="CK760"/>
      <c r="CL760"/>
      <c r="CM760"/>
      <c r="CN760"/>
      <c r="CO760"/>
      <c r="CP760"/>
      <c r="CQ760"/>
      <c r="CR760"/>
      <c r="CS760"/>
      <c r="CT760"/>
      <c r="CU760"/>
      <c r="CV760"/>
      <c r="CW760"/>
      <c r="CX760"/>
      <c r="CY760"/>
      <c r="CZ760"/>
      <c r="DA760"/>
      <c r="DB760"/>
      <c r="DC760"/>
      <c r="DD760"/>
      <c r="DE760"/>
      <c r="DF760"/>
      <c r="DG760"/>
      <c r="DH760"/>
      <c r="DI760"/>
      <c r="DJ760"/>
      <c r="DK760"/>
    </row>
    <row r="761" spans="13:115" x14ac:dyDescent="0.25">
      <c r="M761"/>
      <c r="N761"/>
      <c r="O761"/>
      <c r="P761"/>
      <c r="Q761"/>
      <c r="R761"/>
      <c r="S761"/>
      <c r="T761"/>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c r="BA761"/>
      <c r="BB761"/>
      <c r="BC761"/>
      <c r="BD761"/>
      <c r="BE761"/>
      <c r="BF761"/>
      <c r="BG761"/>
      <c r="BH761"/>
      <c r="BI761"/>
      <c r="BJ761"/>
      <c r="BK761"/>
      <c r="BL761"/>
      <c r="BM761"/>
      <c r="BN761"/>
      <c r="BO761"/>
      <c r="BP761"/>
      <c r="BQ761"/>
      <c r="BR761"/>
      <c r="BS761"/>
      <c r="BT761"/>
      <c r="BU761"/>
      <c r="BV761"/>
      <c r="BW761"/>
      <c r="BX761"/>
      <c r="BY761"/>
      <c r="BZ761"/>
      <c r="CA761"/>
      <c r="CB761"/>
      <c r="CC761"/>
      <c r="CD761"/>
      <c r="CE761"/>
      <c r="CF761"/>
      <c r="CG761"/>
      <c r="CH761"/>
      <c r="CI761"/>
      <c r="CJ761"/>
      <c r="CK761"/>
      <c r="CL761"/>
      <c r="CM761"/>
      <c r="CN761"/>
      <c r="CO761"/>
      <c r="CP761"/>
      <c r="CQ761"/>
      <c r="CR761"/>
      <c r="CS761"/>
      <c r="CT761"/>
      <c r="CU761"/>
      <c r="CV761"/>
      <c r="CW761"/>
      <c r="CX761"/>
      <c r="CY761"/>
      <c r="CZ761"/>
      <c r="DA761"/>
      <c r="DB761"/>
      <c r="DC761"/>
      <c r="DD761"/>
      <c r="DE761"/>
      <c r="DF761"/>
      <c r="DG761"/>
      <c r="DH761"/>
      <c r="DI761"/>
      <c r="DJ761"/>
      <c r="DK761"/>
    </row>
    <row r="762" spans="13:115" x14ac:dyDescent="0.25">
      <c r="M762"/>
      <c r="N762"/>
      <c r="O762"/>
      <c r="P762"/>
      <c r="Q762"/>
      <c r="R762"/>
      <c r="S762"/>
      <c r="T762"/>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c r="BA762"/>
      <c r="BB762"/>
      <c r="BC762"/>
      <c r="BD762"/>
      <c r="BE762"/>
      <c r="BF762"/>
      <c r="BG762"/>
      <c r="BH762"/>
      <c r="BI762"/>
      <c r="BJ762"/>
      <c r="BK762"/>
      <c r="BL762"/>
      <c r="BM762"/>
      <c r="BN762"/>
      <c r="BO762"/>
      <c r="BP762"/>
      <c r="BQ762"/>
      <c r="BR762"/>
      <c r="BS762"/>
      <c r="BT762"/>
      <c r="BU762"/>
      <c r="BV762"/>
      <c r="BW762"/>
      <c r="BX762"/>
      <c r="BY762"/>
      <c r="BZ762"/>
      <c r="CA762"/>
      <c r="CB762"/>
      <c r="CC762"/>
      <c r="CD762"/>
      <c r="CE762"/>
      <c r="CF762"/>
      <c r="CG762"/>
      <c r="CH762"/>
      <c r="CI762"/>
      <c r="CJ762"/>
      <c r="CK762"/>
      <c r="CL762"/>
      <c r="CM762"/>
      <c r="CN762"/>
      <c r="CO762"/>
      <c r="CP762"/>
      <c r="CQ762"/>
      <c r="CR762"/>
      <c r="CS762"/>
      <c r="CT762"/>
      <c r="CU762"/>
      <c r="CV762"/>
      <c r="CW762"/>
      <c r="CX762"/>
      <c r="CY762"/>
      <c r="CZ762"/>
      <c r="DA762"/>
      <c r="DB762"/>
      <c r="DC762"/>
      <c r="DD762"/>
      <c r="DE762"/>
      <c r="DF762"/>
      <c r="DG762"/>
      <c r="DH762"/>
      <c r="DI762"/>
      <c r="DJ762"/>
      <c r="DK762"/>
    </row>
    <row r="763" spans="13:115" x14ac:dyDescent="0.25">
      <c r="M763"/>
      <c r="N763"/>
      <c r="O763"/>
      <c r="P763"/>
      <c r="Q763"/>
      <c r="R763"/>
      <c r="S763"/>
      <c r="T763"/>
      <c r="U763"/>
      <c r="V763"/>
      <c r="W763"/>
      <c r="X763"/>
      <c r="Y763"/>
      <c r="Z763"/>
      <c r="AA763"/>
      <c r="AB763"/>
      <c r="AC763"/>
      <c r="AD763"/>
      <c r="AE763"/>
      <c r="AF763"/>
      <c r="AG763"/>
      <c r="AH763"/>
      <c r="AI763"/>
      <c r="AJ763"/>
      <c r="AK763"/>
      <c r="AL763"/>
      <c r="AM763"/>
      <c r="AN763"/>
      <c r="AO763"/>
      <c r="AP763"/>
      <c r="AQ763"/>
      <c r="AR763"/>
      <c r="AS763"/>
      <c r="AT763"/>
      <c r="AU763"/>
      <c r="AV763"/>
      <c r="AW763"/>
      <c r="AX763"/>
      <c r="AY763"/>
      <c r="AZ763"/>
      <c r="BA763"/>
      <c r="BB763"/>
      <c r="BC763"/>
      <c r="BD763"/>
      <c r="BE763"/>
      <c r="BF763"/>
      <c r="BG763"/>
      <c r="BH763"/>
      <c r="BI763"/>
      <c r="BJ763"/>
      <c r="BK763"/>
      <c r="BL763"/>
      <c r="BM763"/>
      <c r="BN763"/>
      <c r="BO763"/>
      <c r="BP763"/>
      <c r="BQ763"/>
      <c r="BR763"/>
      <c r="BS763"/>
      <c r="BT763"/>
      <c r="BU763"/>
      <c r="BV763"/>
      <c r="BW763"/>
      <c r="BX763"/>
      <c r="BY763"/>
      <c r="BZ763"/>
      <c r="CA763"/>
      <c r="CB763"/>
      <c r="CC763"/>
      <c r="CD763"/>
      <c r="CE763"/>
      <c r="CF763"/>
      <c r="CG763"/>
      <c r="CH763"/>
      <c r="CI763"/>
      <c r="CJ763"/>
      <c r="CK763"/>
      <c r="CL763"/>
      <c r="CM763"/>
      <c r="CN763"/>
      <c r="CO763"/>
      <c r="CP763"/>
      <c r="CQ763"/>
      <c r="CR763"/>
      <c r="CS763"/>
      <c r="CT763"/>
      <c r="CU763"/>
      <c r="CV763"/>
      <c r="CW763"/>
      <c r="CX763"/>
      <c r="CY763"/>
      <c r="CZ763"/>
      <c r="DA763"/>
      <c r="DB763"/>
      <c r="DC763"/>
      <c r="DD763"/>
      <c r="DE763"/>
      <c r="DF763"/>
      <c r="DG763"/>
      <c r="DH763"/>
      <c r="DI763"/>
      <c r="DJ763"/>
      <c r="DK763"/>
    </row>
    <row r="764" spans="13:115" x14ac:dyDescent="0.25">
      <c r="M764"/>
      <c r="N764"/>
      <c r="O764"/>
      <c r="P764"/>
      <c r="Q764"/>
      <c r="R764"/>
      <c r="S764"/>
      <c r="T764"/>
      <c r="U764"/>
      <c r="V764"/>
      <c r="W764"/>
      <c r="X764"/>
      <c r="Y764"/>
      <c r="Z764"/>
      <c r="AA764"/>
      <c r="AB764"/>
      <c r="AC764"/>
      <c r="AD764"/>
      <c r="AE764"/>
      <c r="AF764"/>
      <c r="AG764"/>
      <c r="AH764"/>
      <c r="AI764"/>
      <c r="AJ764"/>
      <c r="AK764"/>
      <c r="AL764"/>
      <c r="AM764"/>
      <c r="AN764"/>
      <c r="AO764"/>
      <c r="AP764"/>
      <c r="AQ764"/>
      <c r="AR764"/>
      <c r="AS764"/>
      <c r="AT764"/>
      <c r="AU764"/>
      <c r="AV764"/>
      <c r="AW764"/>
      <c r="AX764"/>
      <c r="AY764"/>
      <c r="AZ764"/>
      <c r="BA764"/>
      <c r="BB764"/>
      <c r="BC764"/>
      <c r="BD764"/>
      <c r="BE764"/>
      <c r="BF764"/>
      <c r="BG764"/>
      <c r="BH764"/>
      <c r="BI764"/>
      <c r="BJ764"/>
      <c r="BK764"/>
      <c r="BL764"/>
      <c r="BM764"/>
      <c r="BN764"/>
      <c r="BO764"/>
      <c r="BP764"/>
      <c r="BQ764"/>
      <c r="BR764"/>
      <c r="BS764"/>
      <c r="BT764"/>
      <c r="BU764"/>
      <c r="BV764"/>
      <c r="BW764"/>
      <c r="BX764"/>
      <c r="BY764"/>
      <c r="BZ764"/>
      <c r="CA764"/>
      <c r="CB764"/>
      <c r="CC764"/>
      <c r="CD764"/>
      <c r="CE764"/>
      <c r="CF764"/>
      <c r="CG764"/>
      <c r="CH764"/>
      <c r="CI764"/>
      <c r="CJ764"/>
      <c r="CK764"/>
      <c r="CL764"/>
      <c r="CM764"/>
      <c r="CN764"/>
      <c r="CO764"/>
      <c r="CP764"/>
      <c r="CQ764"/>
      <c r="CR764"/>
      <c r="CS764"/>
      <c r="CT764"/>
      <c r="CU764"/>
      <c r="CV764"/>
      <c r="CW764"/>
      <c r="CX764"/>
      <c r="CY764"/>
      <c r="CZ764"/>
      <c r="DA764"/>
      <c r="DB764"/>
      <c r="DC764"/>
      <c r="DD764"/>
      <c r="DE764"/>
      <c r="DF764"/>
      <c r="DG764"/>
      <c r="DH764"/>
      <c r="DI764"/>
      <c r="DJ764"/>
      <c r="DK764"/>
    </row>
    <row r="765" spans="13:115" x14ac:dyDescent="0.25">
      <c r="M765"/>
      <c r="N765"/>
      <c r="O765"/>
      <c r="P765"/>
      <c r="Q765"/>
      <c r="R765"/>
      <c r="S765"/>
      <c r="T765"/>
      <c r="U765"/>
      <c r="V765"/>
      <c r="W765"/>
      <c r="X765"/>
      <c r="Y765"/>
      <c r="Z765"/>
      <c r="AA765"/>
      <c r="AB765"/>
      <c r="AC765"/>
      <c r="AD765"/>
      <c r="AE765"/>
      <c r="AF765"/>
      <c r="AG765"/>
      <c r="AH765"/>
      <c r="AI765"/>
      <c r="AJ765"/>
      <c r="AK765"/>
      <c r="AL765"/>
      <c r="AM765"/>
      <c r="AN765"/>
      <c r="AO765"/>
      <c r="AP765"/>
      <c r="AQ765"/>
      <c r="AR765"/>
      <c r="AS765"/>
      <c r="AT765"/>
      <c r="AU765"/>
      <c r="AV765"/>
      <c r="AW765"/>
      <c r="AX765"/>
      <c r="AY765"/>
      <c r="AZ765"/>
      <c r="BA765"/>
      <c r="BB765"/>
      <c r="BC765"/>
      <c r="BD765"/>
      <c r="BE765"/>
      <c r="BF765"/>
      <c r="BG765"/>
      <c r="BH765"/>
      <c r="BI765"/>
      <c r="BJ765"/>
      <c r="BK765"/>
      <c r="BL765"/>
      <c r="BM765"/>
      <c r="BN765"/>
      <c r="BO765"/>
      <c r="BP765"/>
      <c r="BQ765"/>
      <c r="BR765"/>
      <c r="BS765"/>
      <c r="BT765"/>
      <c r="BU765"/>
      <c r="BV765"/>
      <c r="BW765"/>
      <c r="BX765"/>
      <c r="BY765"/>
      <c r="BZ765"/>
      <c r="CA765"/>
      <c r="CB765"/>
      <c r="CC765"/>
      <c r="CD765"/>
      <c r="CE765"/>
      <c r="CF765"/>
      <c r="CG765"/>
      <c r="CH765"/>
      <c r="CI765"/>
      <c r="CJ765"/>
      <c r="CK765"/>
      <c r="CL765"/>
      <c r="CM765"/>
      <c r="CN765"/>
      <c r="CO765"/>
      <c r="CP765"/>
      <c r="CQ765"/>
      <c r="CR765"/>
      <c r="CS765"/>
      <c r="CT765"/>
      <c r="CU765"/>
      <c r="CV765"/>
      <c r="CW765"/>
      <c r="CX765"/>
      <c r="CY765"/>
      <c r="CZ765"/>
      <c r="DA765"/>
      <c r="DB765"/>
      <c r="DC765"/>
      <c r="DD765"/>
      <c r="DE765"/>
      <c r="DF765"/>
      <c r="DG765"/>
      <c r="DH765"/>
      <c r="DI765"/>
      <c r="DJ765"/>
      <c r="DK765"/>
    </row>
    <row r="766" spans="13:115" x14ac:dyDescent="0.25">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c r="BB766"/>
      <c r="BC766"/>
      <c r="BD766"/>
      <c r="BE766"/>
      <c r="BF766"/>
      <c r="BG766"/>
      <c r="BH766"/>
      <c r="BI766"/>
      <c r="BJ766"/>
      <c r="BK766"/>
      <c r="BL766"/>
      <c r="BM766"/>
      <c r="BN766"/>
      <c r="BO766"/>
      <c r="BP766"/>
      <c r="BQ766"/>
      <c r="BR766"/>
      <c r="BS766"/>
      <c r="BT766"/>
      <c r="BU766"/>
      <c r="BV766"/>
      <c r="BW766"/>
      <c r="BX766"/>
      <c r="BY766"/>
      <c r="BZ766"/>
      <c r="CA766"/>
      <c r="CB766"/>
      <c r="CC766"/>
      <c r="CD766"/>
      <c r="CE766"/>
      <c r="CF766"/>
      <c r="CG766"/>
      <c r="CH766"/>
      <c r="CI766"/>
      <c r="CJ766"/>
      <c r="CK766"/>
      <c r="CL766"/>
      <c r="CM766"/>
      <c r="CN766"/>
      <c r="CO766"/>
      <c r="CP766"/>
      <c r="CQ766"/>
      <c r="CR766"/>
      <c r="CS766"/>
      <c r="CT766"/>
      <c r="CU766"/>
      <c r="CV766"/>
      <c r="CW766"/>
      <c r="CX766"/>
      <c r="CY766"/>
      <c r="CZ766"/>
      <c r="DA766"/>
      <c r="DB766"/>
      <c r="DC766"/>
      <c r="DD766"/>
      <c r="DE766"/>
      <c r="DF766"/>
      <c r="DG766"/>
      <c r="DH766"/>
      <c r="DI766"/>
      <c r="DJ766"/>
      <c r="DK766"/>
    </row>
  </sheetData>
  <mergeCells count="2192">
    <mergeCell ref="A185:A187"/>
    <mergeCell ref="B185:B186"/>
    <mergeCell ref="C185:C186"/>
    <mergeCell ref="D185:D186"/>
    <mergeCell ref="E185:I185"/>
    <mergeCell ref="A164:A166"/>
    <mergeCell ref="B164:B165"/>
    <mergeCell ref="C164:C165"/>
    <mergeCell ref="D164:D165"/>
    <mergeCell ref="J164:J165"/>
    <mergeCell ref="K164:K165"/>
    <mergeCell ref="E164:I164"/>
    <mergeCell ref="J185:J186"/>
    <mergeCell ref="K185:K186"/>
    <mergeCell ref="A251:A253"/>
    <mergeCell ref="B251:B252"/>
    <mergeCell ref="C251:C252"/>
    <mergeCell ref="D251:D252"/>
    <mergeCell ref="E251:I251"/>
    <mergeCell ref="J251:J252"/>
    <mergeCell ref="K251:K252"/>
    <mergeCell ref="A198:A200"/>
    <mergeCell ref="B198:B199"/>
    <mergeCell ref="C198:C199"/>
    <mergeCell ref="D198:D199"/>
    <mergeCell ref="J198:J199"/>
    <mergeCell ref="K198:K199"/>
    <mergeCell ref="A213:A215"/>
    <mergeCell ref="B213:B214"/>
    <mergeCell ref="C213:C214"/>
    <mergeCell ref="D228:D229"/>
    <mergeCell ref="E228:I228"/>
    <mergeCell ref="J228:J229"/>
    <mergeCell ref="K228:K229"/>
    <mergeCell ref="D213:D214"/>
    <mergeCell ref="J213:J214"/>
    <mergeCell ref="K213:K214"/>
    <mergeCell ref="E213:I213"/>
    <mergeCell ref="E198:I198"/>
    <mergeCell ref="A228:A230"/>
    <mergeCell ref="B228:B229"/>
    <mergeCell ref="C228:C229"/>
    <mergeCell ref="A133:A135"/>
    <mergeCell ref="B133:B134"/>
    <mergeCell ref="C133:C134"/>
    <mergeCell ref="D133:D134"/>
    <mergeCell ref="J133:J134"/>
    <mergeCell ref="K133:K134"/>
    <mergeCell ref="E125:I125"/>
    <mergeCell ref="E133:I133"/>
    <mergeCell ref="A143:A145"/>
    <mergeCell ref="B143:B144"/>
    <mergeCell ref="C143:C144"/>
    <mergeCell ref="D143:D144"/>
    <mergeCell ref="J143:J144"/>
    <mergeCell ref="K143:K144"/>
    <mergeCell ref="A154:A156"/>
    <mergeCell ref="B154:B155"/>
    <mergeCell ref="C154:C155"/>
    <mergeCell ref="D154:D155"/>
    <mergeCell ref="J154:J155"/>
    <mergeCell ref="K154:K155"/>
    <mergeCell ref="E154:I154"/>
    <mergeCell ref="E143:I143"/>
    <mergeCell ref="A125:A127"/>
    <mergeCell ref="B125:B126"/>
    <mergeCell ref="C125:C126"/>
    <mergeCell ref="D125:D126"/>
    <mergeCell ref="J125:J126"/>
    <mergeCell ref="K125:K126"/>
    <mergeCell ref="K44:K45"/>
    <mergeCell ref="A58:A60"/>
    <mergeCell ref="B58:B59"/>
    <mergeCell ref="C58:C59"/>
    <mergeCell ref="D58:D59"/>
    <mergeCell ref="J58:J59"/>
    <mergeCell ref="K58:K59"/>
    <mergeCell ref="A44:A46"/>
    <mergeCell ref="B44:B45"/>
    <mergeCell ref="C44:C45"/>
    <mergeCell ref="D44:D45"/>
    <mergeCell ref="J44:J45"/>
    <mergeCell ref="E44:I44"/>
    <mergeCell ref="B53:B55"/>
    <mergeCell ref="C53:C54"/>
    <mergeCell ref="D53:D54"/>
    <mergeCell ref="E58:I58"/>
    <mergeCell ref="C94:C95"/>
    <mergeCell ref="D94:D95"/>
    <mergeCell ref="J94:J95"/>
    <mergeCell ref="E108:I108"/>
    <mergeCell ref="E94:I94"/>
    <mergeCell ref="K69:K70"/>
    <mergeCell ref="A81:A83"/>
    <mergeCell ref="B81:B82"/>
    <mergeCell ref="C81:C82"/>
    <mergeCell ref="K3:K4"/>
    <mergeCell ref="A15:A17"/>
    <mergeCell ref="B15:B16"/>
    <mergeCell ref="C15:C16"/>
    <mergeCell ref="D15:D16"/>
    <mergeCell ref="J15:J16"/>
    <mergeCell ref="K15:K16"/>
    <mergeCell ref="A3:A5"/>
    <mergeCell ref="B3:B4"/>
    <mergeCell ref="C3:C4"/>
    <mergeCell ref="D3:D4"/>
    <mergeCell ref="J3:J4"/>
    <mergeCell ref="E3:I3"/>
    <mergeCell ref="E15:I15"/>
    <mergeCell ref="K25:K26"/>
    <mergeCell ref="A35:A37"/>
    <mergeCell ref="B35:B36"/>
    <mergeCell ref="C35:C36"/>
    <mergeCell ref="D35:D36"/>
    <mergeCell ref="J35:J36"/>
    <mergeCell ref="K35:K36"/>
    <mergeCell ref="A25:A27"/>
    <mergeCell ref="B25:B26"/>
    <mergeCell ref="C25:C26"/>
    <mergeCell ref="D25:D26"/>
    <mergeCell ref="J25:J26"/>
    <mergeCell ref="E25:I25"/>
    <mergeCell ref="E35:I35"/>
    <mergeCell ref="D81:D82"/>
    <mergeCell ref="J81:J82"/>
    <mergeCell ref="K81:K82"/>
    <mergeCell ref="A69:A71"/>
    <mergeCell ref="B69:B70"/>
    <mergeCell ref="C69:C70"/>
    <mergeCell ref="D69:D70"/>
    <mergeCell ref="J69:J70"/>
    <mergeCell ref="E69:I69"/>
    <mergeCell ref="E81:I81"/>
    <mergeCell ref="M3:M4"/>
    <mergeCell ref="N3:DI3"/>
    <mergeCell ref="M15:M17"/>
    <mergeCell ref="N15:DI15"/>
    <mergeCell ref="N16:N17"/>
    <mergeCell ref="O16:O17"/>
    <mergeCell ref="P16:P17"/>
    <mergeCell ref="Q16:Q17"/>
    <mergeCell ref="R16:R17"/>
    <mergeCell ref="S16:S17"/>
    <mergeCell ref="T16:T17"/>
    <mergeCell ref="U16:U17"/>
    <mergeCell ref="V16:V17"/>
    <mergeCell ref="W16:W17"/>
    <mergeCell ref="X16:X17"/>
    <mergeCell ref="Y16:Y17"/>
    <mergeCell ref="AI16:AI17"/>
    <mergeCell ref="AJ16:AJ17"/>
    <mergeCell ref="AK16:AK17"/>
    <mergeCell ref="AL16:AL17"/>
    <mergeCell ref="AM16:AM17"/>
    <mergeCell ref="AN16:AN17"/>
    <mergeCell ref="A117:A119"/>
    <mergeCell ref="B117:B118"/>
    <mergeCell ref="C117:C118"/>
    <mergeCell ref="D117:D118"/>
    <mergeCell ref="J117:J118"/>
    <mergeCell ref="K117:K118"/>
    <mergeCell ref="E117:I117"/>
    <mergeCell ref="K94:K95"/>
    <mergeCell ref="A108:A110"/>
    <mergeCell ref="B108:B109"/>
    <mergeCell ref="C108:C109"/>
    <mergeCell ref="D108:D109"/>
    <mergeCell ref="J108:J109"/>
    <mergeCell ref="K108:K109"/>
    <mergeCell ref="A94:A96"/>
    <mergeCell ref="B94:B95"/>
    <mergeCell ref="N229:N230"/>
    <mergeCell ref="M133:M135"/>
    <mergeCell ref="N133:DI133"/>
    <mergeCell ref="N134:N135"/>
    <mergeCell ref="O134:O135"/>
    <mergeCell ref="P134:P135"/>
    <mergeCell ref="Q134:Q135"/>
    <mergeCell ref="R134:R135"/>
    <mergeCell ref="S134:S135"/>
    <mergeCell ref="T134:T135"/>
    <mergeCell ref="U134:U135"/>
    <mergeCell ref="V134:V135"/>
    <mergeCell ref="W134:W135"/>
    <mergeCell ref="X134:X135"/>
    <mergeCell ref="Y134:Y135"/>
    <mergeCell ref="Z134:Z135"/>
    <mergeCell ref="AG229:AG230"/>
    <mergeCell ref="AH229:AH230"/>
    <mergeCell ref="AI229:AI230"/>
    <mergeCell ref="AJ229:AJ230"/>
    <mergeCell ref="AK229:AK230"/>
    <mergeCell ref="AL229:AL230"/>
    <mergeCell ref="AM229:AM230"/>
    <mergeCell ref="AN229:AN230"/>
    <mergeCell ref="AO229:AO230"/>
    <mergeCell ref="AP229:AP230"/>
    <mergeCell ref="AQ229:AQ230"/>
    <mergeCell ref="AR229:AR230"/>
    <mergeCell ref="N213:DI213"/>
    <mergeCell ref="AC126:AC127"/>
    <mergeCell ref="AD126:AD127"/>
    <mergeCell ref="AE126:AE127"/>
    <mergeCell ref="AF126:AF127"/>
    <mergeCell ref="AG126:AG127"/>
    <mergeCell ref="AH126:AH127"/>
    <mergeCell ref="AI126:AI127"/>
    <mergeCell ref="AJ126:AJ127"/>
    <mergeCell ref="AK126:AK127"/>
    <mergeCell ref="AL126:AL127"/>
    <mergeCell ref="AM126:AM127"/>
    <mergeCell ref="AN126:AN127"/>
    <mergeCell ref="AO126:AO127"/>
    <mergeCell ref="AP126:AP127"/>
    <mergeCell ref="AB126:AB127"/>
    <mergeCell ref="BE126:BE127"/>
    <mergeCell ref="BF126:BF127"/>
    <mergeCell ref="BG126:BG127"/>
    <mergeCell ref="BH126:BH127"/>
    <mergeCell ref="AO16:AO17"/>
    <mergeCell ref="AP16:AP17"/>
    <mergeCell ref="AQ16:AQ17"/>
    <mergeCell ref="Z16:Z17"/>
    <mergeCell ref="AA16:AA17"/>
    <mergeCell ref="AB16:AB17"/>
    <mergeCell ref="AC16:AC17"/>
    <mergeCell ref="AD16:AD17"/>
    <mergeCell ref="AE16:AE17"/>
    <mergeCell ref="AF16:AF17"/>
    <mergeCell ref="AG16:AG17"/>
    <mergeCell ref="AH16:AH17"/>
    <mergeCell ref="BA16:BA17"/>
    <mergeCell ref="BB16:BB17"/>
    <mergeCell ref="BC16:BC17"/>
    <mergeCell ref="BD16:BD17"/>
    <mergeCell ref="BE16:BE17"/>
    <mergeCell ref="BF16:BF17"/>
    <mergeCell ref="BG16:BG17"/>
    <mergeCell ref="BH16:BH17"/>
    <mergeCell ref="BI16:BI17"/>
    <mergeCell ref="AR16:AR17"/>
    <mergeCell ref="AS16:AS17"/>
    <mergeCell ref="AT16:AT17"/>
    <mergeCell ref="AU16:AU17"/>
    <mergeCell ref="AV16:AV17"/>
    <mergeCell ref="AW16:AW17"/>
    <mergeCell ref="AX16:AX17"/>
    <mergeCell ref="AY16:AY17"/>
    <mergeCell ref="AZ16:AZ17"/>
    <mergeCell ref="BS16:BS17"/>
    <mergeCell ref="BT16:BT17"/>
    <mergeCell ref="BU16:BU17"/>
    <mergeCell ref="BV16:BV17"/>
    <mergeCell ref="BW16:BW17"/>
    <mergeCell ref="BX16:BX17"/>
    <mergeCell ref="BY16:BY17"/>
    <mergeCell ref="BZ16:BZ17"/>
    <mergeCell ref="CA16:CA17"/>
    <mergeCell ref="BJ16:BJ17"/>
    <mergeCell ref="BK16:BK17"/>
    <mergeCell ref="BL16:BL17"/>
    <mergeCell ref="BM16:BM17"/>
    <mergeCell ref="BN16:BN17"/>
    <mergeCell ref="BO16:BO17"/>
    <mergeCell ref="BP16:BP17"/>
    <mergeCell ref="BQ16:BQ17"/>
    <mergeCell ref="BR16:BR17"/>
    <mergeCell ref="DB16:DB17"/>
    <mergeCell ref="CK16:CK17"/>
    <mergeCell ref="CL16:CL17"/>
    <mergeCell ref="CM16:CM17"/>
    <mergeCell ref="CN16:CN17"/>
    <mergeCell ref="CO16:CO17"/>
    <mergeCell ref="CP16:CP17"/>
    <mergeCell ref="CQ16:CQ17"/>
    <mergeCell ref="CR16:CR17"/>
    <mergeCell ref="CS16:CS17"/>
    <mergeCell ref="CB16:CB17"/>
    <mergeCell ref="CC16:CC17"/>
    <mergeCell ref="CD16:CD17"/>
    <mergeCell ref="CE16:CE17"/>
    <mergeCell ref="CF16:CF17"/>
    <mergeCell ref="CG16:CG17"/>
    <mergeCell ref="CH16:CH17"/>
    <mergeCell ref="CI16:CI17"/>
    <mergeCell ref="CJ16:CJ17"/>
    <mergeCell ref="DC16:DC17"/>
    <mergeCell ref="DD16:DD17"/>
    <mergeCell ref="DE16:DE17"/>
    <mergeCell ref="DF16:DF17"/>
    <mergeCell ref="DG16:DG17"/>
    <mergeCell ref="DH16:DH17"/>
    <mergeCell ref="DI16:DI17"/>
    <mergeCell ref="M25:M27"/>
    <mergeCell ref="N25:DI25"/>
    <mergeCell ref="N26:N27"/>
    <mergeCell ref="O26:O27"/>
    <mergeCell ref="P26:P27"/>
    <mergeCell ref="Q26:Q27"/>
    <mergeCell ref="R26:R27"/>
    <mergeCell ref="S26:S27"/>
    <mergeCell ref="T26:T27"/>
    <mergeCell ref="U26:U27"/>
    <mergeCell ref="V26:V27"/>
    <mergeCell ref="W26:W27"/>
    <mergeCell ref="X26:X27"/>
    <mergeCell ref="Y26:Y27"/>
    <mergeCell ref="Z26:Z27"/>
    <mergeCell ref="AA26:AA27"/>
    <mergeCell ref="AB26:AB27"/>
    <mergeCell ref="CT16:CT17"/>
    <mergeCell ref="CU16:CU17"/>
    <mergeCell ref="CV16:CV17"/>
    <mergeCell ref="CW16:CW17"/>
    <mergeCell ref="CX16:CX17"/>
    <mergeCell ref="CY16:CY17"/>
    <mergeCell ref="CZ16:CZ17"/>
    <mergeCell ref="DA16:DA17"/>
    <mergeCell ref="AL26:AL27"/>
    <mergeCell ref="AM26:AM27"/>
    <mergeCell ref="AN26:AN27"/>
    <mergeCell ref="AO26:AO27"/>
    <mergeCell ref="AP26:AP27"/>
    <mergeCell ref="AQ26:AQ27"/>
    <mergeCell ref="AR26:AR27"/>
    <mergeCell ref="AS26:AS27"/>
    <mergeCell ref="AT26:AT27"/>
    <mergeCell ref="AC26:AC27"/>
    <mergeCell ref="AD26:AD27"/>
    <mergeCell ref="AE26:AE27"/>
    <mergeCell ref="AF26:AF27"/>
    <mergeCell ref="AG26:AG27"/>
    <mergeCell ref="AH26:AH27"/>
    <mergeCell ref="AI26:AI27"/>
    <mergeCell ref="AJ26:AJ27"/>
    <mergeCell ref="AK26:AK27"/>
    <mergeCell ref="BD26:BD27"/>
    <mergeCell ref="BE26:BE27"/>
    <mergeCell ref="BF26:BF27"/>
    <mergeCell ref="BG26:BG27"/>
    <mergeCell ref="BH26:BH27"/>
    <mergeCell ref="BI26:BI27"/>
    <mergeCell ref="BJ26:BJ27"/>
    <mergeCell ref="BK26:BK27"/>
    <mergeCell ref="BL26:BL27"/>
    <mergeCell ref="AU26:AU27"/>
    <mergeCell ref="AV26:AV27"/>
    <mergeCell ref="AW26:AW27"/>
    <mergeCell ref="AX26:AX27"/>
    <mergeCell ref="AY26:AY27"/>
    <mergeCell ref="AZ26:AZ27"/>
    <mergeCell ref="BA26:BA27"/>
    <mergeCell ref="BB26:BB27"/>
    <mergeCell ref="BC26:BC27"/>
    <mergeCell ref="BV26:BV27"/>
    <mergeCell ref="BW26:BW27"/>
    <mergeCell ref="BX26:BX27"/>
    <mergeCell ref="BY26:BY27"/>
    <mergeCell ref="BZ26:BZ27"/>
    <mergeCell ref="CA26:CA27"/>
    <mergeCell ref="CB26:CB27"/>
    <mergeCell ref="CC26:CC27"/>
    <mergeCell ref="CD26:CD27"/>
    <mergeCell ref="BM26:BM27"/>
    <mergeCell ref="BN26:BN27"/>
    <mergeCell ref="BO26:BO27"/>
    <mergeCell ref="BP26:BP27"/>
    <mergeCell ref="BQ26:BQ27"/>
    <mergeCell ref="BR26:BR27"/>
    <mergeCell ref="BS26:BS27"/>
    <mergeCell ref="BT26:BT27"/>
    <mergeCell ref="BU26:BU27"/>
    <mergeCell ref="DE26:DE27"/>
    <mergeCell ref="CN26:CN27"/>
    <mergeCell ref="CO26:CO27"/>
    <mergeCell ref="CP26:CP27"/>
    <mergeCell ref="CQ26:CQ27"/>
    <mergeCell ref="CR26:CR27"/>
    <mergeCell ref="CS26:CS27"/>
    <mergeCell ref="CT26:CT27"/>
    <mergeCell ref="CU26:CU27"/>
    <mergeCell ref="CV26:CV27"/>
    <mergeCell ref="CE26:CE27"/>
    <mergeCell ref="CF26:CF27"/>
    <mergeCell ref="CG26:CG27"/>
    <mergeCell ref="CH26:CH27"/>
    <mergeCell ref="CI26:CI27"/>
    <mergeCell ref="CJ26:CJ27"/>
    <mergeCell ref="CK26:CK27"/>
    <mergeCell ref="CL26:CL27"/>
    <mergeCell ref="CM26:CM27"/>
    <mergeCell ref="DF26:DF27"/>
    <mergeCell ref="DG26:DG27"/>
    <mergeCell ref="DH26:DH27"/>
    <mergeCell ref="DI26:DI27"/>
    <mergeCell ref="M35:M37"/>
    <mergeCell ref="N35:DI35"/>
    <mergeCell ref="N36:N37"/>
    <mergeCell ref="O36:O37"/>
    <mergeCell ref="P36:P37"/>
    <mergeCell ref="Q36:Q37"/>
    <mergeCell ref="R36:R37"/>
    <mergeCell ref="S36:S37"/>
    <mergeCell ref="T36:T37"/>
    <mergeCell ref="U36:U37"/>
    <mergeCell ref="V36:V37"/>
    <mergeCell ref="W36:W37"/>
    <mergeCell ref="X36:X37"/>
    <mergeCell ref="Y36:Y37"/>
    <mergeCell ref="Z36:Z37"/>
    <mergeCell ref="AA36:AA37"/>
    <mergeCell ref="AB36:AB37"/>
    <mergeCell ref="AC36:AC37"/>
    <mergeCell ref="AD36:AD37"/>
    <mergeCell ref="AE36:AE37"/>
    <mergeCell ref="CW26:CW27"/>
    <mergeCell ref="CX26:CX27"/>
    <mergeCell ref="CY26:CY27"/>
    <mergeCell ref="CZ26:CZ27"/>
    <mergeCell ref="DA26:DA27"/>
    <mergeCell ref="DB26:DB27"/>
    <mergeCell ref="DC26:DC27"/>
    <mergeCell ref="DD26:DD27"/>
    <mergeCell ref="AO36:AO37"/>
    <mergeCell ref="AP36:AP37"/>
    <mergeCell ref="AQ36:AQ37"/>
    <mergeCell ref="AR36:AR37"/>
    <mergeCell ref="AS36:AS37"/>
    <mergeCell ref="AT36:AT37"/>
    <mergeCell ref="AU36:AU37"/>
    <mergeCell ref="AV36:AV37"/>
    <mergeCell ref="AW36:AW37"/>
    <mergeCell ref="AF36:AF37"/>
    <mergeCell ref="AG36:AG37"/>
    <mergeCell ref="AH36:AH37"/>
    <mergeCell ref="AI36:AI37"/>
    <mergeCell ref="AJ36:AJ37"/>
    <mergeCell ref="AK36:AK37"/>
    <mergeCell ref="AL36:AL37"/>
    <mergeCell ref="AM36:AM37"/>
    <mergeCell ref="AN36:AN37"/>
    <mergeCell ref="BG36:BG37"/>
    <mergeCell ref="BH36:BH37"/>
    <mergeCell ref="BI36:BI37"/>
    <mergeCell ref="BJ36:BJ37"/>
    <mergeCell ref="BK36:BK37"/>
    <mergeCell ref="BL36:BL37"/>
    <mergeCell ref="BM36:BM37"/>
    <mergeCell ref="BN36:BN37"/>
    <mergeCell ref="BO36:BO37"/>
    <mergeCell ref="AX36:AX37"/>
    <mergeCell ref="AY36:AY37"/>
    <mergeCell ref="AZ36:AZ37"/>
    <mergeCell ref="BA36:BA37"/>
    <mergeCell ref="BB36:BB37"/>
    <mergeCell ref="BC36:BC37"/>
    <mergeCell ref="BD36:BD37"/>
    <mergeCell ref="BE36:BE37"/>
    <mergeCell ref="BF36:BF37"/>
    <mergeCell ref="BY36:BY37"/>
    <mergeCell ref="BZ36:BZ37"/>
    <mergeCell ref="CA36:CA37"/>
    <mergeCell ref="CB36:CB37"/>
    <mergeCell ref="CC36:CC37"/>
    <mergeCell ref="CD36:CD37"/>
    <mergeCell ref="CE36:CE37"/>
    <mergeCell ref="CF36:CF37"/>
    <mergeCell ref="CG36:CG37"/>
    <mergeCell ref="BP36:BP37"/>
    <mergeCell ref="BQ36:BQ37"/>
    <mergeCell ref="BR36:BR37"/>
    <mergeCell ref="BS36:BS37"/>
    <mergeCell ref="BT36:BT37"/>
    <mergeCell ref="BU36:BU37"/>
    <mergeCell ref="BV36:BV37"/>
    <mergeCell ref="BW36:BW37"/>
    <mergeCell ref="BX36:BX37"/>
    <mergeCell ref="DH36:DH37"/>
    <mergeCell ref="CQ36:CQ37"/>
    <mergeCell ref="CR36:CR37"/>
    <mergeCell ref="CS36:CS37"/>
    <mergeCell ref="CT36:CT37"/>
    <mergeCell ref="CU36:CU37"/>
    <mergeCell ref="CV36:CV37"/>
    <mergeCell ref="CW36:CW37"/>
    <mergeCell ref="CX36:CX37"/>
    <mergeCell ref="CY36:CY37"/>
    <mergeCell ref="CH36:CH37"/>
    <mergeCell ref="CI36:CI37"/>
    <mergeCell ref="CJ36:CJ37"/>
    <mergeCell ref="CK36:CK37"/>
    <mergeCell ref="CL36:CL37"/>
    <mergeCell ref="CM36:CM37"/>
    <mergeCell ref="CN36:CN37"/>
    <mergeCell ref="CO36:CO37"/>
    <mergeCell ref="CP36:CP37"/>
    <mergeCell ref="DI36:DI37"/>
    <mergeCell ref="M44:M46"/>
    <mergeCell ref="N44:DI44"/>
    <mergeCell ref="N45:N46"/>
    <mergeCell ref="O45:O46"/>
    <mergeCell ref="P45:P46"/>
    <mergeCell ref="Q45:Q46"/>
    <mergeCell ref="R45:R46"/>
    <mergeCell ref="S45:S46"/>
    <mergeCell ref="T45:T46"/>
    <mergeCell ref="U45:U46"/>
    <mergeCell ref="V45:V46"/>
    <mergeCell ref="W45:W46"/>
    <mergeCell ref="X45:X46"/>
    <mergeCell ref="Y45:Y46"/>
    <mergeCell ref="Z45:Z46"/>
    <mergeCell ref="AA45:AA46"/>
    <mergeCell ref="AB45:AB46"/>
    <mergeCell ref="AC45:AC46"/>
    <mergeCell ref="AD45:AD46"/>
    <mergeCell ref="AE45:AE46"/>
    <mergeCell ref="AF45:AF46"/>
    <mergeCell ref="AG45:AG46"/>
    <mergeCell ref="AH45:AH46"/>
    <mergeCell ref="CZ36:CZ37"/>
    <mergeCell ref="DA36:DA37"/>
    <mergeCell ref="DB36:DB37"/>
    <mergeCell ref="DC36:DC37"/>
    <mergeCell ref="DD36:DD37"/>
    <mergeCell ref="DE36:DE37"/>
    <mergeCell ref="DF36:DF37"/>
    <mergeCell ref="DG36:DG37"/>
    <mergeCell ref="AR45:AR46"/>
    <mergeCell ref="AS45:AS46"/>
    <mergeCell ref="AT45:AT46"/>
    <mergeCell ref="AU45:AU46"/>
    <mergeCell ref="AV45:AV46"/>
    <mergeCell ref="AW45:AW46"/>
    <mergeCell ref="AX45:AX46"/>
    <mergeCell ref="AY45:AY46"/>
    <mergeCell ref="AZ45:AZ46"/>
    <mergeCell ref="AI45:AI46"/>
    <mergeCell ref="AJ45:AJ46"/>
    <mergeCell ref="AK45:AK46"/>
    <mergeCell ref="AL45:AL46"/>
    <mergeCell ref="AM45:AM46"/>
    <mergeCell ref="AN45:AN46"/>
    <mergeCell ref="AO45:AO46"/>
    <mergeCell ref="AP45:AP46"/>
    <mergeCell ref="AQ45:AQ46"/>
    <mergeCell ref="BW45:BW46"/>
    <mergeCell ref="BX45:BX46"/>
    <mergeCell ref="BY45:BY46"/>
    <mergeCell ref="BZ45:BZ46"/>
    <mergeCell ref="CA45:CA46"/>
    <mergeCell ref="BJ45:BJ46"/>
    <mergeCell ref="BK45:BK46"/>
    <mergeCell ref="BL45:BL46"/>
    <mergeCell ref="BM45:BM46"/>
    <mergeCell ref="BN45:BN46"/>
    <mergeCell ref="BO45:BO46"/>
    <mergeCell ref="BP45:BP46"/>
    <mergeCell ref="BQ45:BQ46"/>
    <mergeCell ref="BR45:BR46"/>
    <mergeCell ref="BA45:BA46"/>
    <mergeCell ref="BB45:BB46"/>
    <mergeCell ref="BC45:BC46"/>
    <mergeCell ref="BD45:BD46"/>
    <mergeCell ref="BE45:BE46"/>
    <mergeCell ref="BF45:BF46"/>
    <mergeCell ref="BG45:BG46"/>
    <mergeCell ref="BH45:BH46"/>
    <mergeCell ref="BI45:BI46"/>
    <mergeCell ref="AB59:AB60"/>
    <mergeCell ref="CT45:CT46"/>
    <mergeCell ref="CU45:CU46"/>
    <mergeCell ref="CV45:CV46"/>
    <mergeCell ref="CW45:CW46"/>
    <mergeCell ref="CX45:CX46"/>
    <mergeCell ref="CY45:CY46"/>
    <mergeCell ref="CZ45:CZ46"/>
    <mergeCell ref="DA45:DA46"/>
    <mergeCell ref="DB45:DB46"/>
    <mergeCell ref="CK45:CK46"/>
    <mergeCell ref="CL45:CL46"/>
    <mergeCell ref="CM45:CM46"/>
    <mergeCell ref="CN45:CN46"/>
    <mergeCell ref="CO45:CO46"/>
    <mergeCell ref="CP45:CP46"/>
    <mergeCell ref="CQ45:CQ46"/>
    <mergeCell ref="CR45:CR46"/>
    <mergeCell ref="CS45:CS46"/>
    <mergeCell ref="CB45:CB46"/>
    <mergeCell ref="CC45:CC46"/>
    <mergeCell ref="CD45:CD46"/>
    <mergeCell ref="CE45:CE46"/>
    <mergeCell ref="CF45:CF46"/>
    <mergeCell ref="CG45:CG46"/>
    <mergeCell ref="CH45:CH46"/>
    <mergeCell ref="CI45:CI46"/>
    <mergeCell ref="CJ45:CJ46"/>
    <mergeCell ref="BS45:BS46"/>
    <mergeCell ref="BT45:BT46"/>
    <mergeCell ref="BU45:BU46"/>
    <mergeCell ref="BV45:BV46"/>
    <mergeCell ref="AC59:AC60"/>
    <mergeCell ref="AD59:AD60"/>
    <mergeCell ref="AE59:AE60"/>
    <mergeCell ref="AF59:AF60"/>
    <mergeCell ref="AG59:AG60"/>
    <mergeCell ref="AH59:AH60"/>
    <mergeCell ref="AI59:AI60"/>
    <mergeCell ref="AJ59:AJ60"/>
    <mergeCell ref="AK59:AK60"/>
    <mergeCell ref="DC45:DC46"/>
    <mergeCell ref="DD45:DD46"/>
    <mergeCell ref="DE45:DE46"/>
    <mergeCell ref="DF45:DF46"/>
    <mergeCell ref="DG45:DG46"/>
    <mergeCell ref="DH45:DH46"/>
    <mergeCell ref="DI45:DI46"/>
    <mergeCell ref="M58:M60"/>
    <mergeCell ref="N58:DI58"/>
    <mergeCell ref="N59:N60"/>
    <mergeCell ref="O59:O60"/>
    <mergeCell ref="P59:P60"/>
    <mergeCell ref="Q59:Q60"/>
    <mergeCell ref="R59:R60"/>
    <mergeCell ref="S59:S60"/>
    <mergeCell ref="T59:T60"/>
    <mergeCell ref="U59:U60"/>
    <mergeCell ref="V59:V60"/>
    <mergeCell ref="W59:W60"/>
    <mergeCell ref="X59:X60"/>
    <mergeCell ref="Y59:Y60"/>
    <mergeCell ref="Z59:Z60"/>
    <mergeCell ref="AA59:AA60"/>
    <mergeCell ref="AU59:AU60"/>
    <mergeCell ref="AV59:AV60"/>
    <mergeCell ref="AW59:AW60"/>
    <mergeCell ref="AX59:AX60"/>
    <mergeCell ref="AY59:AY60"/>
    <mergeCell ref="AZ59:AZ60"/>
    <mergeCell ref="BA59:BA60"/>
    <mergeCell ref="BB59:BB60"/>
    <mergeCell ref="BC59:BC60"/>
    <mergeCell ref="AL59:AL60"/>
    <mergeCell ref="AM59:AM60"/>
    <mergeCell ref="AN59:AN60"/>
    <mergeCell ref="AO59:AO60"/>
    <mergeCell ref="AP59:AP60"/>
    <mergeCell ref="AQ59:AQ60"/>
    <mergeCell ref="AR59:AR60"/>
    <mergeCell ref="AS59:AS60"/>
    <mergeCell ref="AT59:AT60"/>
    <mergeCell ref="BZ59:BZ60"/>
    <mergeCell ref="CA59:CA60"/>
    <mergeCell ref="CB59:CB60"/>
    <mergeCell ref="CC59:CC60"/>
    <mergeCell ref="CD59:CD60"/>
    <mergeCell ref="BM59:BM60"/>
    <mergeCell ref="BN59:BN60"/>
    <mergeCell ref="BO59:BO60"/>
    <mergeCell ref="BP59:BP60"/>
    <mergeCell ref="BQ59:BQ60"/>
    <mergeCell ref="BR59:BR60"/>
    <mergeCell ref="BS59:BS60"/>
    <mergeCell ref="BT59:BT60"/>
    <mergeCell ref="BU59:BU60"/>
    <mergeCell ref="BD59:BD60"/>
    <mergeCell ref="BE59:BE60"/>
    <mergeCell ref="BF59:BF60"/>
    <mergeCell ref="BG59:BG60"/>
    <mergeCell ref="BH59:BH60"/>
    <mergeCell ref="BI59:BI60"/>
    <mergeCell ref="BJ59:BJ60"/>
    <mergeCell ref="BK59:BK60"/>
    <mergeCell ref="BL59:BL60"/>
    <mergeCell ref="AE70:AE71"/>
    <mergeCell ref="CW59:CW60"/>
    <mergeCell ref="CX59:CX60"/>
    <mergeCell ref="CY59:CY60"/>
    <mergeCell ref="CZ59:CZ60"/>
    <mergeCell ref="DA59:DA60"/>
    <mergeCell ref="DB59:DB60"/>
    <mergeCell ref="DC59:DC60"/>
    <mergeCell ref="DD59:DD60"/>
    <mergeCell ref="DE59:DE60"/>
    <mergeCell ref="CN59:CN60"/>
    <mergeCell ref="CO59:CO60"/>
    <mergeCell ref="CP59:CP60"/>
    <mergeCell ref="CQ59:CQ60"/>
    <mergeCell ref="CR59:CR60"/>
    <mergeCell ref="CS59:CS60"/>
    <mergeCell ref="CT59:CT60"/>
    <mergeCell ref="CU59:CU60"/>
    <mergeCell ref="CV59:CV60"/>
    <mergeCell ref="CE59:CE60"/>
    <mergeCell ref="CF59:CF60"/>
    <mergeCell ref="CG59:CG60"/>
    <mergeCell ref="CH59:CH60"/>
    <mergeCell ref="CI59:CI60"/>
    <mergeCell ref="CJ59:CJ60"/>
    <mergeCell ref="CK59:CK60"/>
    <mergeCell ref="CL59:CL60"/>
    <mergeCell ref="CM59:CM60"/>
    <mergeCell ref="BV59:BV60"/>
    <mergeCell ref="BW59:BW60"/>
    <mergeCell ref="BX59:BX60"/>
    <mergeCell ref="BY59:BY60"/>
    <mergeCell ref="AF70:AF71"/>
    <mergeCell ref="AG70:AG71"/>
    <mergeCell ref="AH70:AH71"/>
    <mergeCell ref="AI70:AI71"/>
    <mergeCell ref="AJ70:AJ71"/>
    <mergeCell ref="AK70:AK71"/>
    <mergeCell ref="AL70:AL71"/>
    <mergeCell ref="AM70:AM71"/>
    <mergeCell ref="AN70:AN71"/>
    <mergeCell ref="DF59:DF60"/>
    <mergeCell ref="DG59:DG60"/>
    <mergeCell ref="DH59:DH60"/>
    <mergeCell ref="DI59:DI60"/>
    <mergeCell ref="M69:M71"/>
    <mergeCell ref="N69:DI69"/>
    <mergeCell ref="N70:N71"/>
    <mergeCell ref="O70:O71"/>
    <mergeCell ref="P70:P71"/>
    <mergeCell ref="Q70:Q71"/>
    <mergeCell ref="R70:R71"/>
    <mergeCell ref="S70:S71"/>
    <mergeCell ref="T70:T71"/>
    <mergeCell ref="U70:U71"/>
    <mergeCell ref="V70:V71"/>
    <mergeCell ref="W70:W71"/>
    <mergeCell ref="X70:X71"/>
    <mergeCell ref="Y70:Y71"/>
    <mergeCell ref="Z70:Z71"/>
    <mergeCell ref="AA70:AA71"/>
    <mergeCell ref="AB70:AB71"/>
    <mergeCell ref="AC70:AC71"/>
    <mergeCell ref="AD70:AD71"/>
    <mergeCell ref="AX70:AX71"/>
    <mergeCell ref="AY70:AY71"/>
    <mergeCell ref="AZ70:AZ71"/>
    <mergeCell ref="BA70:BA71"/>
    <mergeCell ref="BB70:BB71"/>
    <mergeCell ref="BC70:BC71"/>
    <mergeCell ref="BD70:BD71"/>
    <mergeCell ref="BE70:BE71"/>
    <mergeCell ref="BF70:BF71"/>
    <mergeCell ref="AO70:AO71"/>
    <mergeCell ref="AP70:AP71"/>
    <mergeCell ref="AQ70:AQ71"/>
    <mergeCell ref="AR70:AR71"/>
    <mergeCell ref="AS70:AS71"/>
    <mergeCell ref="AT70:AT71"/>
    <mergeCell ref="AU70:AU71"/>
    <mergeCell ref="AV70:AV71"/>
    <mergeCell ref="AW70:AW71"/>
    <mergeCell ref="CC70:CC71"/>
    <mergeCell ref="CD70:CD71"/>
    <mergeCell ref="CE70:CE71"/>
    <mergeCell ref="CF70:CF71"/>
    <mergeCell ref="CG70:CG71"/>
    <mergeCell ref="BP70:BP71"/>
    <mergeCell ref="BQ70:BQ71"/>
    <mergeCell ref="BR70:BR71"/>
    <mergeCell ref="BS70:BS71"/>
    <mergeCell ref="BT70:BT71"/>
    <mergeCell ref="BU70:BU71"/>
    <mergeCell ref="BV70:BV71"/>
    <mergeCell ref="BW70:BW71"/>
    <mergeCell ref="BX70:BX71"/>
    <mergeCell ref="BG70:BG71"/>
    <mergeCell ref="BH70:BH71"/>
    <mergeCell ref="BI70:BI71"/>
    <mergeCell ref="BJ70:BJ71"/>
    <mergeCell ref="BK70:BK71"/>
    <mergeCell ref="BL70:BL71"/>
    <mergeCell ref="BM70:BM71"/>
    <mergeCell ref="BN70:BN71"/>
    <mergeCell ref="BO70:BO71"/>
    <mergeCell ref="AH82:AH83"/>
    <mergeCell ref="CZ70:CZ71"/>
    <mergeCell ref="DA70:DA71"/>
    <mergeCell ref="DB70:DB71"/>
    <mergeCell ref="DC70:DC71"/>
    <mergeCell ref="DD70:DD71"/>
    <mergeCell ref="DE70:DE71"/>
    <mergeCell ref="DF70:DF71"/>
    <mergeCell ref="DG70:DG71"/>
    <mergeCell ref="DH70:DH71"/>
    <mergeCell ref="CQ70:CQ71"/>
    <mergeCell ref="CR70:CR71"/>
    <mergeCell ref="CS70:CS71"/>
    <mergeCell ref="CT70:CT71"/>
    <mergeCell ref="CU70:CU71"/>
    <mergeCell ref="CV70:CV71"/>
    <mergeCell ref="CW70:CW71"/>
    <mergeCell ref="CX70:CX71"/>
    <mergeCell ref="CY70:CY71"/>
    <mergeCell ref="CH70:CH71"/>
    <mergeCell ref="CI70:CI71"/>
    <mergeCell ref="CJ70:CJ71"/>
    <mergeCell ref="CK70:CK71"/>
    <mergeCell ref="CL70:CL71"/>
    <mergeCell ref="CM70:CM71"/>
    <mergeCell ref="CN70:CN71"/>
    <mergeCell ref="CO70:CO71"/>
    <mergeCell ref="CP70:CP71"/>
    <mergeCell ref="BY70:BY71"/>
    <mergeCell ref="BZ70:BZ71"/>
    <mergeCell ref="CA70:CA71"/>
    <mergeCell ref="CB70:CB71"/>
    <mergeCell ref="AI82:AI83"/>
    <mergeCell ref="AJ82:AJ83"/>
    <mergeCell ref="AK82:AK83"/>
    <mergeCell ref="AL82:AL83"/>
    <mergeCell ref="AM82:AM83"/>
    <mergeCell ref="AN82:AN83"/>
    <mergeCell ref="AO82:AO83"/>
    <mergeCell ref="AP82:AP83"/>
    <mergeCell ref="AQ82:AQ83"/>
    <mergeCell ref="DI70:DI71"/>
    <mergeCell ref="M81:M83"/>
    <mergeCell ref="N81:DI81"/>
    <mergeCell ref="N82:N83"/>
    <mergeCell ref="O82:O83"/>
    <mergeCell ref="P82:P83"/>
    <mergeCell ref="Q82:Q83"/>
    <mergeCell ref="R82:R83"/>
    <mergeCell ref="S82:S83"/>
    <mergeCell ref="T82:T83"/>
    <mergeCell ref="U82:U83"/>
    <mergeCell ref="V82:V83"/>
    <mergeCell ref="W82:W83"/>
    <mergeCell ref="X82:X83"/>
    <mergeCell ref="Y82:Y83"/>
    <mergeCell ref="Z82:Z83"/>
    <mergeCell ref="AA82:AA83"/>
    <mergeCell ref="AB82:AB83"/>
    <mergeCell ref="AC82:AC83"/>
    <mergeCell ref="AD82:AD83"/>
    <mergeCell ref="AE82:AE83"/>
    <mergeCell ref="AF82:AF83"/>
    <mergeCell ref="AG82:AG83"/>
    <mergeCell ref="BA82:BA83"/>
    <mergeCell ref="BB82:BB83"/>
    <mergeCell ref="BC82:BC83"/>
    <mergeCell ref="BD82:BD83"/>
    <mergeCell ref="BE82:BE83"/>
    <mergeCell ref="BF82:BF83"/>
    <mergeCell ref="BG82:BG83"/>
    <mergeCell ref="BH82:BH83"/>
    <mergeCell ref="BI82:BI83"/>
    <mergeCell ref="AR82:AR83"/>
    <mergeCell ref="AS82:AS83"/>
    <mergeCell ref="AT82:AT83"/>
    <mergeCell ref="AU82:AU83"/>
    <mergeCell ref="AV82:AV83"/>
    <mergeCell ref="AW82:AW83"/>
    <mergeCell ref="AX82:AX83"/>
    <mergeCell ref="AY82:AY83"/>
    <mergeCell ref="AZ82:AZ83"/>
    <mergeCell ref="BS82:BS83"/>
    <mergeCell ref="BT82:BT83"/>
    <mergeCell ref="BU82:BU83"/>
    <mergeCell ref="BV82:BV83"/>
    <mergeCell ref="BW82:BW83"/>
    <mergeCell ref="BX82:BX83"/>
    <mergeCell ref="BY82:BY83"/>
    <mergeCell ref="BZ82:BZ83"/>
    <mergeCell ref="CA82:CA83"/>
    <mergeCell ref="BJ82:BJ83"/>
    <mergeCell ref="BK82:BK83"/>
    <mergeCell ref="BL82:BL83"/>
    <mergeCell ref="BM82:BM83"/>
    <mergeCell ref="BN82:BN83"/>
    <mergeCell ref="BO82:BO83"/>
    <mergeCell ref="BP82:BP83"/>
    <mergeCell ref="BQ82:BQ83"/>
    <mergeCell ref="BR82:BR83"/>
    <mergeCell ref="DB82:DB83"/>
    <mergeCell ref="CK82:CK83"/>
    <mergeCell ref="CL82:CL83"/>
    <mergeCell ref="CM82:CM83"/>
    <mergeCell ref="CN82:CN83"/>
    <mergeCell ref="CO82:CO83"/>
    <mergeCell ref="CP82:CP83"/>
    <mergeCell ref="CQ82:CQ83"/>
    <mergeCell ref="CR82:CR83"/>
    <mergeCell ref="CS82:CS83"/>
    <mergeCell ref="CB82:CB83"/>
    <mergeCell ref="CC82:CC83"/>
    <mergeCell ref="CD82:CD83"/>
    <mergeCell ref="CE82:CE83"/>
    <mergeCell ref="CF82:CF83"/>
    <mergeCell ref="CG82:CG83"/>
    <mergeCell ref="CH82:CH83"/>
    <mergeCell ref="CI82:CI83"/>
    <mergeCell ref="CJ82:CJ83"/>
    <mergeCell ref="DC82:DC83"/>
    <mergeCell ref="DD82:DD83"/>
    <mergeCell ref="DE82:DE83"/>
    <mergeCell ref="DF82:DF83"/>
    <mergeCell ref="DG82:DG83"/>
    <mergeCell ref="DH82:DH83"/>
    <mergeCell ref="DI82:DI83"/>
    <mergeCell ref="M94:M96"/>
    <mergeCell ref="N94:DI94"/>
    <mergeCell ref="N95:N96"/>
    <mergeCell ref="O95:O96"/>
    <mergeCell ref="P95:P96"/>
    <mergeCell ref="Q95:Q96"/>
    <mergeCell ref="R95:R96"/>
    <mergeCell ref="S95:S96"/>
    <mergeCell ref="T95:T96"/>
    <mergeCell ref="U95:U96"/>
    <mergeCell ref="V95:V96"/>
    <mergeCell ref="W95:W96"/>
    <mergeCell ref="X95:X96"/>
    <mergeCell ref="Y95:Y96"/>
    <mergeCell ref="Z95:Z96"/>
    <mergeCell ref="AA95:AA96"/>
    <mergeCell ref="AB95:AB96"/>
    <mergeCell ref="CT82:CT83"/>
    <mergeCell ref="CU82:CU83"/>
    <mergeCell ref="CV82:CV83"/>
    <mergeCell ref="CW82:CW83"/>
    <mergeCell ref="CX82:CX83"/>
    <mergeCell ref="CY82:CY83"/>
    <mergeCell ref="CZ82:CZ83"/>
    <mergeCell ref="DA82:DA83"/>
    <mergeCell ref="AL95:AL96"/>
    <mergeCell ref="AM95:AM96"/>
    <mergeCell ref="AN95:AN96"/>
    <mergeCell ref="AO95:AO96"/>
    <mergeCell ref="AP95:AP96"/>
    <mergeCell ref="AQ95:AQ96"/>
    <mergeCell ref="AR95:AR96"/>
    <mergeCell ref="AS95:AS96"/>
    <mergeCell ref="AT95:AT96"/>
    <mergeCell ref="AC95:AC96"/>
    <mergeCell ref="AD95:AD96"/>
    <mergeCell ref="AE95:AE96"/>
    <mergeCell ref="AF95:AF96"/>
    <mergeCell ref="AG95:AG96"/>
    <mergeCell ref="AH95:AH96"/>
    <mergeCell ref="AI95:AI96"/>
    <mergeCell ref="AJ95:AJ96"/>
    <mergeCell ref="AK95:AK96"/>
    <mergeCell ref="BD95:BD96"/>
    <mergeCell ref="BE95:BE96"/>
    <mergeCell ref="BF95:BF96"/>
    <mergeCell ref="BG95:BG96"/>
    <mergeCell ref="BH95:BH96"/>
    <mergeCell ref="BI95:BI96"/>
    <mergeCell ref="BJ95:BJ96"/>
    <mergeCell ref="BK95:BK96"/>
    <mergeCell ref="BL95:BL96"/>
    <mergeCell ref="AU95:AU96"/>
    <mergeCell ref="AV95:AV96"/>
    <mergeCell ref="AW95:AW96"/>
    <mergeCell ref="AX95:AX96"/>
    <mergeCell ref="AY95:AY96"/>
    <mergeCell ref="AZ95:AZ96"/>
    <mergeCell ref="BA95:BA96"/>
    <mergeCell ref="BB95:BB96"/>
    <mergeCell ref="BC95:BC96"/>
    <mergeCell ref="BV95:BV96"/>
    <mergeCell ref="BW95:BW96"/>
    <mergeCell ref="BX95:BX96"/>
    <mergeCell ref="BY95:BY96"/>
    <mergeCell ref="BZ95:BZ96"/>
    <mergeCell ref="CA95:CA96"/>
    <mergeCell ref="CB95:CB96"/>
    <mergeCell ref="CC95:CC96"/>
    <mergeCell ref="CD95:CD96"/>
    <mergeCell ref="BM95:BM96"/>
    <mergeCell ref="BN95:BN96"/>
    <mergeCell ref="BO95:BO96"/>
    <mergeCell ref="BP95:BP96"/>
    <mergeCell ref="BQ95:BQ96"/>
    <mergeCell ref="BR95:BR96"/>
    <mergeCell ref="BS95:BS96"/>
    <mergeCell ref="BT95:BT96"/>
    <mergeCell ref="BU95:BU96"/>
    <mergeCell ref="DE95:DE96"/>
    <mergeCell ref="CN95:CN96"/>
    <mergeCell ref="CO95:CO96"/>
    <mergeCell ref="CP95:CP96"/>
    <mergeCell ref="CQ95:CQ96"/>
    <mergeCell ref="CR95:CR96"/>
    <mergeCell ref="CS95:CS96"/>
    <mergeCell ref="CT95:CT96"/>
    <mergeCell ref="CU95:CU96"/>
    <mergeCell ref="CV95:CV96"/>
    <mergeCell ref="CE95:CE96"/>
    <mergeCell ref="CF95:CF96"/>
    <mergeCell ref="CG95:CG96"/>
    <mergeCell ref="CH95:CH96"/>
    <mergeCell ref="CI95:CI96"/>
    <mergeCell ref="CJ95:CJ96"/>
    <mergeCell ref="CK95:CK96"/>
    <mergeCell ref="CL95:CL96"/>
    <mergeCell ref="CM95:CM96"/>
    <mergeCell ref="DF95:DF96"/>
    <mergeCell ref="DG95:DG96"/>
    <mergeCell ref="DH95:DH96"/>
    <mergeCell ref="DI95:DI96"/>
    <mergeCell ref="M108:M110"/>
    <mergeCell ref="N108:DI108"/>
    <mergeCell ref="N109:N110"/>
    <mergeCell ref="O109:O110"/>
    <mergeCell ref="P109:P110"/>
    <mergeCell ref="Q109:Q110"/>
    <mergeCell ref="R109:R110"/>
    <mergeCell ref="S109:S110"/>
    <mergeCell ref="T109:T110"/>
    <mergeCell ref="U109:U110"/>
    <mergeCell ref="V109:V110"/>
    <mergeCell ref="W109:W110"/>
    <mergeCell ref="X109:X110"/>
    <mergeCell ref="Y109:Y110"/>
    <mergeCell ref="Z109:Z110"/>
    <mergeCell ref="AA109:AA110"/>
    <mergeCell ref="AB109:AB110"/>
    <mergeCell ref="AC109:AC110"/>
    <mergeCell ref="AD109:AD110"/>
    <mergeCell ref="AE109:AE110"/>
    <mergeCell ref="CW95:CW96"/>
    <mergeCell ref="CX95:CX96"/>
    <mergeCell ref="CY95:CY96"/>
    <mergeCell ref="CZ95:CZ96"/>
    <mergeCell ref="DA95:DA96"/>
    <mergeCell ref="DB95:DB96"/>
    <mergeCell ref="DC95:DC96"/>
    <mergeCell ref="DD95:DD96"/>
    <mergeCell ref="AO109:AO110"/>
    <mergeCell ref="AP109:AP110"/>
    <mergeCell ref="AQ109:AQ110"/>
    <mergeCell ref="AR109:AR110"/>
    <mergeCell ref="AS109:AS110"/>
    <mergeCell ref="AT109:AT110"/>
    <mergeCell ref="AU109:AU110"/>
    <mergeCell ref="AV109:AV110"/>
    <mergeCell ref="AW109:AW110"/>
    <mergeCell ref="AF109:AF110"/>
    <mergeCell ref="AG109:AG110"/>
    <mergeCell ref="AH109:AH110"/>
    <mergeCell ref="AI109:AI110"/>
    <mergeCell ref="AJ109:AJ110"/>
    <mergeCell ref="AK109:AK110"/>
    <mergeCell ref="AL109:AL110"/>
    <mergeCell ref="AM109:AM110"/>
    <mergeCell ref="AN109:AN110"/>
    <mergeCell ref="BG109:BG110"/>
    <mergeCell ref="BH109:BH110"/>
    <mergeCell ref="BI109:BI110"/>
    <mergeCell ref="BJ109:BJ110"/>
    <mergeCell ref="BK109:BK110"/>
    <mergeCell ref="BL109:BL110"/>
    <mergeCell ref="BM109:BM110"/>
    <mergeCell ref="BN109:BN110"/>
    <mergeCell ref="BO109:BO110"/>
    <mergeCell ref="AX109:AX110"/>
    <mergeCell ref="AY109:AY110"/>
    <mergeCell ref="AZ109:AZ110"/>
    <mergeCell ref="BA109:BA110"/>
    <mergeCell ref="BB109:BB110"/>
    <mergeCell ref="BC109:BC110"/>
    <mergeCell ref="BD109:BD110"/>
    <mergeCell ref="BE109:BE110"/>
    <mergeCell ref="BF109:BF110"/>
    <mergeCell ref="BY109:BY110"/>
    <mergeCell ref="BZ109:BZ110"/>
    <mergeCell ref="CA109:CA110"/>
    <mergeCell ref="CB109:CB110"/>
    <mergeCell ref="CC109:CC110"/>
    <mergeCell ref="CD109:CD110"/>
    <mergeCell ref="CE109:CE110"/>
    <mergeCell ref="CF109:CF110"/>
    <mergeCell ref="CG109:CG110"/>
    <mergeCell ref="BP109:BP110"/>
    <mergeCell ref="BQ109:BQ110"/>
    <mergeCell ref="BR109:BR110"/>
    <mergeCell ref="BS109:BS110"/>
    <mergeCell ref="BT109:BT110"/>
    <mergeCell ref="BU109:BU110"/>
    <mergeCell ref="BV109:BV110"/>
    <mergeCell ref="BW109:BW110"/>
    <mergeCell ref="BX109:BX110"/>
    <mergeCell ref="DH109:DH110"/>
    <mergeCell ref="CQ109:CQ110"/>
    <mergeCell ref="CR109:CR110"/>
    <mergeCell ref="CS109:CS110"/>
    <mergeCell ref="CT109:CT110"/>
    <mergeCell ref="CU109:CU110"/>
    <mergeCell ref="CV109:CV110"/>
    <mergeCell ref="CW109:CW110"/>
    <mergeCell ref="CX109:CX110"/>
    <mergeCell ref="CY109:CY110"/>
    <mergeCell ref="CH109:CH110"/>
    <mergeCell ref="CI109:CI110"/>
    <mergeCell ref="CJ109:CJ110"/>
    <mergeCell ref="CK109:CK110"/>
    <mergeCell ref="CL109:CL110"/>
    <mergeCell ref="CM109:CM110"/>
    <mergeCell ref="CN109:CN110"/>
    <mergeCell ref="CO109:CO110"/>
    <mergeCell ref="CP109:CP110"/>
    <mergeCell ref="DI109:DI110"/>
    <mergeCell ref="M117:M119"/>
    <mergeCell ref="N117:DI117"/>
    <mergeCell ref="N118:N119"/>
    <mergeCell ref="O118:O119"/>
    <mergeCell ref="P118:P119"/>
    <mergeCell ref="Q118:Q119"/>
    <mergeCell ref="R118:R119"/>
    <mergeCell ref="S118:S119"/>
    <mergeCell ref="T118:T119"/>
    <mergeCell ref="U118:U119"/>
    <mergeCell ref="V118:V119"/>
    <mergeCell ref="W118:W119"/>
    <mergeCell ref="X118:X119"/>
    <mergeCell ref="Y118:Y119"/>
    <mergeCell ref="Z118:Z119"/>
    <mergeCell ref="AA118:AA119"/>
    <mergeCell ref="AB118:AB119"/>
    <mergeCell ref="AC118:AC119"/>
    <mergeCell ref="AD118:AD119"/>
    <mergeCell ref="AE118:AE119"/>
    <mergeCell ref="AF118:AF119"/>
    <mergeCell ref="AG118:AG119"/>
    <mergeCell ref="AH118:AH119"/>
    <mergeCell ref="CZ109:CZ110"/>
    <mergeCell ref="DA109:DA110"/>
    <mergeCell ref="DB109:DB110"/>
    <mergeCell ref="DC109:DC110"/>
    <mergeCell ref="DD109:DD110"/>
    <mergeCell ref="DE109:DE110"/>
    <mergeCell ref="DF109:DF110"/>
    <mergeCell ref="DG109:DG110"/>
    <mergeCell ref="AR118:AR119"/>
    <mergeCell ref="AS118:AS119"/>
    <mergeCell ref="AT118:AT119"/>
    <mergeCell ref="AU118:AU119"/>
    <mergeCell ref="AV118:AV119"/>
    <mergeCell ref="AW118:AW119"/>
    <mergeCell ref="AX118:AX119"/>
    <mergeCell ref="AY118:AY119"/>
    <mergeCell ref="AZ118:AZ119"/>
    <mergeCell ref="AI118:AI119"/>
    <mergeCell ref="AJ118:AJ119"/>
    <mergeCell ref="AK118:AK119"/>
    <mergeCell ref="AL118:AL119"/>
    <mergeCell ref="AM118:AM119"/>
    <mergeCell ref="AN118:AN119"/>
    <mergeCell ref="AO118:AO119"/>
    <mergeCell ref="AP118:AP119"/>
    <mergeCell ref="AQ118:AQ119"/>
    <mergeCell ref="BW118:BW119"/>
    <mergeCell ref="BX118:BX119"/>
    <mergeCell ref="BY118:BY119"/>
    <mergeCell ref="BZ118:BZ119"/>
    <mergeCell ref="CA118:CA119"/>
    <mergeCell ref="BJ118:BJ119"/>
    <mergeCell ref="BK118:BK119"/>
    <mergeCell ref="BL118:BL119"/>
    <mergeCell ref="BM118:BM119"/>
    <mergeCell ref="BN118:BN119"/>
    <mergeCell ref="BO118:BO119"/>
    <mergeCell ref="BP118:BP119"/>
    <mergeCell ref="BQ118:BQ119"/>
    <mergeCell ref="BR118:BR119"/>
    <mergeCell ref="BA118:BA119"/>
    <mergeCell ref="BB118:BB119"/>
    <mergeCell ref="BC118:BC119"/>
    <mergeCell ref="BD118:BD119"/>
    <mergeCell ref="BE118:BE119"/>
    <mergeCell ref="BF118:BF119"/>
    <mergeCell ref="BG118:BG119"/>
    <mergeCell ref="BH118:BH119"/>
    <mergeCell ref="BI118:BI119"/>
    <mergeCell ref="CT118:CT119"/>
    <mergeCell ref="CU118:CU119"/>
    <mergeCell ref="CV118:CV119"/>
    <mergeCell ref="CW118:CW119"/>
    <mergeCell ref="CX118:CX119"/>
    <mergeCell ref="CY118:CY119"/>
    <mergeCell ref="CZ118:CZ119"/>
    <mergeCell ref="DA118:DA119"/>
    <mergeCell ref="DB118:DB119"/>
    <mergeCell ref="CK118:CK119"/>
    <mergeCell ref="CL118:CL119"/>
    <mergeCell ref="CM118:CM119"/>
    <mergeCell ref="CN118:CN119"/>
    <mergeCell ref="CO118:CO119"/>
    <mergeCell ref="CP118:CP119"/>
    <mergeCell ref="CQ118:CQ119"/>
    <mergeCell ref="CR118:CR119"/>
    <mergeCell ref="CS118:CS119"/>
    <mergeCell ref="CB118:CB119"/>
    <mergeCell ref="CC118:CC119"/>
    <mergeCell ref="CD118:CD119"/>
    <mergeCell ref="CE118:CE119"/>
    <mergeCell ref="CF118:CF119"/>
    <mergeCell ref="CG118:CG119"/>
    <mergeCell ref="CH118:CH119"/>
    <mergeCell ref="CI118:CI119"/>
    <mergeCell ref="CJ118:CJ119"/>
    <mergeCell ref="BS118:BS119"/>
    <mergeCell ref="BT118:BT119"/>
    <mergeCell ref="BU118:BU119"/>
    <mergeCell ref="BV118:BV119"/>
    <mergeCell ref="AQ126:AQ127"/>
    <mergeCell ref="AR126:AR127"/>
    <mergeCell ref="AS126:AS127"/>
    <mergeCell ref="AT126:AT127"/>
    <mergeCell ref="AU126:AU127"/>
    <mergeCell ref="AV126:AV127"/>
    <mergeCell ref="AW126:AW127"/>
    <mergeCell ref="AX126:AX127"/>
    <mergeCell ref="AY126:AY127"/>
    <mergeCell ref="BM126:BM127"/>
    <mergeCell ref="BN126:BN127"/>
    <mergeCell ref="BO126:BO127"/>
    <mergeCell ref="BP126:BP127"/>
    <mergeCell ref="BQ126:BQ127"/>
    <mergeCell ref="AZ126:AZ127"/>
    <mergeCell ref="BA126:BA127"/>
    <mergeCell ref="BB126:BB127"/>
    <mergeCell ref="BC126:BC127"/>
    <mergeCell ref="BD126:BD127"/>
    <mergeCell ref="DC118:DC119"/>
    <mergeCell ref="DD118:DD119"/>
    <mergeCell ref="DE118:DE119"/>
    <mergeCell ref="DF118:DF119"/>
    <mergeCell ref="DG118:DG119"/>
    <mergeCell ref="DH118:DH119"/>
    <mergeCell ref="DI118:DI119"/>
    <mergeCell ref="M125:M127"/>
    <mergeCell ref="N125:DI125"/>
    <mergeCell ref="N126:N127"/>
    <mergeCell ref="O126:O127"/>
    <mergeCell ref="P126:P127"/>
    <mergeCell ref="Q126:Q127"/>
    <mergeCell ref="R126:R127"/>
    <mergeCell ref="S126:S127"/>
    <mergeCell ref="T126:T127"/>
    <mergeCell ref="U126:U127"/>
    <mergeCell ref="V126:V127"/>
    <mergeCell ref="W126:W127"/>
    <mergeCell ref="X126:X127"/>
    <mergeCell ref="Y126:Y127"/>
    <mergeCell ref="Z126:Z127"/>
    <mergeCell ref="AA126:AA127"/>
    <mergeCell ref="BV126:BV127"/>
    <mergeCell ref="BW126:BW127"/>
    <mergeCell ref="BX126:BX127"/>
    <mergeCell ref="BY126:BY127"/>
    <mergeCell ref="BZ126:BZ127"/>
    <mergeCell ref="BI126:BI127"/>
    <mergeCell ref="BJ126:BJ127"/>
    <mergeCell ref="BK126:BK127"/>
    <mergeCell ref="BL126:BL127"/>
    <mergeCell ref="AA134:AA135"/>
    <mergeCell ref="CS126:CS127"/>
    <mergeCell ref="CT126:CT127"/>
    <mergeCell ref="CU126:CU127"/>
    <mergeCell ref="CV126:CV127"/>
    <mergeCell ref="CW126:CW127"/>
    <mergeCell ref="CX126:CX127"/>
    <mergeCell ref="CY126:CY127"/>
    <mergeCell ref="CZ126:CZ127"/>
    <mergeCell ref="DA126:DA127"/>
    <mergeCell ref="CJ126:CJ127"/>
    <mergeCell ref="CK126:CK127"/>
    <mergeCell ref="CL126:CL127"/>
    <mergeCell ref="CM126:CM127"/>
    <mergeCell ref="CN126:CN127"/>
    <mergeCell ref="CO126:CO127"/>
    <mergeCell ref="CP126:CP127"/>
    <mergeCell ref="AB134:AB135"/>
    <mergeCell ref="AC134:AC135"/>
    <mergeCell ref="AD134:AD135"/>
    <mergeCell ref="AE134:AE135"/>
    <mergeCell ref="AF134:AF135"/>
    <mergeCell ref="AG134:AG135"/>
    <mergeCell ref="AH134:AH135"/>
    <mergeCell ref="AI134:AI135"/>
    <mergeCell ref="AJ134:AJ135"/>
    <mergeCell ref="DB126:DB127"/>
    <mergeCell ref="DC126:DC127"/>
    <mergeCell ref="DD126:DD127"/>
    <mergeCell ref="DE126:DE127"/>
    <mergeCell ref="DF126:DF127"/>
    <mergeCell ref="DG126:DG127"/>
    <mergeCell ref="DH126:DH127"/>
    <mergeCell ref="AK134:AK135"/>
    <mergeCell ref="AL134:AL135"/>
    <mergeCell ref="AM134:AM135"/>
    <mergeCell ref="AN134:AN135"/>
    <mergeCell ref="AO134:AO135"/>
    <mergeCell ref="AP134:AP135"/>
    <mergeCell ref="AQ134:AQ135"/>
    <mergeCell ref="AR134:AR135"/>
    <mergeCell ref="AS134:AS135"/>
    <mergeCell ref="BN134:BN135"/>
    <mergeCell ref="BO134:BO135"/>
    <mergeCell ref="BP134:BP135"/>
    <mergeCell ref="BQ134:BQ135"/>
    <mergeCell ref="BR134:BR135"/>
    <mergeCell ref="BS134:BS135"/>
    <mergeCell ref="BT134:BT135"/>
    <mergeCell ref="BC134:BC135"/>
    <mergeCell ref="BD134:BD135"/>
    <mergeCell ref="BE134:BE135"/>
    <mergeCell ref="BF134:BF135"/>
    <mergeCell ref="BG134:BG135"/>
    <mergeCell ref="BH134:BH135"/>
    <mergeCell ref="BI134:BI135"/>
    <mergeCell ref="BJ134:BJ135"/>
    <mergeCell ref="BK134:BK135"/>
    <mergeCell ref="DI126:DI127"/>
    <mergeCell ref="CQ126:CQ127"/>
    <mergeCell ref="CR126:CR127"/>
    <mergeCell ref="CA126:CA127"/>
    <mergeCell ref="CB126:CB127"/>
    <mergeCell ref="CC126:CC127"/>
    <mergeCell ref="CD126:CD127"/>
    <mergeCell ref="CE126:CE127"/>
    <mergeCell ref="CF126:CF127"/>
    <mergeCell ref="CG126:CG127"/>
    <mergeCell ref="CH126:CH127"/>
    <mergeCell ref="CI126:CI127"/>
    <mergeCell ref="BR126:BR127"/>
    <mergeCell ref="BS126:BS127"/>
    <mergeCell ref="BT126:BT127"/>
    <mergeCell ref="BU126:BU127"/>
    <mergeCell ref="AT134:AT135"/>
    <mergeCell ref="AU134:AU135"/>
    <mergeCell ref="AV134:AV135"/>
    <mergeCell ref="AW134:AW135"/>
    <mergeCell ref="AX134:AX135"/>
    <mergeCell ref="AY134:AY135"/>
    <mergeCell ref="AZ134:AZ135"/>
    <mergeCell ref="BA134:BA135"/>
    <mergeCell ref="BB134:BB135"/>
    <mergeCell ref="BY134:BY135"/>
    <mergeCell ref="BZ134:BZ135"/>
    <mergeCell ref="CA134:CA135"/>
    <mergeCell ref="CB134:CB135"/>
    <mergeCell ref="CC134:CC135"/>
    <mergeCell ref="BL134:BL135"/>
    <mergeCell ref="BM134:BM135"/>
    <mergeCell ref="AD144:AD145"/>
    <mergeCell ref="CV134:CV135"/>
    <mergeCell ref="CW134:CW135"/>
    <mergeCell ref="CX134:CX135"/>
    <mergeCell ref="CY134:CY135"/>
    <mergeCell ref="CZ134:CZ135"/>
    <mergeCell ref="DA134:DA135"/>
    <mergeCell ref="BU134:BU135"/>
    <mergeCell ref="BV134:BV135"/>
    <mergeCell ref="BW134:BW135"/>
    <mergeCell ref="BX134:BX135"/>
    <mergeCell ref="AE144:AE145"/>
    <mergeCell ref="AF144:AF145"/>
    <mergeCell ref="AG144:AG145"/>
    <mergeCell ref="AH144:AH145"/>
    <mergeCell ref="AI144:AI145"/>
    <mergeCell ref="AJ144:AJ145"/>
    <mergeCell ref="AK144:AK145"/>
    <mergeCell ref="AL144:AL145"/>
    <mergeCell ref="AM144:AM145"/>
    <mergeCell ref="AN144:AN145"/>
    <mergeCell ref="AO144:AO145"/>
    <mergeCell ref="AP144:AP145"/>
    <mergeCell ref="AQ144:AQ145"/>
    <mergeCell ref="AR144:AR145"/>
    <mergeCell ref="AS144:AS145"/>
    <mergeCell ref="AT144:AT145"/>
    <mergeCell ref="AU144:AU145"/>
    <mergeCell ref="AV144:AV145"/>
    <mergeCell ref="CB144:CB145"/>
    <mergeCell ref="CC144:CC145"/>
    <mergeCell ref="CD144:CD145"/>
    <mergeCell ref="DB134:DB135"/>
    <mergeCell ref="DC134:DC135"/>
    <mergeCell ref="DD134:DD135"/>
    <mergeCell ref="CM134:CM135"/>
    <mergeCell ref="CN134:CN135"/>
    <mergeCell ref="CO134:CO135"/>
    <mergeCell ref="CP134:CP135"/>
    <mergeCell ref="CQ134:CQ135"/>
    <mergeCell ref="CR134:CR135"/>
    <mergeCell ref="CS134:CS135"/>
    <mergeCell ref="CT134:CT135"/>
    <mergeCell ref="CU134:CU135"/>
    <mergeCell ref="CD134:CD135"/>
    <mergeCell ref="CE134:CE135"/>
    <mergeCell ref="CF134:CF135"/>
    <mergeCell ref="CG134:CG135"/>
    <mergeCell ref="CH134:CH135"/>
    <mergeCell ref="CI134:CI135"/>
    <mergeCell ref="CJ134:CJ135"/>
    <mergeCell ref="CK134:CK135"/>
    <mergeCell ref="CL134:CL135"/>
    <mergeCell ref="DE134:DE135"/>
    <mergeCell ref="DF134:DF135"/>
    <mergeCell ref="DG134:DG135"/>
    <mergeCell ref="DH134:DH135"/>
    <mergeCell ref="DI134:DI135"/>
    <mergeCell ref="M143:M145"/>
    <mergeCell ref="N143:DI143"/>
    <mergeCell ref="N144:N145"/>
    <mergeCell ref="O144:O145"/>
    <mergeCell ref="P144:P145"/>
    <mergeCell ref="Q144:Q145"/>
    <mergeCell ref="R144:R145"/>
    <mergeCell ref="S144:S145"/>
    <mergeCell ref="T144:T145"/>
    <mergeCell ref="U144:U145"/>
    <mergeCell ref="V144:V145"/>
    <mergeCell ref="W144:W145"/>
    <mergeCell ref="X144:X145"/>
    <mergeCell ref="Y144:Y145"/>
    <mergeCell ref="Z144:Z145"/>
    <mergeCell ref="AA144:AA145"/>
    <mergeCell ref="AB144:AB145"/>
    <mergeCell ref="AC144:AC145"/>
    <mergeCell ref="AW144:AW145"/>
    <mergeCell ref="AX144:AX145"/>
    <mergeCell ref="AY144:AY145"/>
    <mergeCell ref="AZ144:AZ145"/>
    <mergeCell ref="BA144:BA145"/>
    <mergeCell ref="BB144:BB145"/>
    <mergeCell ref="BC144:BC145"/>
    <mergeCell ref="BD144:BD145"/>
    <mergeCell ref="BE144:BE145"/>
    <mergeCell ref="CE144:CE145"/>
    <mergeCell ref="CF144:CF145"/>
    <mergeCell ref="BO144:BO145"/>
    <mergeCell ref="BP144:BP145"/>
    <mergeCell ref="BQ144:BQ145"/>
    <mergeCell ref="BR144:BR145"/>
    <mergeCell ref="BS144:BS145"/>
    <mergeCell ref="BT144:BT145"/>
    <mergeCell ref="BU144:BU145"/>
    <mergeCell ref="BV144:BV145"/>
    <mergeCell ref="BW144:BW145"/>
    <mergeCell ref="BF144:BF145"/>
    <mergeCell ref="BG144:BG145"/>
    <mergeCell ref="BH144:BH145"/>
    <mergeCell ref="BI144:BI145"/>
    <mergeCell ref="BJ144:BJ145"/>
    <mergeCell ref="BK144:BK145"/>
    <mergeCell ref="BL144:BL145"/>
    <mergeCell ref="BM144:BM145"/>
    <mergeCell ref="BN144:BN145"/>
    <mergeCell ref="AG155:AG156"/>
    <mergeCell ref="CY144:CY145"/>
    <mergeCell ref="CZ144:CZ145"/>
    <mergeCell ref="DA144:DA145"/>
    <mergeCell ref="DB144:DB145"/>
    <mergeCell ref="DC144:DC145"/>
    <mergeCell ref="DD144:DD145"/>
    <mergeCell ref="DE144:DE145"/>
    <mergeCell ref="DF144:DF145"/>
    <mergeCell ref="DG144:DG145"/>
    <mergeCell ref="CP144:CP145"/>
    <mergeCell ref="CQ144:CQ145"/>
    <mergeCell ref="CR144:CR145"/>
    <mergeCell ref="CS144:CS145"/>
    <mergeCell ref="CT144:CT145"/>
    <mergeCell ref="CU144:CU145"/>
    <mergeCell ref="CV144:CV145"/>
    <mergeCell ref="CW144:CW145"/>
    <mergeCell ref="CX144:CX145"/>
    <mergeCell ref="CG144:CG145"/>
    <mergeCell ref="CH144:CH145"/>
    <mergeCell ref="CI144:CI145"/>
    <mergeCell ref="CJ144:CJ145"/>
    <mergeCell ref="CK144:CK145"/>
    <mergeCell ref="CL144:CL145"/>
    <mergeCell ref="CM144:CM145"/>
    <mergeCell ref="CN144:CN145"/>
    <mergeCell ref="CO144:CO145"/>
    <mergeCell ref="BX144:BX145"/>
    <mergeCell ref="BY144:BY145"/>
    <mergeCell ref="BZ144:BZ145"/>
    <mergeCell ref="CA144:CA145"/>
    <mergeCell ref="AH155:AH156"/>
    <mergeCell ref="AI155:AI156"/>
    <mergeCell ref="AJ155:AJ156"/>
    <mergeCell ref="AK155:AK156"/>
    <mergeCell ref="AL155:AL156"/>
    <mergeCell ref="AM155:AM156"/>
    <mergeCell ref="AN155:AN156"/>
    <mergeCell ref="AO155:AO156"/>
    <mergeCell ref="AP155:AP156"/>
    <mergeCell ref="DH144:DH145"/>
    <mergeCell ref="DI144:DI145"/>
    <mergeCell ref="M154:M156"/>
    <mergeCell ref="N154:DI154"/>
    <mergeCell ref="N155:N156"/>
    <mergeCell ref="O155:O156"/>
    <mergeCell ref="P155:P156"/>
    <mergeCell ref="Q155:Q156"/>
    <mergeCell ref="R155:R156"/>
    <mergeCell ref="S155:S156"/>
    <mergeCell ref="T155:T156"/>
    <mergeCell ref="U155:U156"/>
    <mergeCell ref="V155:V156"/>
    <mergeCell ref="W155:W156"/>
    <mergeCell ref="X155:X156"/>
    <mergeCell ref="Y155:Y156"/>
    <mergeCell ref="Z155:Z156"/>
    <mergeCell ref="AA155:AA156"/>
    <mergeCell ref="AB155:AB156"/>
    <mergeCell ref="AC155:AC156"/>
    <mergeCell ref="AD155:AD156"/>
    <mergeCell ref="AE155:AE156"/>
    <mergeCell ref="AF155:AF156"/>
    <mergeCell ref="AZ155:AZ156"/>
    <mergeCell ref="BA155:BA156"/>
    <mergeCell ref="BB155:BB156"/>
    <mergeCell ref="BC155:BC156"/>
    <mergeCell ref="BD155:BD156"/>
    <mergeCell ref="BE155:BE156"/>
    <mergeCell ref="BF155:BF156"/>
    <mergeCell ref="BG155:BG156"/>
    <mergeCell ref="BH155:BH156"/>
    <mergeCell ref="AQ155:AQ156"/>
    <mergeCell ref="AR155:AR156"/>
    <mergeCell ref="AS155:AS156"/>
    <mergeCell ref="AT155:AT156"/>
    <mergeCell ref="AU155:AU156"/>
    <mergeCell ref="AV155:AV156"/>
    <mergeCell ref="AW155:AW156"/>
    <mergeCell ref="AX155:AX156"/>
    <mergeCell ref="AY155:AY156"/>
    <mergeCell ref="BR155:BR156"/>
    <mergeCell ref="BS155:BS156"/>
    <mergeCell ref="BT155:BT156"/>
    <mergeCell ref="BU155:BU156"/>
    <mergeCell ref="BV155:BV156"/>
    <mergeCell ref="BW155:BW156"/>
    <mergeCell ref="BX155:BX156"/>
    <mergeCell ref="BY155:BY156"/>
    <mergeCell ref="BZ155:BZ156"/>
    <mergeCell ref="BI155:BI156"/>
    <mergeCell ref="BJ155:BJ156"/>
    <mergeCell ref="BK155:BK156"/>
    <mergeCell ref="BL155:BL156"/>
    <mergeCell ref="BM155:BM156"/>
    <mergeCell ref="BN155:BN156"/>
    <mergeCell ref="BO155:BO156"/>
    <mergeCell ref="BP155:BP156"/>
    <mergeCell ref="BQ155:BQ156"/>
    <mergeCell ref="DA155:DA156"/>
    <mergeCell ref="CJ155:CJ156"/>
    <mergeCell ref="CK155:CK156"/>
    <mergeCell ref="CL155:CL156"/>
    <mergeCell ref="CM155:CM156"/>
    <mergeCell ref="CN155:CN156"/>
    <mergeCell ref="CO155:CO156"/>
    <mergeCell ref="CP155:CP156"/>
    <mergeCell ref="CQ155:CQ156"/>
    <mergeCell ref="CR155:CR156"/>
    <mergeCell ref="CA155:CA156"/>
    <mergeCell ref="CB155:CB156"/>
    <mergeCell ref="CC155:CC156"/>
    <mergeCell ref="CD155:CD156"/>
    <mergeCell ref="CE155:CE156"/>
    <mergeCell ref="CF155:CF156"/>
    <mergeCell ref="CG155:CG156"/>
    <mergeCell ref="CH155:CH156"/>
    <mergeCell ref="CI155:CI156"/>
    <mergeCell ref="DB155:DB156"/>
    <mergeCell ref="DC155:DC156"/>
    <mergeCell ref="DD155:DD156"/>
    <mergeCell ref="DE155:DE156"/>
    <mergeCell ref="DF155:DF156"/>
    <mergeCell ref="DG155:DG156"/>
    <mergeCell ref="DH155:DH156"/>
    <mergeCell ref="DI155:DI156"/>
    <mergeCell ref="M164:M166"/>
    <mergeCell ref="N164:DI164"/>
    <mergeCell ref="N165:N166"/>
    <mergeCell ref="O165:O166"/>
    <mergeCell ref="P165:P166"/>
    <mergeCell ref="Q165:Q166"/>
    <mergeCell ref="R165:R166"/>
    <mergeCell ref="S165:S166"/>
    <mergeCell ref="T165:T166"/>
    <mergeCell ref="U165:U166"/>
    <mergeCell ref="V165:V166"/>
    <mergeCell ref="W165:W166"/>
    <mergeCell ref="X165:X166"/>
    <mergeCell ref="Y165:Y166"/>
    <mergeCell ref="Z165:Z166"/>
    <mergeCell ref="AA165:AA166"/>
    <mergeCell ref="CS155:CS156"/>
    <mergeCell ref="CT155:CT156"/>
    <mergeCell ref="CU155:CU156"/>
    <mergeCell ref="CV155:CV156"/>
    <mergeCell ref="CW155:CW156"/>
    <mergeCell ref="CX155:CX156"/>
    <mergeCell ref="CY155:CY156"/>
    <mergeCell ref="CZ155:CZ156"/>
    <mergeCell ref="AK165:AK166"/>
    <mergeCell ref="AL165:AL166"/>
    <mergeCell ref="AM165:AM166"/>
    <mergeCell ref="AN165:AN166"/>
    <mergeCell ref="AO165:AO166"/>
    <mergeCell ref="AP165:AP166"/>
    <mergeCell ref="AQ165:AQ166"/>
    <mergeCell ref="AR165:AR166"/>
    <mergeCell ref="AS165:AS166"/>
    <mergeCell ref="AB165:AB166"/>
    <mergeCell ref="AC165:AC166"/>
    <mergeCell ref="AD165:AD166"/>
    <mergeCell ref="AE165:AE166"/>
    <mergeCell ref="AF165:AF166"/>
    <mergeCell ref="AG165:AG166"/>
    <mergeCell ref="AH165:AH166"/>
    <mergeCell ref="AI165:AI166"/>
    <mergeCell ref="AJ165:AJ166"/>
    <mergeCell ref="BC165:BC166"/>
    <mergeCell ref="BD165:BD166"/>
    <mergeCell ref="BE165:BE166"/>
    <mergeCell ref="BF165:BF166"/>
    <mergeCell ref="BG165:BG166"/>
    <mergeCell ref="BH165:BH166"/>
    <mergeCell ref="BI165:BI166"/>
    <mergeCell ref="BJ165:BJ166"/>
    <mergeCell ref="BK165:BK166"/>
    <mergeCell ref="AT165:AT166"/>
    <mergeCell ref="AU165:AU166"/>
    <mergeCell ref="AV165:AV166"/>
    <mergeCell ref="AW165:AW166"/>
    <mergeCell ref="AX165:AX166"/>
    <mergeCell ref="AY165:AY166"/>
    <mergeCell ref="AZ165:AZ166"/>
    <mergeCell ref="BA165:BA166"/>
    <mergeCell ref="BB165:BB166"/>
    <mergeCell ref="BU165:BU166"/>
    <mergeCell ref="BV165:BV166"/>
    <mergeCell ref="BW165:BW166"/>
    <mergeCell ref="BX165:BX166"/>
    <mergeCell ref="BY165:BY166"/>
    <mergeCell ref="BZ165:BZ166"/>
    <mergeCell ref="CA165:CA166"/>
    <mergeCell ref="CB165:CB166"/>
    <mergeCell ref="CC165:CC166"/>
    <mergeCell ref="BL165:BL166"/>
    <mergeCell ref="BM165:BM166"/>
    <mergeCell ref="BN165:BN166"/>
    <mergeCell ref="BO165:BO166"/>
    <mergeCell ref="BP165:BP166"/>
    <mergeCell ref="BQ165:BQ166"/>
    <mergeCell ref="BR165:BR166"/>
    <mergeCell ref="BS165:BS166"/>
    <mergeCell ref="BT165:BT166"/>
    <mergeCell ref="DD165:DD166"/>
    <mergeCell ref="CM165:CM166"/>
    <mergeCell ref="CN165:CN166"/>
    <mergeCell ref="CO165:CO166"/>
    <mergeCell ref="CP165:CP166"/>
    <mergeCell ref="CQ165:CQ166"/>
    <mergeCell ref="CR165:CR166"/>
    <mergeCell ref="CS165:CS166"/>
    <mergeCell ref="CT165:CT166"/>
    <mergeCell ref="CU165:CU166"/>
    <mergeCell ref="CD165:CD166"/>
    <mergeCell ref="CE165:CE166"/>
    <mergeCell ref="CF165:CF166"/>
    <mergeCell ref="CG165:CG166"/>
    <mergeCell ref="CH165:CH166"/>
    <mergeCell ref="CI165:CI166"/>
    <mergeCell ref="CJ165:CJ166"/>
    <mergeCell ref="CK165:CK166"/>
    <mergeCell ref="CL165:CL166"/>
    <mergeCell ref="DE165:DE166"/>
    <mergeCell ref="DF165:DF166"/>
    <mergeCell ref="DG165:DG166"/>
    <mergeCell ref="DH165:DH166"/>
    <mergeCell ref="DI165:DI166"/>
    <mergeCell ref="M185:M187"/>
    <mergeCell ref="N185:DI185"/>
    <mergeCell ref="N186:N187"/>
    <mergeCell ref="O186:O187"/>
    <mergeCell ref="P186:P187"/>
    <mergeCell ref="Q186:Q187"/>
    <mergeCell ref="R186:R187"/>
    <mergeCell ref="S186:S187"/>
    <mergeCell ref="T186:T187"/>
    <mergeCell ref="U186:U187"/>
    <mergeCell ref="V186:V187"/>
    <mergeCell ref="W186:W187"/>
    <mergeCell ref="X186:X187"/>
    <mergeCell ref="Y186:Y187"/>
    <mergeCell ref="Z186:Z187"/>
    <mergeCell ref="AA186:AA187"/>
    <mergeCell ref="AB186:AB187"/>
    <mergeCell ref="AC186:AC187"/>
    <mergeCell ref="AD186:AD187"/>
    <mergeCell ref="CV165:CV166"/>
    <mergeCell ref="CW165:CW166"/>
    <mergeCell ref="CX165:CX166"/>
    <mergeCell ref="CY165:CY166"/>
    <mergeCell ref="CZ165:CZ166"/>
    <mergeCell ref="DA165:DA166"/>
    <mergeCell ref="DB165:DB166"/>
    <mergeCell ref="DC165:DC166"/>
    <mergeCell ref="AN186:AN187"/>
    <mergeCell ref="AO186:AO187"/>
    <mergeCell ref="AP186:AP187"/>
    <mergeCell ref="AQ186:AQ187"/>
    <mergeCell ref="AR186:AR187"/>
    <mergeCell ref="AS186:AS187"/>
    <mergeCell ref="AT186:AT187"/>
    <mergeCell ref="AU186:AU187"/>
    <mergeCell ref="AV186:AV187"/>
    <mergeCell ref="AE186:AE187"/>
    <mergeCell ref="AF186:AF187"/>
    <mergeCell ref="AG186:AG187"/>
    <mergeCell ref="AH186:AH187"/>
    <mergeCell ref="AI186:AI187"/>
    <mergeCell ref="AJ186:AJ187"/>
    <mergeCell ref="AK186:AK187"/>
    <mergeCell ref="AL186:AL187"/>
    <mergeCell ref="AM186:AM187"/>
    <mergeCell ref="BF186:BF187"/>
    <mergeCell ref="BG186:BG187"/>
    <mergeCell ref="BH186:BH187"/>
    <mergeCell ref="BI186:BI187"/>
    <mergeCell ref="BJ186:BJ187"/>
    <mergeCell ref="BK186:BK187"/>
    <mergeCell ref="BL186:BL187"/>
    <mergeCell ref="BM186:BM187"/>
    <mergeCell ref="BN186:BN187"/>
    <mergeCell ref="AW186:AW187"/>
    <mergeCell ref="AX186:AX187"/>
    <mergeCell ref="AY186:AY187"/>
    <mergeCell ref="AZ186:AZ187"/>
    <mergeCell ref="BA186:BA187"/>
    <mergeCell ref="BB186:BB187"/>
    <mergeCell ref="BC186:BC187"/>
    <mergeCell ref="BD186:BD187"/>
    <mergeCell ref="BE186:BE187"/>
    <mergeCell ref="BX186:BX187"/>
    <mergeCell ref="BY186:BY187"/>
    <mergeCell ref="BZ186:BZ187"/>
    <mergeCell ref="CA186:CA187"/>
    <mergeCell ref="CB186:CB187"/>
    <mergeCell ref="CC186:CC187"/>
    <mergeCell ref="CD186:CD187"/>
    <mergeCell ref="CE186:CE187"/>
    <mergeCell ref="CF186:CF187"/>
    <mergeCell ref="BO186:BO187"/>
    <mergeCell ref="BP186:BP187"/>
    <mergeCell ref="BQ186:BQ187"/>
    <mergeCell ref="BR186:BR187"/>
    <mergeCell ref="BS186:BS187"/>
    <mergeCell ref="BT186:BT187"/>
    <mergeCell ref="BU186:BU187"/>
    <mergeCell ref="BV186:BV187"/>
    <mergeCell ref="BW186:BW187"/>
    <mergeCell ref="DG186:DG187"/>
    <mergeCell ref="CP186:CP187"/>
    <mergeCell ref="CQ186:CQ187"/>
    <mergeCell ref="CR186:CR187"/>
    <mergeCell ref="CS186:CS187"/>
    <mergeCell ref="CT186:CT187"/>
    <mergeCell ref="CU186:CU187"/>
    <mergeCell ref="CV186:CV187"/>
    <mergeCell ref="CW186:CW187"/>
    <mergeCell ref="CX186:CX187"/>
    <mergeCell ref="CG186:CG187"/>
    <mergeCell ref="CH186:CH187"/>
    <mergeCell ref="CI186:CI187"/>
    <mergeCell ref="CJ186:CJ187"/>
    <mergeCell ref="CK186:CK187"/>
    <mergeCell ref="CL186:CL187"/>
    <mergeCell ref="CM186:CM187"/>
    <mergeCell ref="CN186:CN187"/>
    <mergeCell ref="CO186:CO187"/>
    <mergeCell ref="DH186:DH187"/>
    <mergeCell ref="DI186:DI187"/>
    <mergeCell ref="M198:M200"/>
    <mergeCell ref="N198:DI198"/>
    <mergeCell ref="N199:N200"/>
    <mergeCell ref="O199:O200"/>
    <mergeCell ref="P199:P200"/>
    <mergeCell ref="Q199:Q200"/>
    <mergeCell ref="R199:R200"/>
    <mergeCell ref="S199:S200"/>
    <mergeCell ref="T199:T200"/>
    <mergeCell ref="U199:U200"/>
    <mergeCell ref="V199:V200"/>
    <mergeCell ref="W199:W200"/>
    <mergeCell ref="X199:X200"/>
    <mergeCell ref="Y199:Y200"/>
    <mergeCell ref="Z199:Z200"/>
    <mergeCell ref="AA199:AA200"/>
    <mergeCell ref="AB199:AB200"/>
    <mergeCell ref="AC199:AC200"/>
    <mergeCell ref="AD199:AD200"/>
    <mergeCell ref="AE199:AE200"/>
    <mergeCell ref="AF199:AF200"/>
    <mergeCell ref="AG199:AG200"/>
    <mergeCell ref="CY186:CY187"/>
    <mergeCell ref="CZ186:CZ187"/>
    <mergeCell ref="DA186:DA187"/>
    <mergeCell ref="DB186:DB187"/>
    <mergeCell ref="DC186:DC187"/>
    <mergeCell ref="DD186:DD187"/>
    <mergeCell ref="DE186:DE187"/>
    <mergeCell ref="DF186:DF187"/>
    <mergeCell ref="AQ199:AQ200"/>
    <mergeCell ref="AR199:AR200"/>
    <mergeCell ref="AS199:AS200"/>
    <mergeCell ref="AT199:AT200"/>
    <mergeCell ref="AU199:AU200"/>
    <mergeCell ref="AV199:AV200"/>
    <mergeCell ref="AW199:AW200"/>
    <mergeCell ref="AX199:AX200"/>
    <mergeCell ref="AY199:AY200"/>
    <mergeCell ref="AH199:AH200"/>
    <mergeCell ref="AI199:AI200"/>
    <mergeCell ref="AJ199:AJ200"/>
    <mergeCell ref="AK199:AK200"/>
    <mergeCell ref="AL199:AL200"/>
    <mergeCell ref="AM199:AM200"/>
    <mergeCell ref="AN199:AN200"/>
    <mergeCell ref="AO199:AO200"/>
    <mergeCell ref="AP199:AP200"/>
    <mergeCell ref="BV199:BV200"/>
    <mergeCell ref="BW199:BW200"/>
    <mergeCell ref="BX199:BX200"/>
    <mergeCell ref="BY199:BY200"/>
    <mergeCell ref="BZ199:BZ200"/>
    <mergeCell ref="BI199:BI200"/>
    <mergeCell ref="BJ199:BJ200"/>
    <mergeCell ref="BK199:BK200"/>
    <mergeCell ref="BL199:BL200"/>
    <mergeCell ref="BM199:BM200"/>
    <mergeCell ref="BN199:BN200"/>
    <mergeCell ref="BO199:BO200"/>
    <mergeCell ref="BP199:BP200"/>
    <mergeCell ref="BQ199:BQ200"/>
    <mergeCell ref="AZ199:AZ200"/>
    <mergeCell ref="BA199:BA200"/>
    <mergeCell ref="BB199:BB200"/>
    <mergeCell ref="BC199:BC200"/>
    <mergeCell ref="BD199:BD200"/>
    <mergeCell ref="BE199:BE200"/>
    <mergeCell ref="BF199:BF200"/>
    <mergeCell ref="BG199:BG200"/>
    <mergeCell ref="BH199:BH200"/>
    <mergeCell ref="M213:M215"/>
    <mergeCell ref="N214:N215"/>
    <mergeCell ref="O214:O215"/>
    <mergeCell ref="P214:P215"/>
    <mergeCell ref="Q214:Q215"/>
    <mergeCell ref="R214:R215"/>
    <mergeCell ref="S214:S215"/>
    <mergeCell ref="T214:T215"/>
    <mergeCell ref="U214:U215"/>
    <mergeCell ref="V214:V215"/>
    <mergeCell ref="W214:W215"/>
    <mergeCell ref="X214:X215"/>
    <mergeCell ref="Y214:Y215"/>
    <mergeCell ref="Z214:Z215"/>
    <mergeCell ref="AA214:AA215"/>
    <mergeCell ref="AB214:AB215"/>
    <mergeCell ref="CS199:CS200"/>
    <mergeCell ref="CJ199:CJ200"/>
    <mergeCell ref="CK199:CK200"/>
    <mergeCell ref="CL199:CL200"/>
    <mergeCell ref="CM199:CM200"/>
    <mergeCell ref="CN199:CN200"/>
    <mergeCell ref="CO199:CO200"/>
    <mergeCell ref="CP199:CP200"/>
    <mergeCell ref="CQ199:CQ200"/>
    <mergeCell ref="CR199:CR200"/>
    <mergeCell ref="CA199:CA200"/>
    <mergeCell ref="CB199:CB200"/>
    <mergeCell ref="CC199:CC200"/>
    <mergeCell ref="CD199:CD200"/>
    <mergeCell ref="CE199:CE200"/>
    <mergeCell ref="CF199:CF200"/>
    <mergeCell ref="AC214:AC215"/>
    <mergeCell ref="AD214:AD215"/>
    <mergeCell ref="AE214:AE215"/>
    <mergeCell ref="AF214:AF215"/>
    <mergeCell ref="AG214:AG215"/>
    <mergeCell ref="AH214:AH215"/>
    <mergeCell ref="AI214:AI215"/>
    <mergeCell ref="AJ214:AJ215"/>
    <mergeCell ref="AK214:AK215"/>
    <mergeCell ref="DB199:DB200"/>
    <mergeCell ref="DC199:DC200"/>
    <mergeCell ref="DD199:DD200"/>
    <mergeCell ref="DE199:DE200"/>
    <mergeCell ref="DF199:DF200"/>
    <mergeCell ref="DG199:DG200"/>
    <mergeCell ref="DH199:DH200"/>
    <mergeCell ref="DI199:DI200"/>
    <mergeCell ref="CT199:CT200"/>
    <mergeCell ref="CU199:CU200"/>
    <mergeCell ref="CV199:CV200"/>
    <mergeCell ref="CW199:CW200"/>
    <mergeCell ref="CX199:CX200"/>
    <mergeCell ref="CY199:CY200"/>
    <mergeCell ref="CZ199:CZ200"/>
    <mergeCell ref="DA199:DA200"/>
    <mergeCell ref="CG199:CG200"/>
    <mergeCell ref="CH199:CH200"/>
    <mergeCell ref="CI199:CI200"/>
    <mergeCell ref="BR199:BR200"/>
    <mergeCell ref="BS199:BS200"/>
    <mergeCell ref="BT199:BT200"/>
    <mergeCell ref="BU199:BU200"/>
    <mergeCell ref="AU214:AU215"/>
    <mergeCell ref="AV214:AV215"/>
    <mergeCell ref="AW214:AW215"/>
    <mergeCell ref="AX214:AX215"/>
    <mergeCell ref="AY214:AY215"/>
    <mergeCell ref="AZ214:AZ215"/>
    <mergeCell ref="BA214:BA215"/>
    <mergeCell ref="BB214:BB215"/>
    <mergeCell ref="BC214:BC215"/>
    <mergeCell ref="AL214:AL215"/>
    <mergeCell ref="AM214:AM215"/>
    <mergeCell ref="AN214:AN215"/>
    <mergeCell ref="AO214:AO215"/>
    <mergeCell ref="AP214:AP215"/>
    <mergeCell ref="AQ214:AQ215"/>
    <mergeCell ref="AR214:AR215"/>
    <mergeCell ref="AS214:AS215"/>
    <mergeCell ref="AT214:AT215"/>
    <mergeCell ref="BZ214:BZ215"/>
    <mergeCell ref="CA214:CA215"/>
    <mergeCell ref="CB214:CB215"/>
    <mergeCell ref="CC214:CC215"/>
    <mergeCell ref="CD214:CD215"/>
    <mergeCell ref="BM214:BM215"/>
    <mergeCell ref="BN214:BN215"/>
    <mergeCell ref="BO214:BO215"/>
    <mergeCell ref="BP214:BP215"/>
    <mergeCell ref="BQ214:BQ215"/>
    <mergeCell ref="BR214:BR215"/>
    <mergeCell ref="BS214:BS215"/>
    <mergeCell ref="BT214:BT215"/>
    <mergeCell ref="BU214:BU215"/>
    <mergeCell ref="BD214:BD215"/>
    <mergeCell ref="BE214:BE215"/>
    <mergeCell ref="BF214:BF215"/>
    <mergeCell ref="BG214:BG215"/>
    <mergeCell ref="BH214:BH215"/>
    <mergeCell ref="BI214:BI215"/>
    <mergeCell ref="BJ214:BJ215"/>
    <mergeCell ref="BK214:BK215"/>
    <mergeCell ref="BL214:BL215"/>
    <mergeCell ref="AF229:AF230"/>
    <mergeCell ref="CW214:CW215"/>
    <mergeCell ref="CX214:CX215"/>
    <mergeCell ref="CY214:CY215"/>
    <mergeCell ref="CZ214:CZ215"/>
    <mergeCell ref="DA214:DA215"/>
    <mergeCell ref="DB214:DB215"/>
    <mergeCell ref="DC214:DC215"/>
    <mergeCell ref="DD214:DD215"/>
    <mergeCell ref="DE214:DE215"/>
    <mergeCell ref="CN214:CN215"/>
    <mergeCell ref="CO214:CO215"/>
    <mergeCell ref="CP214:CP215"/>
    <mergeCell ref="CQ214:CQ215"/>
    <mergeCell ref="CR214:CR215"/>
    <mergeCell ref="CS214:CS215"/>
    <mergeCell ref="CT214:CT215"/>
    <mergeCell ref="CU214:CU215"/>
    <mergeCell ref="CV214:CV215"/>
    <mergeCell ref="CE214:CE215"/>
    <mergeCell ref="CF214:CF215"/>
    <mergeCell ref="CG214:CG215"/>
    <mergeCell ref="CH214:CH215"/>
    <mergeCell ref="CI214:CI215"/>
    <mergeCell ref="CJ214:CJ215"/>
    <mergeCell ref="CK214:CK215"/>
    <mergeCell ref="CL214:CL215"/>
    <mergeCell ref="CM214:CM215"/>
    <mergeCell ref="BV214:BV215"/>
    <mergeCell ref="BW214:BW215"/>
    <mergeCell ref="BX214:BX215"/>
    <mergeCell ref="BY214:BY215"/>
    <mergeCell ref="AS229:AS230"/>
    <mergeCell ref="AT229:AT230"/>
    <mergeCell ref="AU229:AU230"/>
    <mergeCell ref="AV229:AV230"/>
    <mergeCell ref="AW229:AW230"/>
    <mergeCell ref="AX229:AX230"/>
    <mergeCell ref="AY229:AY230"/>
    <mergeCell ref="AZ229:AZ230"/>
    <mergeCell ref="BA229:BA230"/>
    <mergeCell ref="DF214:DF215"/>
    <mergeCell ref="DG214:DG215"/>
    <mergeCell ref="DH214:DH215"/>
    <mergeCell ref="DI214:DI215"/>
    <mergeCell ref="M228:M230"/>
    <mergeCell ref="N228:DI228"/>
    <mergeCell ref="O229:O230"/>
    <mergeCell ref="P229:P230"/>
    <mergeCell ref="Q229:Q230"/>
    <mergeCell ref="R229:R230"/>
    <mergeCell ref="S229:S230"/>
    <mergeCell ref="T229:T230"/>
    <mergeCell ref="U229:U230"/>
    <mergeCell ref="V229:V230"/>
    <mergeCell ref="W229:W230"/>
    <mergeCell ref="X229:X230"/>
    <mergeCell ref="Y229:Y230"/>
    <mergeCell ref="Z229:Z230"/>
    <mergeCell ref="AA229:AA230"/>
    <mergeCell ref="AB229:AB230"/>
    <mergeCell ref="AC229:AC230"/>
    <mergeCell ref="AD229:AD230"/>
    <mergeCell ref="AE229:AE230"/>
    <mergeCell ref="BX229:BX230"/>
    <mergeCell ref="BY229:BY230"/>
    <mergeCell ref="BZ229:BZ230"/>
    <mergeCell ref="CA229:CA230"/>
    <mergeCell ref="CB229:CB230"/>
    <mergeCell ref="BK229:BK230"/>
    <mergeCell ref="BL229:BL230"/>
    <mergeCell ref="BM229:BM230"/>
    <mergeCell ref="BN229:BN230"/>
    <mergeCell ref="BO229:BO230"/>
    <mergeCell ref="BP229:BP230"/>
    <mergeCell ref="BQ229:BQ230"/>
    <mergeCell ref="BR229:BR230"/>
    <mergeCell ref="BS229:BS230"/>
    <mergeCell ref="BB229:BB230"/>
    <mergeCell ref="BC229:BC230"/>
    <mergeCell ref="BD229:BD230"/>
    <mergeCell ref="BE229:BE230"/>
    <mergeCell ref="BF229:BF230"/>
    <mergeCell ref="BG229:BG230"/>
    <mergeCell ref="BH229:BH230"/>
    <mergeCell ref="BI229:BI230"/>
    <mergeCell ref="BJ229:BJ230"/>
    <mergeCell ref="AC252:AC253"/>
    <mergeCell ref="CU229:CU230"/>
    <mergeCell ref="CV229:CV230"/>
    <mergeCell ref="CW229:CW230"/>
    <mergeCell ref="CX229:CX230"/>
    <mergeCell ref="CY229:CY230"/>
    <mergeCell ref="CZ229:CZ230"/>
    <mergeCell ref="DA229:DA230"/>
    <mergeCell ref="DB229:DB230"/>
    <mergeCell ref="DC229:DC230"/>
    <mergeCell ref="CL229:CL230"/>
    <mergeCell ref="CM229:CM230"/>
    <mergeCell ref="CN229:CN230"/>
    <mergeCell ref="CO229:CO230"/>
    <mergeCell ref="CP229:CP230"/>
    <mergeCell ref="CQ229:CQ230"/>
    <mergeCell ref="CR229:CR230"/>
    <mergeCell ref="CS229:CS230"/>
    <mergeCell ref="CT229:CT230"/>
    <mergeCell ref="CC229:CC230"/>
    <mergeCell ref="CD229:CD230"/>
    <mergeCell ref="CE229:CE230"/>
    <mergeCell ref="CF229:CF230"/>
    <mergeCell ref="CG229:CG230"/>
    <mergeCell ref="CH229:CH230"/>
    <mergeCell ref="CI229:CI230"/>
    <mergeCell ref="CJ229:CJ230"/>
    <mergeCell ref="CK229:CK230"/>
    <mergeCell ref="BT229:BT230"/>
    <mergeCell ref="BU229:BU230"/>
    <mergeCell ref="BV229:BV230"/>
    <mergeCell ref="BW229:BW230"/>
    <mergeCell ref="AD252:AD253"/>
    <mergeCell ref="AE252:AE253"/>
    <mergeCell ref="AF252:AF253"/>
    <mergeCell ref="AG252:AG253"/>
    <mergeCell ref="AH252:AH253"/>
    <mergeCell ref="AI252:AI253"/>
    <mergeCell ref="AJ252:AJ253"/>
    <mergeCell ref="AK252:AK253"/>
    <mergeCell ref="AL252:AL253"/>
    <mergeCell ref="DD229:DD230"/>
    <mergeCell ref="DE229:DE230"/>
    <mergeCell ref="DF229:DF230"/>
    <mergeCell ref="DG229:DG230"/>
    <mergeCell ref="DH229:DH230"/>
    <mergeCell ref="DI229:DI230"/>
    <mergeCell ref="M251:M253"/>
    <mergeCell ref="N251:DI251"/>
    <mergeCell ref="N252:N253"/>
    <mergeCell ref="O252:O253"/>
    <mergeCell ref="P252:P253"/>
    <mergeCell ref="Q252:Q253"/>
    <mergeCell ref="R252:R253"/>
    <mergeCell ref="S252:S253"/>
    <mergeCell ref="T252:T253"/>
    <mergeCell ref="U252:U253"/>
    <mergeCell ref="V252:V253"/>
    <mergeCell ref="W252:W253"/>
    <mergeCell ref="X252:X253"/>
    <mergeCell ref="Y252:Y253"/>
    <mergeCell ref="Z252:Z253"/>
    <mergeCell ref="AA252:AA253"/>
    <mergeCell ref="AB252:AB253"/>
    <mergeCell ref="AV252:AV253"/>
    <mergeCell ref="AW252:AW253"/>
    <mergeCell ref="AX252:AX253"/>
    <mergeCell ref="AY252:AY253"/>
    <mergeCell ref="AZ252:AZ253"/>
    <mergeCell ref="BA252:BA253"/>
    <mergeCell ref="BB252:BB253"/>
    <mergeCell ref="BC252:BC253"/>
    <mergeCell ref="BD252:BD253"/>
    <mergeCell ref="AM252:AM253"/>
    <mergeCell ref="AN252:AN253"/>
    <mergeCell ref="AO252:AO253"/>
    <mergeCell ref="AP252:AP253"/>
    <mergeCell ref="AQ252:AQ253"/>
    <mergeCell ref="AR252:AR253"/>
    <mergeCell ref="AS252:AS253"/>
    <mergeCell ref="AT252:AT253"/>
    <mergeCell ref="AU252:AU253"/>
    <mergeCell ref="BN252:BN253"/>
    <mergeCell ref="BO252:BO253"/>
    <mergeCell ref="BP252:BP253"/>
    <mergeCell ref="BQ252:BQ253"/>
    <mergeCell ref="BR252:BR253"/>
    <mergeCell ref="BS252:BS253"/>
    <mergeCell ref="BT252:BT253"/>
    <mergeCell ref="BU252:BU253"/>
    <mergeCell ref="BV252:BV253"/>
    <mergeCell ref="BE252:BE253"/>
    <mergeCell ref="BF252:BF253"/>
    <mergeCell ref="BG252:BG253"/>
    <mergeCell ref="BH252:BH253"/>
    <mergeCell ref="BI252:BI253"/>
    <mergeCell ref="BJ252:BJ253"/>
    <mergeCell ref="BK252:BK253"/>
    <mergeCell ref="BL252:BL253"/>
    <mergeCell ref="BM252:BM253"/>
    <mergeCell ref="CF252:CF253"/>
    <mergeCell ref="CG252:CG253"/>
    <mergeCell ref="CH252:CH253"/>
    <mergeCell ref="CI252:CI253"/>
    <mergeCell ref="CJ252:CJ253"/>
    <mergeCell ref="CK252:CK253"/>
    <mergeCell ref="CL252:CL253"/>
    <mergeCell ref="CM252:CM253"/>
    <mergeCell ref="CN252:CN253"/>
    <mergeCell ref="BW252:BW253"/>
    <mergeCell ref="BX252:BX253"/>
    <mergeCell ref="BY252:BY253"/>
    <mergeCell ref="BZ252:BZ253"/>
    <mergeCell ref="CA252:CA253"/>
    <mergeCell ref="CB252:CB253"/>
    <mergeCell ref="CC252:CC253"/>
    <mergeCell ref="CD252:CD253"/>
    <mergeCell ref="CE252:CE253"/>
    <mergeCell ref="DG252:DG253"/>
    <mergeCell ref="DH252:DH253"/>
    <mergeCell ref="DI252:DI253"/>
    <mergeCell ref="CX252:CX253"/>
    <mergeCell ref="CY252:CY253"/>
    <mergeCell ref="CZ252:CZ253"/>
    <mergeCell ref="DA252:DA253"/>
    <mergeCell ref="DB252:DB253"/>
    <mergeCell ref="DC252:DC253"/>
    <mergeCell ref="DD252:DD253"/>
    <mergeCell ref="DE252:DE253"/>
    <mergeCell ref="DF252:DF253"/>
    <mergeCell ref="CO252:CO253"/>
    <mergeCell ref="CP252:CP253"/>
    <mergeCell ref="CQ252:CQ253"/>
    <mergeCell ref="CR252:CR253"/>
    <mergeCell ref="CS252:CS253"/>
    <mergeCell ref="CT252:CT253"/>
    <mergeCell ref="CU252:CU253"/>
    <mergeCell ref="CV252:CV253"/>
    <mergeCell ref="CW252:CW253"/>
  </mergeCells>
  <pageMargins left="0" right="0" top="0.196850393700787" bottom="0.196850393700787" header="0.196850393700787" footer="0.196850393700787"/>
  <pageSetup scale="91"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I612"/>
  <sheetViews>
    <sheetView topLeftCell="A193" zoomScaleNormal="100" workbookViewId="0">
      <selection activeCell="B218" sqref="B218"/>
    </sheetView>
  </sheetViews>
  <sheetFormatPr defaultRowHeight="15" x14ac:dyDescent="0.25"/>
  <cols>
    <col min="1" max="1" width="4.7109375" style="52" customWidth="1"/>
    <col min="2" max="2" width="37.7109375" style="52" customWidth="1"/>
    <col min="3" max="3" width="11.42578125" style="52" customWidth="1"/>
    <col min="4" max="4" width="12" style="52" hidden="1" customWidth="1"/>
    <col min="5" max="5" width="13.42578125" style="52" hidden="1" customWidth="1"/>
    <col min="6" max="6" width="11.7109375" style="52" hidden="1" customWidth="1"/>
    <col min="7" max="7" width="14.5703125" style="52" hidden="1" customWidth="1"/>
    <col min="8" max="8" width="12.7109375" style="52" hidden="1" customWidth="1"/>
    <col min="9" max="9" width="10.85546875" style="52" hidden="1" customWidth="1"/>
    <col min="10" max="10" width="14.42578125" style="52" hidden="1" customWidth="1"/>
    <col min="11" max="11" width="15.28515625" style="52" hidden="1" customWidth="1"/>
    <col min="12" max="12" width="15.28515625" style="52" customWidth="1"/>
    <col min="13" max="13" width="9.140625" style="52"/>
    <col min="14" max="14" width="15.42578125" style="52" bestFit="1" customWidth="1"/>
    <col min="15" max="15" width="14.28515625" style="52" bestFit="1" customWidth="1"/>
    <col min="16" max="17" width="14.42578125" style="52" bestFit="1" customWidth="1"/>
    <col min="18" max="19" width="15.42578125" style="52" bestFit="1" customWidth="1"/>
    <col min="20" max="20" width="14" style="52" bestFit="1" customWidth="1"/>
    <col min="21" max="23" width="14.5703125" style="52" bestFit="1" customWidth="1"/>
    <col min="24" max="24" width="14.42578125" style="52" bestFit="1" customWidth="1"/>
    <col min="25" max="25" width="14" style="52" bestFit="1" customWidth="1"/>
    <col min="26" max="26" width="11.7109375" style="52" bestFit="1" customWidth="1"/>
    <col min="27" max="16384" width="9.140625" style="52"/>
  </cols>
  <sheetData>
    <row r="1" spans="1:113" x14ac:dyDescent="0.25">
      <c r="L1"/>
      <c r="M1"/>
      <c r="N1"/>
      <c r="O1"/>
      <c r="P1"/>
      <c r="Q1"/>
      <c r="R1"/>
      <c r="S1"/>
      <c r="T1"/>
      <c r="U1"/>
      <c r="V1"/>
    </row>
    <row r="2" spans="1:113" ht="15.75" thickBot="1" x14ac:dyDescent="0.3">
      <c r="A2" s="103" t="s">
        <v>546</v>
      </c>
      <c r="B2" s="103"/>
      <c r="G2" s="53" t="str">
        <f>A.Prangko!G3</f>
        <v>mei 2017</v>
      </c>
      <c r="L2"/>
      <c r="M2"/>
      <c r="N2"/>
      <c r="O2"/>
      <c r="P2"/>
      <c r="Q2"/>
      <c r="R2"/>
      <c r="S2"/>
      <c r="T2"/>
      <c r="U2"/>
      <c r="V2"/>
    </row>
    <row r="3" spans="1:113" ht="15.75" thickBot="1" x14ac:dyDescent="0.3">
      <c r="A3" s="407" t="s">
        <v>657</v>
      </c>
      <c r="B3" s="414" t="s">
        <v>708</v>
      </c>
      <c r="C3" s="414" t="s">
        <v>1</v>
      </c>
      <c r="D3" s="415" t="s">
        <v>649</v>
      </c>
      <c r="E3" s="416" t="s">
        <v>19</v>
      </c>
      <c r="F3" s="416"/>
      <c r="G3" s="416"/>
      <c r="H3" s="416"/>
      <c r="I3" s="416"/>
      <c r="J3" s="410" t="s">
        <v>21</v>
      </c>
      <c r="K3" s="417" t="s">
        <v>602</v>
      </c>
      <c r="L3"/>
      <c r="M3" s="403" t="s">
        <v>601</v>
      </c>
      <c r="N3" s="403" t="s">
        <v>924</v>
      </c>
      <c r="O3" s="403"/>
      <c r="P3" s="403"/>
      <c r="Q3" s="403"/>
      <c r="R3" s="403"/>
      <c r="S3" s="403"/>
      <c r="T3" s="403"/>
      <c r="U3" s="403"/>
      <c r="V3" s="403"/>
      <c r="W3" s="403"/>
      <c r="X3" s="403"/>
      <c r="Y3" s="403"/>
      <c r="Z3" s="403"/>
      <c r="AA3" s="403"/>
      <c r="AB3" s="403"/>
      <c r="AC3" s="403"/>
      <c r="AD3" s="403"/>
      <c r="AE3" s="403"/>
      <c r="AF3" s="403"/>
      <c r="AG3" s="403"/>
      <c r="AH3" s="403"/>
      <c r="AI3" s="403"/>
      <c r="AJ3" s="403"/>
      <c r="AK3" s="403"/>
      <c r="AL3" s="403"/>
      <c r="AM3" s="403"/>
      <c r="AN3" s="403"/>
      <c r="AO3" s="403"/>
      <c r="AP3" s="403"/>
      <c r="AQ3" s="403"/>
      <c r="AR3" s="403"/>
      <c r="AS3" s="403"/>
      <c r="AT3" s="403"/>
      <c r="AU3" s="403"/>
      <c r="AV3" s="403"/>
      <c r="AW3" s="403"/>
      <c r="AX3" s="403"/>
      <c r="AY3" s="403"/>
      <c r="AZ3" s="403"/>
      <c r="BA3" s="403"/>
      <c r="BB3" s="403"/>
      <c r="BC3" s="403"/>
      <c r="BD3" s="403"/>
      <c r="BE3" s="403"/>
      <c r="BF3" s="403"/>
      <c r="BG3" s="403"/>
      <c r="BH3" s="403"/>
      <c r="BI3" s="403"/>
      <c r="BJ3" s="403"/>
      <c r="BK3" s="403"/>
      <c r="BL3" s="403"/>
      <c r="BM3" s="403"/>
      <c r="BN3" s="403"/>
      <c r="BO3" s="403"/>
      <c r="BP3" s="403"/>
      <c r="BQ3" s="403"/>
      <c r="BR3" s="403"/>
      <c r="BS3" s="403"/>
      <c r="BT3" s="403"/>
      <c r="BU3" s="403"/>
      <c r="BV3" s="403"/>
      <c r="BW3" s="403"/>
      <c r="BX3" s="403"/>
      <c r="BY3" s="403"/>
      <c r="BZ3" s="403"/>
      <c r="CA3" s="403"/>
      <c r="CB3" s="403"/>
      <c r="CC3" s="403"/>
      <c r="CD3" s="403"/>
      <c r="CE3" s="403"/>
      <c r="CF3" s="403"/>
      <c r="CG3" s="403"/>
      <c r="CH3" s="403"/>
      <c r="CI3" s="403"/>
      <c r="CJ3" s="403"/>
      <c r="CK3" s="403"/>
      <c r="CL3" s="403"/>
      <c r="CM3" s="403"/>
      <c r="CN3" s="403"/>
      <c r="CO3" s="403"/>
      <c r="CP3" s="403"/>
      <c r="CQ3" s="403"/>
      <c r="CR3" s="403"/>
      <c r="CS3" s="403"/>
      <c r="CT3" s="403"/>
      <c r="CU3" s="403"/>
      <c r="CV3" s="403"/>
      <c r="CW3" s="403"/>
      <c r="CX3" s="403"/>
      <c r="CY3" s="403"/>
      <c r="CZ3" s="403"/>
      <c r="DA3" s="403"/>
      <c r="DB3" s="403"/>
      <c r="DC3" s="403"/>
      <c r="DD3" s="403"/>
      <c r="DE3" s="403"/>
      <c r="DF3" s="403"/>
      <c r="DG3" s="403"/>
      <c r="DH3" s="403"/>
      <c r="DI3" s="403"/>
    </row>
    <row r="4" spans="1:113" ht="30.75" thickBot="1" x14ac:dyDescent="0.3">
      <c r="A4" s="408"/>
      <c r="B4" s="414"/>
      <c r="C4" s="414"/>
      <c r="D4" s="415"/>
      <c r="E4" s="68" t="s">
        <v>22</v>
      </c>
      <c r="F4" s="68" t="s">
        <v>600</v>
      </c>
      <c r="G4" s="68" t="s">
        <v>601</v>
      </c>
      <c r="H4" s="68" t="s">
        <v>589</v>
      </c>
      <c r="I4" s="68" t="s">
        <v>601</v>
      </c>
      <c r="J4" s="411"/>
      <c r="K4" s="418"/>
      <c r="L4"/>
      <c r="M4" s="403"/>
      <c r="N4" s="400" t="s">
        <v>925</v>
      </c>
      <c r="O4" s="400" t="s">
        <v>926</v>
      </c>
      <c r="P4" s="400"/>
      <c r="Q4" s="400"/>
      <c r="R4" s="400"/>
      <c r="S4" s="398"/>
      <c r="T4" s="398"/>
      <c r="U4" s="398"/>
      <c r="V4" s="398"/>
      <c r="W4" s="398"/>
      <c r="X4" s="398"/>
      <c r="Y4" s="398"/>
      <c r="Z4" s="398"/>
      <c r="AA4" s="398"/>
      <c r="AB4" s="398"/>
      <c r="AC4" s="398"/>
      <c r="AD4" s="398"/>
      <c r="AE4" s="398"/>
      <c r="AF4" s="398"/>
      <c r="AG4" s="398"/>
      <c r="AH4" s="398"/>
      <c r="AI4" s="398"/>
      <c r="AJ4" s="398"/>
      <c r="AK4" s="398"/>
      <c r="AL4" s="398"/>
      <c r="AM4" s="398"/>
      <c r="AN4" s="398"/>
      <c r="AO4" s="398"/>
      <c r="AP4" s="398"/>
      <c r="AQ4" s="398"/>
      <c r="AR4" s="398"/>
      <c r="AS4" s="398"/>
      <c r="AT4" s="398"/>
      <c r="AU4" s="398"/>
      <c r="AV4" s="398"/>
      <c r="AW4" s="398"/>
      <c r="AX4" s="398"/>
      <c r="AY4" s="398"/>
      <c r="AZ4" s="398"/>
      <c r="BA4" s="398"/>
      <c r="BB4" s="398"/>
      <c r="BC4" s="398"/>
      <c r="BD4" s="398"/>
      <c r="BE4" s="398"/>
      <c r="BF4" s="398"/>
      <c r="BG4" s="398"/>
      <c r="BH4" s="398"/>
      <c r="BI4" s="398"/>
      <c r="BJ4" s="398"/>
      <c r="BK4" s="398"/>
      <c r="BL4" s="398"/>
      <c r="BM4" s="398"/>
      <c r="BN4" s="398"/>
      <c r="BO4" s="398"/>
      <c r="BP4" s="398"/>
      <c r="BQ4" s="398"/>
      <c r="BR4" s="398"/>
      <c r="BS4" s="398"/>
      <c r="BT4" s="398"/>
      <c r="BU4" s="398"/>
      <c r="BV4" s="398"/>
      <c r="BW4" s="398"/>
      <c r="BX4" s="398"/>
      <c r="BY4" s="398"/>
      <c r="BZ4" s="398"/>
      <c r="CA4" s="398"/>
      <c r="CB4" s="398"/>
      <c r="CC4" s="398"/>
      <c r="CD4" s="398"/>
      <c r="CE4" s="398"/>
      <c r="CF4" s="398"/>
      <c r="CG4" s="398"/>
      <c r="CH4" s="398"/>
      <c r="CI4" s="398"/>
      <c r="CJ4" s="398"/>
      <c r="CK4" s="398"/>
      <c r="CL4" s="398"/>
      <c r="CM4" s="398"/>
      <c r="CN4" s="398"/>
      <c r="CO4" s="398"/>
      <c r="CP4" s="398"/>
      <c r="CQ4" s="398"/>
      <c r="CR4" s="398"/>
      <c r="CS4" s="398"/>
      <c r="CT4" s="398"/>
      <c r="CU4" s="398"/>
      <c r="CV4" s="398"/>
      <c r="CW4" s="398"/>
      <c r="CX4" s="398"/>
      <c r="CY4" s="398"/>
      <c r="CZ4" s="398"/>
      <c r="DA4" s="398"/>
      <c r="DB4" s="398"/>
      <c r="DC4" s="398"/>
      <c r="DD4" s="398"/>
      <c r="DE4" s="398"/>
      <c r="DF4" s="398"/>
      <c r="DG4" s="398"/>
      <c r="DH4" s="398"/>
      <c r="DI4" s="398"/>
    </row>
    <row r="5" spans="1:113" ht="15.75" thickBot="1" x14ac:dyDescent="0.3">
      <c r="A5" s="409"/>
      <c r="B5" s="185">
        <v>1</v>
      </c>
      <c r="C5" s="185">
        <v>2</v>
      </c>
      <c r="D5" s="185">
        <v>3</v>
      </c>
      <c r="E5" s="70">
        <v>4</v>
      </c>
      <c r="F5" s="70">
        <f>+E5+1</f>
        <v>5</v>
      </c>
      <c r="G5" s="70" t="s">
        <v>652</v>
      </c>
      <c r="H5" s="70">
        <v>7</v>
      </c>
      <c r="I5" s="71" t="s">
        <v>651</v>
      </c>
      <c r="J5" s="42" t="s">
        <v>650</v>
      </c>
      <c r="K5" s="42" t="s">
        <v>653</v>
      </c>
      <c r="L5"/>
      <c r="M5" s="403"/>
      <c r="N5" s="402"/>
      <c r="O5" s="402"/>
      <c r="P5" s="402"/>
      <c r="Q5" s="402"/>
      <c r="R5" s="402"/>
      <c r="S5" s="399"/>
      <c r="T5" s="399"/>
      <c r="U5" s="399"/>
      <c r="V5" s="399"/>
      <c r="W5" s="399"/>
      <c r="X5" s="399"/>
      <c r="Y5" s="399"/>
      <c r="Z5" s="399"/>
      <c r="AA5" s="399"/>
      <c r="AB5" s="399"/>
      <c r="AC5" s="399"/>
      <c r="AD5" s="399"/>
      <c r="AE5" s="399"/>
      <c r="AF5" s="399"/>
      <c r="AG5" s="399"/>
      <c r="AH5" s="399"/>
      <c r="AI5" s="399"/>
      <c r="AJ5" s="399"/>
      <c r="AK5" s="399"/>
      <c r="AL5" s="399"/>
      <c r="AM5" s="399"/>
      <c r="AN5" s="399"/>
      <c r="AO5" s="399"/>
      <c r="AP5" s="399"/>
      <c r="AQ5" s="399"/>
      <c r="AR5" s="399"/>
      <c r="AS5" s="399"/>
      <c r="AT5" s="399"/>
      <c r="AU5" s="399"/>
      <c r="AV5" s="399"/>
      <c r="AW5" s="399"/>
      <c r="AX5" s="399"/>
      <c r="AY5" s="399"/>
      <c r="AZ5" s="399"/>
      <c r="BA5" s="399"/>
      <c r="BB5" s="399"/>
      <c r="BC5" s="399"/>
      <c r="BD5" s="399"/>
      <c r="BE5" s="399"/>
      <c r="BF5" s="399"/>
      <c r="BG5" s="399"/>
      <c r="BH5" s="399"/>
      <c r="BI5" s="399"/>
      <c r="BJ5" s="399"/>
      <c r="BK5" s="399"/>
      <c r="BL5" s="399"/>
      <c r="BM5" s="399"/>
      <c r="BN5" s="399"/>
      <c r="BO5" s="399"/>
      <c r="BP5" s="399"/>
      <c r="BQ5" s="399"/>
      <c r="BR5" s="399"/>
      <c r="BS5" s="399"/>
      <c r="BT5" s="399"/>
      <c r="BU5" s="399"/>
      <c r="BV5" s="399"/>
      <c r="BW5" s="399"/>
      <c r="BX5" s="399"/>
      <c r="BY5" s="399"/>
      <c r="BZ5" s="399"/>
      <c r="CA5" s="399"/>
      <c r="CB5" s="399"/>
      <c r="CC5" s="399"/>
      <c r="CD5" s="399"/>
      <c r="CE5" s="399"/>
      <c r="CF5" s="399"/>
      <c r="CG5" s="399"/>
      <c r="CH5" s="399"/>
      <c r="CI5" s="399"/>
      <c r="CJ5" s="399"/>
      <c r="CK5" s="399"/>
      <c r="CL5" s="399"/>
      <c r="CM5" s="399"/>
      <c r="CN5" s="399"/>
      <c r="CO5" s="399"/>
      <c r="CP5" s="399"/>
      <c r="CQ5" s="399"/>
      <c r="CR5" s="399"/>
      <c r="CS5" s="399"/>
      <c r="CT5" s="399"/>
      <c r="CU5" s="399"/>
      <c r="CV5" s="399"/>
      <c r="CW5" s="399"/>
      <c r="CX5" s="399"/>
      <c r="CY5" s="399"/>
      <c r="CZ5" s="399"/>
      <c r="DA5" s="399"/>
      <c r="DB5" s="399"/>
      <c r="DC5" s="399"/>
      <c r="DD5" s="399"/>
      <c r="DE5" s="399"/>
      <c r="DF5" s="399"/>
      <c r="DG5" s="399"/>
      <c r="DH5" s="399"/>
      <c r="DI5" s="399"/>
    </row>
    <row r="6" spans="1:113" x14ac:dyDescent="0.25">
      <c r="A6" s="160"/>
      <c r="B6" s="72" t="s">
        <v>714</v>
      </c>
      <c r="C6" s="54"/>
      <c r="D6" s="54"/>
      <c r="E6" s="54"/>
      <c r="F6" s="54"/>
      <c r="G6" s="54"/>
      <c r="H6" s="54"/>
      <c r="I6" s="54"/>
      <c r="J6" s="54"/>
      <c r="K6" s="54"/>
      <c r="L6"/>
      <c r="M6" s="314">
        <f t="shared" ref="M6:M26" si="0">SUM(N6:DJ6)</f>
        <v>0</v>
      </c>
      <c r="N6" s="310"/>
      <c r="O6" s="315"/>
      <c r="P6" s="315"/>
      <c r="Q6" s="315"/>
      <c r="R6" s="31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row>
    <row r="7" spans="1:113" x14ac:dyDescent="0.25">
      <c r="A7" s="152">
        <v>1</v>
      </c>
      <c r="B7" s="79" t="s">
        <v>215</v>
      </c>
      <c r="C7" s="80">
        <v>6500</v>
      </c>
      <c r="D7" s="142">
        <v>950.8</v>
      </c>
      <c r="E7" s="43">
        <v>24</v>
      </c>
      <c r="F7" s="60"/>
      <c r="G7" s="139">
        <f t="shared" ref="G7:G25" si="1">+E7+F7</f>
        <v>24</v>
      </c>
      <c r="H7" s="55"/>
      <c r="I7" s="56">
        <f t="shared" ref="I7:I25" si="2">+G7-H7</f>
        <v>24</v>
      </c>
      <c r="J7" s="56">
        <f t="shared" ref="J7:J25" si="3">I7*C7</f>
        <v>156000</v>
      </c>
      <c r="K7" s="57">
        <f t="shared" ref="K7:K25" si="4">+D7*I7</f>
        <v>22819.199999999997</v>
      </c>
      <c r="L7"/>
      <c r="M7" s="314">
        <f t="shared" si="0"/>
        <v>0</v>
      </c>
      <c r="N7" s="310"/>
      <c r="O7" s="315"/>
      <c r="P7" s="315"/>
      <c r="Q7" s="315"/>
      <c r="R7" s="31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row>
    <row r="8" spans="1:113" x14ac:dyDescent="0.25">
      <c r="A8" s="152">
        <v>2</v>
      </c>
      <c r="B8" s="79" t="s">
        <v>216</v>
      </c>
      <c r="C8" s="80">
        <v>36000</v>
      </c>
      <c r="D8" s="142">
        <v>4664.8</v>
      </c>
      <c r="E8" s="43">
        <v>155</v>
      </c>
      <c r="F8" s="60"/>
      <c r="G8" s="139">
        <f t="shared" si="1"/>
        <v>155</v>
      </c>
      <c r="H8" s="55"/>
      <c r="I8" s="56">
        <f t="shared" si="2"/>
        <v>155</v>
      </c>
      <c r="J8" s="56">
        <f t="shared" si="3"/>
        <v>5580000</v>
      </c>
      <c r="K8" s="57">
        <f t="shared" si="4"/>
        <v>723044</v>
      </c>
      <c r="L8"/>
      <c r="M8" s="314">
        <f t="shared" si="0"/>
        <v>0</v>
      </c>
      <c r="N8" s="310"/>
      <c r="O8" s="315"/>
      <c r="P8" s="315"/>
      <c r="Q8" s="315"/>
      <c r="R8" s="31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row>
    <row r="9" spans="1:113" x14ac:dyDescent="0.25">
      <c r="A9" s="152">
        <v>3</v>
      </c>
      <c r="B9" s="79" t="s">
        <v>217</v>
      </c>
      <c r="C9" s="80">
        <v>6500</v>
      </c>
      <c r="D9" s="142">
        <v>1535.6</v>
      </c>
      <c r="E9" s="43">
        <v>2</v>
      </c>
      <c r="F9" s="60"/>
      <c r="G9" s="139">
        <f t="shared" si="1"/>
        <v>2</v>
      </c>
      <c r="H9" s="55"/>
      <c r="I9" s="56">
        <f t="shared" si="2"/>
        <v>2</v>
      </c>
      <c r="J9" s="56">
        <f t="shared" si="3"/>
        <v>13000</v>
      </c>
      <c r="K9" s="57">
        <f t="shared" si="4"/>
        <v>3071.2</v>
      </c>
      <c r="L9"/>
      <c r="M9" s="314">
        <f t="shared" si="0"/>
        <v>0</v>
      </c>
      <c r="N9" s="310"/>
      <c r="O9" s="315"/>
      <c r="P9" s="315"/>
      <c r="Q9" s="315"/>
      <c r="R9" s="31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row>
    <row r="10" spans="1:113" x14ac:dyDescent="0.25">
      <c r="A10" s="152">
        <v>4</v>
      </c>
      <c r="B10" s="79" t="s">
        <v>218</v>
      </c>
      <c r="C10" s="80">
        <v>5000</v>
      </c>
      <c r="D10" s="142">
        <v>1160.6099999999999</v>
      </c>
      <c r="E10" s="43">
        <v>174</v>
      </c>
      <c r="F10" s="60"/>
      <c r="G10" s="139">
        <f t="shared" si="1"/>
        <v>174</v>
      </c>
      <c r="H10" s="55"/>
      <c r="I10" s="56">
        <f t="shared" si="2"/>
        <v>174</v>
      </c>
      <c r="J10" s="56">
        <f t="shared" si="3"/>
        <v>870000</v>
      </c>
      <c r="K10" s="57">
        <f t="shared" si="4"/>
        <v>201946.13999999998</v>
      </c>
      <c r="L10"/>
      <c r="M10" s="314">
        <f t="shared" si="0"/>
        <v>0</v>
      </c>
      <c r="N10" s="310"/>
      <c r="O10" s="315"/>
      <c r="P10" s="315"/>
      <c r="Q10" s="315"/>
      <c r="R10" s="31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row>
    <row r="11" spans="1:113" x14ac:dyDescent="0.25">
      <c r="A11" s="152">
        <v>5</v>
      </c>
      <c r="B11" s="79" t="s">
        <v>219</v>
      </c>
      <c r="C11" s="80">
        <v>6500</v>
      </c>
      <c r="D11" s="142">
        <v>1246.8800000000001</v>
      </c>
      <c r="E11" s="43">
        <v>1534</v>
      </c>
      <c r="F11" s="60"/>
      <c r="G11" s="139">
        <f t="shared" si="1"/>
        <v>1534</v>
      </c>
      <c r="H11" s="55"/>
      <c r="I11" s="56">
        <f t="shared" si="2"/>
        <v>1534</v>
      </c>
      <c r="J11" s="56">
        <f t="shared" si="3"/>
        <v>9971000</v>
      </c>
      <c r="K11" s="57">
        <f t="shared" si="4"/>
        <v>1912713.9200000002</v>
      </c>
      <c r="L11"/>
      <c r="M11" s="314">
        <f t="shared" si="0"/>
        <v>0</v>
      </c>
      <c r="N11" s="310"/>
      <c r="O11" s="315"/>
      <c r="P11" s="315"/>
      <c r="Q11" s="315"/>
      <c r="R11" s="31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5"/>
      <c r="DD11" s="55"/>
      <c r="DE11" s="55"/>
      <c r="DF11" s="55"/>
      <c r="DG11" s="55"/>
      <c r="DH11" s="55"/>
      <c r="DI11" s="55"/>
    </row>
    <row r="12" spans="1:113" x14ac:dyDescent="0.25">
      <c r="A12" s="152">
        <v>6</v>
      </c>
      <c r="B12" s="79" t="s">
        <v>220</v>
      </c>
      <c r="C12" s="80">
        <v>8500</v>
      </c>
      <c r="D12" s="142">
        <v>2312.6</v>
      </c>
      <c r="E12" s="43">
        <v>149</v>
      </c>
      <c r="F12" s="60"/>
      <c r="G12" s="139">
        <f t="shared" si="1"/>
        <v>149</v>
      </c>
      <c r="H12" s="55"/>
      <c r="I12" s="56">
        <f t="shared" si="2"/>
        <v>149</v>
      </c>
      <c r="J12" s="56">
        <f t="shared" si="3"/>
        <v>1266500</v>
      </c>
      <c r="K12" s="57">
        <f t="shared" si="4"/>
        <v>344577.39999999997</v>
      </c>
      <c r="L12"/>
      <c r="M12" s="314">
        <f t="shared" si="0"/>
        <v>0</v>
      </c>
      <c r="N12" s="310"/>
      <c r="O12" s="315"/>
      <c r="P12" s="315"/>
      <c r="Q12" s="315"/>
      <c r="R12" s="31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row>
    <row r="13" spans="1:113" x14ac:dyDescent="0.25">
      <c r="A13" s="152">
        <v>7</v>
      </c>
      <c r="B13" s="79" t="s">
        <v>221</v>
      </c>
      <c r="C13" s="80">
        <v>5000</v>
      </c>
      <c r="D13" s="142">
        <v>791.34</v>
      </c>
      <c r="E13" s="43">
        <v>90</v>
      </c>
      <c r="F13" s="60"/>
      <c r="G13" s="139">
        <f t="shared" si="1"/>
        <v>90</v>
      </c>
      <c r="H13" s="55"/>
      <c r="I13" s="56">
        <f t="shared" si="2"/>
        <v>90</v>
      </c>
      <c r="J13" s="56">
        <f t="shared" si="3"/>
        <v>450000</v>
      </c>
      <c r="K13" s="57">
        <f t="shared" si="4"/>
        <v>71220.600000000006</v>
      </c>
      <c r="L13"/>
      <c r="M13" s="314">
        <f t="shared" si="0"/>
        <v>0</v>
      </c>
      <c r="N13" s="310"/>
      <c r="O13" s="315"/>
      <c r="P13" s="315"/>
      <c r="Q13" s="315"/>
      <c r="R13" s="31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c r="CN13" s="55"/>
      <c r="CO13" s="55"/>
      <c r="CP13" s="55"/>
      <c r="CQ13" s="55"/>
      <c r="CR13" s="55"/>
      <c r="CS13" s="55"/>
      <c r="CT13" s="55"/>
      <c r="CU13" s="55"/>
      <c r="CV13" s="55"/>
      <c r="CW13" s="55"/>
      <c r="CX13" s="55"/>
      <c r="CY13" s="55"/>
      <c r="CZ13" s="55"/>
      <c r="DA13" s="55"/>
      <c r="DB13" s="55"/>
      <c r="DC13" s="55"/>
      <c r="DD13" s="55"/>
      <c r="DE13" s="55"/>
      <c r="DF13" s="55"/>
      <c r="DG13" s="55"/>
      <c r="DH13" s="55"/>
      <c r="DI13" s="55"/>
    </row>
    <row r="14" spans="1:113" x14ac:dyDescent="0.25">
      <c r="A14" s="152">
        <v>8</v>
      </c>
      <c r="B14" s="79" t="s">
        <v>222</v>
      </c>
      <c r="C14" s="80">
        <v>5000</v>
      </c>
      <c r="D14" s="142">
        <v>791.34</v>
      </c>
      <c r="E14" s="43">
        <v>50</v>
      </c>
      <c r="F14" s="60"/>
      <c r="G14" s="139">
        <f t="shared" si="1"/>
        <v>50</v>
      </c>
      <c r="H14" s="55"/>
      <c r="I14" s="56">
        <f t="shared" si="2"/>
        <v>50</v>
      </c>
      <c r="J14" s="56">
        <f t="shared" si="3"/>
        <v>250000</v>
      </c>
      <c r="K14" s="57">
        <f t="shared" si="4"/>
        <v>39567</v>
      </c>
      <c r="L14"/>
      <c r="M14" s="314">
        <f t="shared" si="0"/>
        <v>0</v>
      </c>
      <c r="N14" s="310"/>
      <c r="O14" s="315"/>
      <c r="P14" s="315"/>
      <c r="Q14" s="315"/>
      <c r="R14" s="31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55"/>
      <c r="CZ14" s="55"/>
      <c r="DA14" s="55"/>
      <c r="DB14" s="55"/>
      <c r="DC14" s="55"/>
      <c r="DD14" s="55"/>
      <c r="DE14" s="55"/>
      <c r="DF14" s="55"/>
      <c r="DG14" s="55"/>
      <c r="DH14" s="55"/>
      <c r="DI14" s="55"/>
    </row>
    <row r="15" spans="1:113" x14ac:dyDescent="0.25">
      <c r="A15" s="152">
        <v>9</v>
      </c>
      <c r="B15" s="79" t="s">
        <v>223</v>
      </c>
      <c r="C15" s="80">
        <v>3500</v>
      </c>
      <c r="D15" s="142">
        <v>791.34</v>
      </c>
      <c r="E15" s="43">
        <v>90</v>
      </c>
      <c r="F15" s="60"/>
      <c r="G15" s="139">
        <f t="shared" si="1"/>
        <v>90</v>
      </c>
      <c r="H15" s="55"/>
      <c r="I15" s="56">
        <f t="shared" si="2"/>
        <v>90</v>
      </c>
      <c r="J15" s="56">
        <f t="shared" si="3"/>
        <v>315000</v>
      </c>
      <c r="K15" s="57">
        <f t="shared" si="4"/>
        <v>71220.600000000006</v>
      </c>
      <c r="L15"/>
      <c r="M15" s="314">
        <f t="shared" si="0"/>
        <v>0</v>
      </c>
      <c r="N15" s="310"/>
      <c r="O15" s="315"/>
      <c r="P15" s="315"/>
      <c r="Q15" s="315"/>
      <c r="R15" s="31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c r="CN15" s="55"/>
      <c r="CO15" s="55"/>
      <c r="CP15" s="55"/>
      <c r="CQ15" s="55"/>
      <c r="CR15" s="55"/>
      <c r="CS15" s="55"/>
      <c r="CT15" s="55"/>
      <c r="CU15" s="55"/>
      <c r="CV15" s="55"/>
      <c r="CW15" s="55"/>
      <c r="CX15" s="55"/>
      <c r="CY15" s="55"/>
      <c r="CZ15" s="55"/>
      <c r="DA15" s="55"/>
      <c r="DB15" s="55"/>
      <c r="DC15" s="55"/>
      <c r="DD15" s="55"/>
      <c r="DE15" s="55"/>
      <c r="DF15" s="55"/>
      <c r="DG15" s="55"/>
      <c r="DH15" s="55"/>
      <c r="DI15" s="55"/>
    </row>
    <row r="16" spans="1:113" x14ac:dyDescent="0.25">
      <c r="A16" s="152">
        <v>10</v>
      </c>
      <c r="B16" s="79" t="s">
        <v>224</v>
      </c>
      <c r="C16" s="80">
        <v>3500</v>
      </c>
      <c r="D16" s="142">
        <v>996.33</v>
      </c>
      <c r="E16" s="43">
        <v>80</v>
      </c>
      <c r="F16" s="60"/>
      <c r="G16" s="139">
        <f t="shared" si="1"/>
        <v>80</v>
      </c>
      <c r="H16" s="55"/>
      <c r="I16" s="56">
        <f t="shared" si="2"/>
        <v>80</v>
      </c>
      <c r="J16" s="56">
        <f t="shared" si="3"/>
        <v>280000</v>
      </c>
      <c r="K16" s="57">
        <f t="shared" si="4"/>
        <v>79706.400000000009</v>
      </c>
      <c r="L16"/>
      <c r="M16" s="314">
        <f t="shared" si="0"/>
        <v>0</v>
      </c>
      <c r="N16" s="310"/>
      <c r="O16" s="315"/>
      <c r="P16" s="315"/>
      <c r="Q16" s="315"/>
      <c r="R16" s="31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row>
    <row r="17" spans="1:113" x14ac:dyDescent="0.25">
      <c r="A17" s="152">
        <v>11</v>
      </c>
      <c r="B17" s="79" t="s">
        <v>225</v>
      </c>
      <c r="C17" s="80">
        <v>9000</v>
      </c>
      <c r="D17" s="142">
        <v>1303.49</v>
      </c>
      <c r="E17" s="43">
        <v>177</v>
      </c>
      <c r="F17" s="60"/>
      <c r="G17" s="139">
        <f t="shared" si="1"/>
        <v>177</v>
      </c>
      <c r="H17" s="55"/>
      <c r="I17" s="56">
        <f t="shared" si="2"/>
        <v>177</v>
      </c>
      <c r="J17" s="56">
        <f t="shared" si="3"/>
        <v>1593000</v>
      </c>
      <c r="K17" s="57">
        <f t="shared" si="4"/>
        <v>230717.73</v>
      </c>
      <c r="L17"/>
      <c r="M17" s="314">
        <f t="shared" si="0"/>
        <v>0</v>
      </c>
      <c r="N17" s="310"/>
      <c r="O17" s="315"/>
      <c r="P17" s="315"/>
      <c r="Q17" s="315"/>
      <c r="R17" s="31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5"/>
      <c r="CR17" s="55"/>
      <c r="CS17" s="55"/>
      <c r="CT17" s="55"/>
      <c r="CU17" s="55"/>
      <c r="CV17" s="55"/>
      <c r="CW17" s="55"/>
      <c r="CX17" s="55"/>
      <c r="CY17" s="55"/>
      <c r="CZ17" s="55"/>
      <c r="DA17" s="55"/>
      <c r="DB17" s="55"/>
      <c r="DC17" s="55"/>
      <c r="DD17" s="55"/>
      <c r="DE17" s="55"/>
      <c r="DF17" s="55"/>
      <c r="DG17" s="55"/>
      <c r="DH17" s="55"/>
      <c r="DI17" s="55"/>
    </row>
    <row r="18" spans="1:113" x14ac:dyDescent="0.25">
      <c r="A18" s="152">
        <v>12</v>
      </c>
      <c r="B18" s="79" t="s">
        <v>226</v>
      </c>
      <c r="C18" s="80">
        <v>3500</v>
      </c>
      <c r="D18" s="142">
        <v>995.67</v>
      </c>
      <c r="E18" s="43">
        <v>150</v>
      </c>
      <c r="F18" s="60"/>
      <c r="G18" s="139">
        <f t="shared" si="1"/>
        <v>150</v>
      </c>
      <c r="H18" s="55"/>
      <c r="I18" s="56">
        <f t="shared" si="2"/>
        <v>150</v>
      </c>
      <c r="J18" s="56">
        <f t="shared" si="3"/>
        <v>525000</v>
      </c>
      <c r="K18" s="57">
        <f t="shared" si="4"/>
        <v>149350.5</v>
      </c>
      <c r="L18"/>
      <c r="M18" s="314">
        <f t="shared" si="0"/>
        <v>0</v>
      </c>
      <c r="N18" s="310"/>
      <c r="O18" s="315"/>
      <c r="P18" s="315"/>
      <c r="Q18" s="315"/>
      <c r="R18" s="31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row>
    <row r="19" spans="1:113" x14ac:dyDescent="0.25">
      <c r="A19" s="152">
        <v>13</v>
      </c>
      <c r="B19" s="79" t="s">
        <v>227</v>
      </c>
      <c r="C19" s="80">
        <v>5000</v>
      </c>
      <c r="D19" s="142">
        <v>901.64</v>
      </c>
      <c r="E19" s="43">
        <v>69</v>
      </c>
      <c r="F19" s="60"/>
      <c r="G19" s="139">
        <f t="shared" si="1"/>
        <v>69</v>
      </c>
      <c r="H19" s="55"/>
      <c r="I19" s="56">
        <f t="shared" si="2"/>
        <v>69</v>
      </c>
      <c r="J19" s="56">
        <f t="shared" si="3"/>
        <v>345000</v>
      </c>
      <c r="K19" s="57">
        <f t="shared" si="4"/>
        <v>62213.159999999996</v>
      </c>
      <c r="L19"/>
      <c r="M19" s="314">
        <f t="shared" si="0"/>
        <v>0</v>
      </c>
      <c r="N19" s="310"/>
      <c r="O19" s="315"/>
      <c r="P19" s="315"/>
      <c r="Q19" s="315"/>
      <c r="R19" s="31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row>
    <row r="20" spans="1:113" x14ac:dyDescent="0.25">
      <c r="A20" s="152">
        <v>14</v>
      </c>
      <c r="B20" s="79" t="s">
        <v>228</v>
      </c>
      <c r="C20" s="80">
        <v>10000</v>
      </c>
      <c r="D20" s="142">
        <v>801.16</v>
      </c>
      <c r="E20" s="43">
        <v>897</v>
      </c>
      <c r="F20" s="60"/>
      <c r="G20" s="139">
        <f t="shared" si="1"/>
        <v>897</v>
      </c>
      <c r="H20" s="55"/>
      <c r="I20" s="56">
        <f t="shared" si="2"/>
        <v>897</v>
      </c>
      <c r="J20" s="56">
        <f t="shared" si="3"/>
        <v>8970000</v>
      </c>
      <c r="K20" s="57">
        <f t="shared" si="4"/>
        <v>718640.52</v>
      </c>
      <c r="L20"/>
      <c r="M20" s="314">
        <f t="shared" si="0"/>
        <v>0</v>
      </c>
      <c r="N20" s="310"/>
      <c r="O20" s="315"/>
      <c r="P20" s="315"/>
      <c r="Q20" s="315"/>
      <c r="R20" s="31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row>
    <row r="21" spans="1:113" x14ac:dyDescent="0.25">
      <c r="A21" s="152">
        <v>15</v>
      </c>
      <c r="B21" s="79" t="s">
        <v>229</v>
      </c>
      <c r="C21" s="80">
        <v>9000</v>
      </c>
      <c r="D21" s="142">
        <v>2206.42</v>
      </c>
      <c r="E21" s="43">
        <v>183</v>
      </c>
      <c r="F21" s="60"/>
      <c r="G21" s="139">
        <f t="shared" si="1"/>
        <v>183</v>
      </c>
      <c r="H21" s="55"/>
      <c r="I21" s="56">
        <f t="shared" si="2"/>
        <v>183</v>
      </c>
      <c r="J21" s="56">
        <f t="shared" si="3"/>
        <v>1647000</v>
      </c>
      <c r="K21" s="57">
        <f t="shared" si="4"/>
        <v>403774.86</v>
      </c>
      <c r="L21"/>
      <c r="M21" s="314">
        <f t="shared" si="0"/>
        <v>0</v>
      </c>
      <c r="N21" s="310"/>
      <c r="O21" s="315"/>
      <c r="P21" s="315"/>
      <c r="Q21" s="315"/>
      <c r="R21" s="31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row>
    <row r="22" spans="1:113" x14ac:dyDescent="0.25">
      <c r="A22" s="152">
        <v>16</v>
      </c>
      <c r="B22" s="79" t="s">
        <v>230</v>
      </c>
      <c r="C22" s="80">
        <v>6500</v>
      </c>
      <c r="D22" s="142">
        <v>1303.49</v>
      </c>
      <c r="E22" s="43">
        <v>173</v>
      </c>
      <c r="F22" s="60"/>
      <c r="G22" s="139">
        <f t="shared" si="1"/>
        <v>173</v>
      </c>
      <c r="H22" s="55"/>
      <c r="I22" s="56">
        <f t="shared" si="2"/>
        <v>173</v>
      </c>
      <c r="J22" s="56">
        <f t="shared" si="3"/>
        <v>1124500</v>
      </c>
      <c r="K22" s="57">
        <f t="shared" si="4"/>
        <v>225503.77</v>
      </c>
      <c r="L22"/>
      <c r="M22" s="314">
        <f t="shared" si="0"/>
        <v>0</v>
      </c>
      <c r="N22" s="310"/>
      <c r="O22" s="315"/>
      <c r="P22" s="315"/>
      <c r="Q22" s="315"/>
      <c r="R22" s="31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row>
    <row r="23" spans="1:113" x14ac:dyDescent="0.25">
      <c r="A23" s="152">
        <v>17</v>
      </c>
      <c r="B23" s="79" t="s">
        <v>231</v>
      </c>
      <c r="C23" s="80">
        <v>3500</v>
      </c>
      <c r="D23" s="142">
        <v>845.66</v>
      </c>
      <c r="E23" s="43">
        <v>65</v>
      </c>
      <c r="F23" s="60"/>
      <c r="G23" s="139">
        <f t="shared" si="1"/>
        <v>65</v>
      </c>
      <c r="H23" s="55"/>
      <c r="I23" s="56">
        <f t="shared" si="2"/>
        <v>65</v>
      </c>
      <c r="J23" s="56">
        <f t="shared" si="3"/>
        <v>227500</v>
      </c>
      <c r="K23" s="57">
        <f t="shared" si="4"/>
        <v>54967.9</v>
      </c>
      <c r="L23"/>
      <c r="M23" s="314">
        <f t="shared" si="0"/>
        <v>0</v>
      </c>
      <c r="N23" s="310"/>
      <c r="O23" s="315"/>
      <c r="P23" s="315"/>
      <c r="Q23" s="315"/>
      <c r="R23" s="31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5"/>
      <c r="DF23" s="55"/>
      <c r="DG23" s="55"/>
      <c r="DH23" s="55"/>
      <c r="DI23" s="55"/>
    </row>
    <row r="24" spans="1:113" x14ac:dyDescent="0.25">
      <c r="A24" s="152">
        <v>18</v>
      </c>
      <c r="B24" s="79" t="s">
        <v>232</v>
      </c>
      <c r="C24" s="80">
        <v>24000</v>
      </c>
      <c r="D24" s="142">
        <v>2260.4699999999998</v>
      </c>
      <c r="E24" s="43">
        <v>25</v>
      </c>
      <c r="F24" s="60"/>
      <c r="G24" s="139">
        <f t="shared" si="1"/>
        <v>25</v>
      </c>
      <c r="H24" s="55"/>
      <c r="I24" s="56">
        <f t="shared" si="2"/>
        <v>25</v>
      </c>
      <c r="J24" s="56">
        <f t="shared" si="3"/>
        <v>600000</v>
      </c>
      <c r="K24" s="57">
        <f t="shared" si="4"/>
        <v>56511.749999999993</v>
      </c>
      <c r="L24"/>
      <c r="M24" s="314">
        <f t="shared" si="0"/>
        <v>0</v>
      </c>
      <c r="N24" s="310"/>
      <c r="O24" s="315"/>
      <c r="P24" s="315"/>
      <c r="Q24" s="315"/>
      <c r="R24" s="31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55"/>
      <c r="CB24" s="55"/>
      <c r="CC24" s="55"/>
      <c r="CD24" s="55"/>
      <c r="CE24" s="55"/>
      <c r="CF24" s="55"/>
      <c r="CG24" s="55"/>
      <c r="CH24" s="55"/>
      <c r="CI24" s="55"/>
      <c r="CJ24" s="55"/>
      <c r="CK24" s="55"/>
      <c r="CL24" s="55"/>
      <c r="CM24" s="55"/>
      <c r="CN24" s="55"/>
      <c r="CO24" s="55"/>
      <c r="CP24" s="55"/>
      <c r="CQ24" s="55"/>
      <c r="CR24" s="55"/>
      <c r="CS24" s="55"/>
      <c r="CT24" s="55"/>
      <c r="CU24" s="55"/>
      <c r="CV24" s="55"/>
      <c r="CW24" s="55"/>
      <c r="CX24" s="55"/>
      <c r="CY24" s="55"/>
      <c r="CZ24" s="55"/>
      <c r="DA24" s="55"/>
      <c r="DB24" s="55"/>
      <c r="DC24" s="55"/>
      <c r="DD24" s="55"/>
      <c r="DE24" s="55"/>
      <c r="DF24" s="55"/>
      <c r="DG24" s="55"/>
      <c r="DH24" s="55"/>
      <c r="DI24" s="55"/>
    </row>
    <row r="25" spans="1:113" ht="15.75" thickBot="1" x14ac:dyDescent="0.3">
      <c r="A25" s="153">
        <v>19</v>
      </c>
      <c r="B25" s="144" t="s">
        <v>233</v>
      </c>
      <c r="C25" s="82">
        <v>10000</v>
      </c>
      <c r="D25" s="145">
        <v>1709.4</v>
      </c>
      <c r="E25" s="154">
        <v>1052</v>
      </c>
      <c r="F25" s="156"/>
      <c r="G25" s="147">
        <f t="shared" si="1"/>
        <v>1052</v>
      </c>
      <c r="H25" s="58"/>
      <c r="I25" s="64">
        <f t="shared" si="2"/>
        <v>1052</v>
      </c>
      <c r="J25" s="64">
        <f t="shared" si="3"/>
        <v>10520000</v>
      </c>
      <c r="K25" s="65">
        <f t="shared" si="4"/>
        <v>1798288.8</v>
      </c>
      <c r="L25"/>
      <c r="M25" s="314">
        <f t="shared" si="0"/>
        <v>0</v>
      </c>
      <c r="N25" s="310"/>
      <c r="O25" s="315"/>
      <c r="P25" s="315"/>
      <c r="Q25" s="315"/>
      <c r="R25" s="31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55"/>
      <c r="CZ25" s="55"/>
      <c r="DA25" s="55"/>
      <c r="DB25" s="55"/>
      <c r="DC25" s="55"/>
      <c r="DD25" s="55"/>
      <c r="DE25" s="55"/>
      <c r="DF25" s="55"/>
      <c r="DG25" s="55"/>
      <c r="DH25" s="55"/>
      <c r="DI25" s="55"/>
    </row>
    <row r="26" spans="1:113" ht="15.75" thickBot="1" x14ac:dyDescent="0.3">
      <c r="A26" s="128"/>
      <c r="B26" s="119" t="s">
        <v>658</v>
      </c>
      <c r="C26" s="36"/>
      <c r="D26" s="39"/>
      <c r="E26" s="29">
        <f>SUM(E7:E25)</f>
        <v>5139</v>
      </c>
      <c r="F26" s="36"/>
      <c r="G26" s="29">
        <f>SUM(G7:G25)</f>
        <v>5139</v>
      </c>
      <c r="H26" s="29">
        <f>SUM(H7:H25)</f>
        <v>0</v>
      </c>
      <c r="I26" s="29">
        <f>SUM(I7:I25)</f>
        <v>5139</v>
      </c>
      <c r="J26" s="29">
        <f t="shared" ref="J26:K26" si="5">SUM(J7:J25)</f>
        <v>44703500</v>
      </c>
      <c r="K26" s="47">
        <f t="shared" si="5"/>
        <v>7169855.4500000002</v>
      </c>
      <c r="L26"/>
      <c r="M26" s="326">
        <f t="shared" si="0"/>
        <v>0</v>
      </c>
      <c r="N26" s="325"/>
      <c r="O26" s="325"/>
      <c r="P26" s="325"/>
      <c r="Q26" s="325"/>
      <c r="R26" s="325"/>
      <c r="S26" s="324"/>
      <c r="T26" s="324"/>
      <c r="U26" s="324"/>
      <c r="V26" s="324"/>
      <c r="W26" s="324"/>
      <c r="X26" s="324"/>
      <c r="Y26" s="324"/>
      <c r="Z26" s="324"/>
      <c r="AA26" s="324"/>
      <c r="AB26" s="324"/>
      <c r="AC26" s="324"/>
      <c r="AD26" s="324"/>
      <c r="AE26" s="324"/>
      <c r="AF26" s="324"/>
      <c r="AG26" s="324"/>
      <c r="AH26" s="324"/>
      <c r="AI26" s="324"/>
      <c r="AJ26" s="324"/>
      <c r="AK26" s="324"/>
      <c r="AL26" s="324"/>
      <c r="AM26" s="324"/>
      <c r="AN26" s="324"/>
      <c r="AO26" s="324"/>
      <c r="AP26" s="324"/>
      <c r="AQ26" s="324"/>
      <c r="AR26" s="324"/>
      <c r="AS26" s="324"/>
      <c r="AT26" s="324"/>
      <c r="AU26" s="324"/>
      <c r="AV26" s="324"/>
      <c r="AW26" s="324"/>
      <c r="AX26" s="324"/>
      <c r="AY26" s="324"/>
      <c r="AZ26" s="324"/>
      <c r="BA26" s="324"/>
      <c r="BB26" s="324"/>
      <c r="BC26" s="324"/>
      <c r="BD26" s="324"/>
      <c r="BE26" s="324"/>
      <c r="BF26" s="324"/>
      <c r="BG26" s="324"/>
      <c r="BH26" s="324"/>
      <c r="BI26" s="324"/>
      <c r="BJ26" s="324"/>
      <c r="BK26" s="324"/>
      <c r="BL26" s="324"/>
      <c r="BM26" s="324"/>
      <c r="BN26" s="324"/>
      <c r="BO26" s="324"/>
      <c r="BP26" s="324"/>
      <c r="BQ26" s="324"/>
      <c r="BR26" s="324"/>
      <c r="BS26" s="324"/>
      <c r="BT26" s="324"/>
      <c r="BU26" s="324"/>
      <c r="BV26" s="324"/>
      <c r="BW26" s="324"/>
      <c r="BX26" s="324"/>
      <c r="BY26" s="324"/>
      <c r="BZ26" s="324"/>
      <c r="CA26" s="324"/>
      <c r="CB26" s="324"/>
      <c r="CC26" s="324"/>
      <c r="CD26" s="324"/>
      <c r="CE26" s="324"/>
      <c r="CF26" s="324"/>
      <c r="CG26" s="324"/>
      <c r="CH26" s="324"/>
      <c r="CI26" s="324"/>
      <c r="CJ26" s="324"/>
      <c r="CK26" s="324"/>
      <c r="CL26" s="324"/>
      <c r="CM26" s="324"/>
      <c r="CN26" s="324"/>
      <c r="CO26" s="324"/>
      <c r="CP26" s="324"/>
      <c r="CQ26" s="324"/>
      <c r="CR26" s="324"/>
      <c r="CS26" s="324"/>
      <c r="CT26" s="324"/>
      <c r="CU26" s="324"/>
      <c r="CV26" s="324"/>
      <c r="CW26" s="324"/>
      <c r="CX26" s="324"/>
      <c r="CY26" s="324"/>
      <c r="CZ26" s="324"/>
      <c r="DA26" s="324"/>
      <c r="DB26" s="324"/>
      <c r="DC26" s="324"/>
      <c r="DD26" s="324"/>
      <c r="DE26" s="324"/>
      <c r="DF26" s="324"/>
      <c r="DG26" s="324"/>
      <c r="DH26" s="324"/>
      <c r="DI26" s="324"/>
    </row>
    <row r="27" spans="1:113" ht="15.75" thickBot="1" x14ac:dyDescent="0.3">
      <c r="B27" s="161"/>
      <c r="C27" s="162"/>
      <c r="D27" s="163"/>
      <c r="E27" s="164"/>
      <c r="F27" s="67"/>
      <c r="G27" s="164"/>
      <c r="H27" s="164"/>
      <c r="I27" s="164"/>
      <c r="J27" s="164"/>
      <c r="K27" s="163"/>
      <c r="L27"/>
      <c r="M27"/>
      <c r="N27"/>
      <c r="O27"/>
      <c r="P27"/>
      <c r="Q27"/>
      <c r="R27"/>
      <c r="S27"/>
      <c r="T27"/>
      <c r="U27"/>
      <c r="V27"/>
    </row>
    <row r="28" spans="1:113" ht="15.75" thickBot="1" x14ac:dyDescent="0.3">
      <c r="A28" s="407" t="s">
        <v>657</v>
      </c>
      <c r="B28" s="414" t="s">
        <v>708</v>
      </c>
      <c r="C28" s="414" t="s">
        <v>1</v>
      </c>
      <c r="D28" s="415" t="s">
        <v>649</v>
      </c>
      <c r="E28" s="416" t="s">
        <v>19</v>
      </c>
      <c r="F28" s="416"/>
      <c r="G28" s="416"/>
      <c r="H28" s="416"/>
      <c r="I28" s="416"/>
      <c r="J28" s="410" t="s">
        <v>21</v>
      </c>
      <c r="K28" s="417" t="s">
        <v>602</v>
      </c>
      <c r="L28"/>
      <c r="M28" s="403" t="s">
        <v>601</v>
      </c>
      <c r="N28" s="403" t="s">
        <v>924</v>
      </c>
      <c r="O28" s="403"/>
      <c r="P28" s="403"/>
      <c r="Q28" s="403"/>
      <c r="R28" s="403"/>
      <c r="S28" s="403"/>
      <c r="T28" s="403"/>
      <c r="U28" s="403"/>
      <c r="V28" s="403"/>
      <c r="W28" s="403"/>
      <c r="X28" s="403"/>
      <c r="Y28" s="403"/>
      <c r="Z28" s="403"/>
      <c r="AA28" s="403"/>
      <c r="AB28" s="403"/>
      <c r="AC28" s="403"/>
      <c r="AD28" s="403"/>
      <c r="AE28" s="403"/>
      <c r="AF28" s="403"/>
      <c r="AG28" s="403"/>
      <c r="AH28" s="403"/>
      <c r="AI28" s="403"/>
      <c r="AJ28" s="403"/>
      <c r="AK28" s="403"/>
      <c r="AL28" s="403"/>
      <c r="AM28" s="403"/>
      <c r="AN28" s="403"/>
      <c r="AO28" s="403"/>
      <c r="AP28" s="403"/>
      <c r="AQ28" s="403"/>
      <c r="AR28" s="403"/>
      <c r="AS28" s="403"/>
      <c r="AT28" s="403"/>
      <c r="AU28" s="403"/>
      <c r="AV28" s="403"/>
      <c r="AW28" s="403"/>
      <c r="AX28" s="403"/>
      <c r="AY28" s="403"/>
      <c r="AZ28" s="403"/>
      <c r="BA28" s="403"/>
      <c r="BB28" s="403"/>
      <c r="BC28" s="403"/>
      <c r="BD28" s="403"/>
      <c r="BE28" s="403"/>
      <c r="BF28" s="403"/>
      <c r="BG28" s="403"/>
      <c r="BH28" s="403"/>
      <c r="BI28" s="403"/>
      <c r="BJ28" s="403"/>
      <c r="BK28" s="403"/>
      <c r="BL28" s="403"/>
      <c r="BM28" s="403"/>
      <c r="BN28" s="403"/>
      <c r="BO28" s="403"/>
      <c r="BP28" s="403"/>
      <c r="BQ28" s="403"/>
      <c r="BR28" s="403"/>
      <c r="BS28" s="403"/>
      <c r="BT28" s="403"/>
      <c r="BU28" s="403"/>
      <c r="BV28" s="403"/>
      <c r="BW28" s="403"/>
      <c r="BX28" s="403"/>
      <c r="BY28" s="403"/>
      <c r="BZ28" s="403"/>
      <c r="CA28" s="403"/>
      <c r="CB28" s="403"/>
      <c r="CC28" s="403"/>
      <c r="CD28" s="403"/>
      <c r="CE28" s="403"/>
      <c r="CF28" s="403"/>
      <c r="CG28" s="403"/>
      <c r="CH28" s="403"/>
      <c r="CI28" s="403"/>
      <c r="CJ28" s="403"/>
      <c r="CK28" s="403"/>
      <c r="CL28" s="403"/>
      <c r="CM28" s="403"/>
      <c r="CN28" s="403"/>
      <c r="CO28" s="403"/>
      <c r="CP28" s="403"/>
      <c r="CQ28" s="403"/>
      <c r="CR28" s="403"/>
      <c r="CS28" s="403"/>
      <c r="CT28" s="403"/>
      <c r="CU28" s="403"/>
      <c r="CV28" s="403"/>
      <c r="CW28" s="403"/>
      <c r="CX28" s="403"/>
      <c r="CY28" s="403"/>
      <c r="CZ28" s="403"/>
      <c r="DA28" s="403"/>
      <c r="DB28" s="403"/>
      <c r="DC28" s="403"/>
      <c r="DD28" s="403"/>
      <c r="DE28" s="403"/>
      <c r="DF28" s="403"/>
      <c r="DG28" s="403"/>
      <c r="DH28" s="403"/>
      <c r="DI28" s="403"/>
    </row>
    <row r="29" spans="1:113" ht="30.75" thickBot="1" x14ac:dyDescent="0.3">
      <c r="A29" s="408"/>
      <c r="B29" s="414"/>
      <c r="C29" s="414"/>
      <c r="D29" s="415"/>
      <c r="E29" s="68" t="s">
        <v>22</v>
      </c>
      <c r="F29" s="68" t="s">
        <v>600</v>
      </c>
      <c r="G29" s="68" t="s">
        <v>601</v>
      </c>
      <c r="H29" s="68" t="s">
        <v>589</v>
      </c>
      <c r="I29" s="68" t="s">
        <v>601</v>
      </c>
      <c r="J29" s="411"/>
      <c r="K29" s="418"/>
      <c r="L29"/>
      <c r="M29" s="403"/>
      <c r="N29" s="400" t="s">
        <v>925</v>
      </c>
      <c r="O29" s="400" t="s">
        <v>926</v>
      </c>
      <c r="P29" s="400"/>
      <c r="Q29" s="400"/>
      <c r="R29" s="400"/>
      <c r="S29" s="398"/>
      <c r="T29" s="398"/>
      <c r="U29" s="398"/>
      <c r="V29" s="398"/>
      <c r="W29" s="398"/>
      <c r="X29" s="398"/>
      <c r="Y29" s="398"/>
      <c r="Z29" s="398"/>
      <c r="AA29" s="398"/>
      <c r="AB29" s="398"/>
      <c r="AC29" s="398"/>
      <c r="AD29" s="398"/>
      <c r="AE29" s="398"/>
      <c r="AF29" s="398"/>
      <c r="AG29" s="398"/>
      <c r="AH29" s="398"/>
      <c r="AI29" s="398"/>
      <c r="AJ29" s="398"/>
      <c r="AK29" s="398"/>
      <c r="AL29" s="398"/>
      <c r="AM29" s="398"/>
      <c r="AN29" s="398"/>
      <c r="AO29" s="398"/>
      <c r="AP29" s="398"/>
      <c r="AQ29" s="398"/>
      <c r="AR29" s="398"/>
      <c r="AS29" s="398"/>
      <c r="AT29" s="398"/>
      <c r="AU29" s="398"/>
      <c r="AV29" s="398"/>
      <c r="AW29" s="398"/>
      <c r="AX29" s="398"/>
      <c r="AY29" s="398"/>
      <c r="AZ29" s="398"/>
      <c r="BA29" s="398"/>
      <c r="BB29" s="398"/>
      <c r="BC29" s="398"/>
      <c r="BD29" s="398"/>
      <c r="BE29" s="398"/>
      <c r="BF29" s="398"/>
      <c r="BG29" s="398"/>
      <c r="BH29" s="398"/>
      <c r="BI29" s="398"/>
      <c r="BJ29" s="398"/>
      <c r="BK29" s="398"/>
      <c r="BL29" s="398"/>
      <c r="BM29" s="398"/>
      <c r="BN29" s="398"/>
      <c r="BO29" s="398"/>
      <c r="BP29" s="398"/>
      <c r="BQ29" s="398"/>
      <c r="BR29" s="398"/>
      <c r="BS29" s="398"/>
      <c r="BT29" s="398"/>
      <c r="BU29" s="398"/>
      <c r="BV29" s="398"/>
      <c r="BW29" s="398"/>
      <c r="BX29" s="398"/>
      <c r="BY29" s="398"/>
      <c r="BZ29" s="398"/>
      <c r="CA29" s="398"/>
      <c r="CB29" s="398"/>
      <c r="CC29" s="398"/>
      <c r="CD29" s="398"/>
      <c r="CE29" s="398"/>
      <c r="CF29" s="398"/>
      <c r="CG29" s="398"/>
      <c r="CH29" s="398"/>
      <c r="CI29" s="398"/>
      <c r="CJ29" s="398"/>
      <c r="CK29" s="398"/>
      <c r="CL29" s="398"/>
      <c r="CM29" s="398"/>
      <c r="CN29" s="398"/>
      <c r="CO29" s="398"/>
      <c r="CP29" s="398"/>
      <c r="CQ29" s="398"/>
      <c r="CR29" s="398"/>
      <c r="CS29" s="398"/>
      <c r="CT29" s="398"/>
      <c r="CU29" s="398"/>
      <c r="CV29" s="398"/>
      <c r="CW29" s="398"/>
      <c r="CX29" s="398"/>
      <c r="CY29" s="398"/>
      <c r="CZ29" s="398"/>
      <c r="DA29" s="398"/>
      <c r="DB29" s="398"/>
      <c r="DC29" s="398"/>
      <c r="DD29" s="398"/>
      <c r="DE29" s="398"/>
      <c r="DF29" s="398"/>
      <c r="DG29" s="398"/>
      <c r="DH29" s="398"/>
      <c r="DI29" s="398"/>
    </row>
    <row r="30" spans="1:113" ht="15.75" thickBot="1" x14ac:dyDescent="0.3">
      <c r="A30" s="409"/>
      <c r="B30" s="185">
        <v>1</v>
      </c>
      <c r="C30" s="185">
        <v>2</v>
      </c>
      <c r="D30" s="185">
        <v>3</v>
      </c>
      <c r="E30" s="70">
        <v>4</v>
      </c>
      <c r="F30" s="70">
        <f>+E30+1</f>
        <v>5</v>
      </c>
      <c r="G30" s="70" t="s">
        <v>652</v>
      </c>
      <c r="H30" s="70">
        <v>7</v>
      </c>
      <c r="I30" s="71" t="s">
        <v>651</v>
      </c>
      <c r="J30" s="42" t="s">
        <v>650</v>
      </c>
      <c r="K30" s="42" t="s">
        <v>653</v>
      </c>
      <c r="L30"/>
      <c r="M30" s="403"/>
      <c r="N30" s="402"/>
      <c r="O30" s="402"/>
      <c r="P30" s="402"/>
      <c r="Q30" s="402"/>
      <c r="R30" s="402"/>
      <c r="S30" s="399"/>
      <c r="T30" s="399"/>
      <c r="U30" s="399"/>
      <c r="V30" s="399"/>
      <c r="W30" s="399"/>
      <c r="X30" s="399"/>
      <c r="Y30" s="399"/>
      <c r="Z30" s="399"/>
      <c r="AA30" s="399"/>
      <c r="AB30" s="399"/>
      <c r="AC30" s="399"/>
      <c r="AD30" s="399"/>
      <c r="AE30" s="399"/>
      <c r="AF30" s="399"/>
      <c r="AG30" s="399"/>
      <c r="AH30" s="399"/>
      <c r="AI30" s="399"/>
      <c r="AJ30" s="399"/>
      <c r="AK30" s="399"/>
      <c r="AL30" s="399"/>
      <c r="AM30" s="399"/>
      <c r="AN30" s="399"/>
      <c r="AO30" s="399"/>
      <c r="AP30" s="399"/>
      <c r="AQ30" s="399"/>
      <c r="AR30" s="399"/>
      <c r="AS30" s="399"/>
      <c r="AT30" s="399"/>
      <c r="AU30" s="399"/>
      <c r="AV30" s="399"/>
      <c r="AW30" s="399"/>
      <c r="AX30" s="399"/>
      <c r="AY30" s="399"/>
      <c r="AZ30" s="399"/>
      <c r="BA30" s="399"/>
      <c r="BB30" s="399"/>
      <c r="BC30" s="399"/>
      <c r="BD30" s="399"/>
      <c r="BE30" s="399"/>
      <c r="BF30" s="399"/>
      <c r="BG30" s="399"/>
      <c r="BH30" s="399"/>
      <c r="BI30" s="399"/>
      <c r="BJ30" s="399"/>
      <c r="BK30" s="399"/>
      <c r="BL30" s="399"/>
      <c r="BM30" s="399"/>
      <c r="BN30" s="399"/>
      <c r="BO30" s="399"/>
      <c r="BP30" s="399"/>
      <c r="BQ30" s="399"/>
      <c r="BR30" s="399"/>
      <c r="BS30" s="399"/>
      <c r="BT30" s="399"/>
      <c r="BU30" s="399"/>
      <c r="BV30" s="399"/>
      <c r="BW30" s="399"/>
      <c r="BX30" s="399"/>
      <c r="BY30" s="399"/>
      <c r="BZ30" s="399"/>
      <c r="CA30" s="399"/>
      <c r="CB30" s="399"/>
      <c r="CC30" s="399"/>
      <c r="CD30" s="399"/>
      <c r="CE30" s="399"/>
      <c r="CF30" s="399"/>
      <c r="CG30" s="399"/>
      <c r="CH30" s="399"/>
      <c r="CI30" s="399"/>
      <c r="CJ30" s="399"/>
      <c r="CK30" s="399"/>
      <c r="CL30" s="399"/>
      <c r="CM30" s="399"/>
      <c r="CN30" s="399"/>
      <c r="CO30" s="399"/>
      <c r="CP30" s="399"/>
      <c r="CQ30" s="399"/>
      <c r="CR30" s="399"/>
      <c r="CS30" s="399"/>
      <c r="CT30" s="399"/>
      <c r="CU30" s="399"/>
      <c r="CV30" s="399"/>
      <c r="CW30" s="399"/>
      <c r="CX30" s="399"/>
      <c r="CY30" s="399"/>
      <c r="CZ30" s="399"/>
      <c r="DA30" s="399"/>
      <c r="DB30" s="399"/>
      <c r="DC30" s="399"/>
      <c r="DD30" s="399"/>
      <c r="DE30" s="399"/>
      <c r="DF30" s="399"/>
      <c r="DG30" s="399"/>
      <c r="DH30" s="399"/>
      <c r="DI30" s="399"/>
    </row>
    <row r="31" spans="1:113" x14ac:dyDescent="0.25">
      <c r="A31" s="160"/>
      <c r="B31" s="72" t="s">
        <v>694</v>
      </c>
      <c r="C31" s="54"/>
      <c r="D31" s="54"/>
      <c r="E31" s="54"/>
      <c r="F31" s="54"/>
      <c r="G31" s="54"/>
      <c r="H31" s="54"/>
      <c r="I31" s="54"/>
      <c r="J31" s="54"/>
      <c r="K31" s="54"/>
      <c r="L31"/>
      <c r="M31" s="314">
        <f t="shared" ref="M31:M44" si="6">SUM(N31:DJ31)</f>
        <v>0</v>
      </c>
      <c r="N31" s="310"/>
      <c r="O31" s="315"/>
      <c r="P31" s="315"/>
      <c r="Q31" s="315"/>
      <c r="R31" s="31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row>
    <row r="32" spans="1:113" x14ac:dyDescent="0.25">
      <c r="A32" s="152">
        <v>1</v>
      </c>
      <c r="B32" s="79" t="s">
        <v>234</v>
      </c>
      <c r="C32" s="80">
        <v>36000</v>
      </c>
      <c r="D32" s="142">
        <v>2356.5500000000002</v>
      </c>
      <c r="E32" s="43">
        <v>164</v>
      </c>
      <c r="F32" s="60"/>
      <c r="G32" s="139">
        <f t="shared" ref="G32:G43" si="7">+E32+F32</f>
        <v>164</v>
      </c>
      <c r="H32" s="55"/>
      <c r="I32" s="56">
        <f t="shared" ref="I32:I43" si="8">+G32-H32</f>
        <v>164</v>
      </c>
      <c r="J32" s="56">
        <f t="shared" ref="J32:J43" si="9">I32*C32</f>
        <v>5904000</v>
      </c>
      <c r="K32" s="57">
        <f t="shared" ref="K32:K43" si="10">+D32*I32</f>
        <v>386474.2</v>
      </c>
      <c r="L32"/>
      <c r="M32" s="314">
        <f t="shared" si="6"/>
        <v>0</v>
      </c>
      <c r="N32" s="310"/>
      <c r="O32" s="315"/>
      <c r="P32" s="315"/>
      <c r="Q32" s="315"/>
      <c r="R32" s="31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row>
    <row r="33" spans="1:113" x14ac:dyDescent="0.25">
      <c r="A33" s="152">
        <v>2</v>
      </c>
      <c r="B33" s="79" t="s">
        <v>235</v>
      </c>
      <c r="C33" s="80">
        <v>5000</v>
      </c>
      <c r="D33" s="142">
        <v>901.34</v>
      </c>
      <c r="E33" s="43">
        <v>10</v>
      </c>
      <c r="F33" s="60"/>
      <c r="G33" s="139">
        <f t="shared" si="7"/>
        <v>10</v>
      </c>
      <c r="H33" s="55"/>
      <c r="I33" s="56">
        <f t="shared" si="8"/>
        <v>10</v>
      </c>
      <c r="J33" s="56">
        <f t="shared" si="9"/>
        <v>50000</v>
      </c>
      <c r="K33" s="57">
        <f t="shared" si="10"/>
        <v>9013.4</v>
      </c>
      <c r="L33"/>
      <c r="M33" s="314">
        <f t="shared" si="6"/>
        <v>0</v>
      </c>
      <c r="N33" s="310"/>
      <c r="O33" s="315"/>
      <c r="P33" s="315"/>
      <c r="Q33" s="315"/>
      <c r="R33" s="31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row>
    <row r="34" spans="1:113" x14ac:dyDescent="0.25">
      <c r="A34" s="152">
        <v>3</v>
      </c>
      <c r="B34" s="79" t="s">
        <v>236</v>
      </c>
      <c r="C34" s="80">
        <v>9500</v>
      </c>
      <c r="D34" s="142">
        <v>2090.4</v>
      </c>
      <c r="E34" s="43">
        <v>233</v>
      </c>
      <c r="F34" s="43"/>
      <c r="G34" s="139">
        <f t="shared" si="7"/>
        <v>233</v>
      </c>
      <c r="H34" s="55"/>
      <c r="I34" s="56">
        <f t="shared" si="8"/>
        <v>233</v>
      </c>
      <c r="J34" s="56">
        <f t="shared" si="9"/>
        <v>2213500</v>
      </c>
      <c r="K34" s="57">
        <f t="shared" si="10"/>
        <v>487063.2</v>
      </c>
      <c r="L34"/>
      <c r="M34" s="314">
        <f t="shared" si="6"/>
        <v>0</v>
      </c>
      <c r="N34" s="310"/>
      <c r="O34" s="315"/>
      <c r="P34" s="315"/>
      <c r="Q34" s="315"/>
      <c r="R34" s="31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row>
    <row r="35" spans="1:113" x14ac:dyDescent="0.25">
      <c r="A35" s="152">
        <v>4</v>
      </c>
      <c r="B35" s="79" t="s">
        <v>237</v>
      </c>
      <c r="C35" s="80">
        <v>25000</v>
      </c>
      <c r="D35" s="142">
        <v>1681.34</v>
      </c>
      <c r="E35" s="43">
        <v>0</v>
      </c>
      <c r="F35" s="60"/>
      <c r="G35" s="139">
        <f t="shared" si="7"/>
        <v>0</v>
      </c>
      <c r="H35" s="55">
        <f>18-18</f>
        <v>0</v>
      </c>
      <c r="I35" s="56">
        <f t="shared" si="8"/>
        <v>0</v>
      </c>
      <c r="J35" s="56">
        <f t="shared" si="9"/>
        <v>0</v>
      </c>
      <c r="K35" s="57">
        <f t="shared" si="10"/>
        <v>0</v>
      </c>
      <c r="L35"/>
      <c r="M35" s="314">
        <f t="shared" si="6"/>
        <v>0</v>
      </c>
      <c r="N35" s="310"/>
      <c r="O35" s="315"/>
      <c r="P35" s="315"/>
      <c r="Q35" s="315"/>
      <c r="R35" s="31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c r="CN35" s="55"/>
      <c r="CO35" s="55"/>
      <c r="CP35" s="55"/>
      <c r="CQ35" s="55"/>
      <c r="CR35" s="55"/>
      <c r="CS35" s="55"/>
      <c r="CT35" s="55"/>
      <c r="CU35" s="55"/>
      <c r="CV35" s="55"/>
      <c r="CW35" s="55"/>
      <c r="CX35" s="55"/>
      <c r="CY35" s="55"/>
      <c r="CZ35" s="55"/>
      <c r="DA35" s="55"/>
      <c r="DB35" s="55"/>
      <c r="DC35" s="55"/>
      <c r="DD35" s="55"/>
      <c r="DE35" s="55"/>
      <c r="DF35" s="55"/>
      <c r="DG35" s="55"/>
      <c r="DH35" s="55"/>
      <c r="DI35" s="55"/>
    </row>
    <row r="36" spans="1:113" x14ac:dyDescent="0.25">
      <c r="A36" s="152">
        <v>5</v>
      </c>
      <c r="B36" s="79" t="s">
        <v>238</v>
      </c>
      <c r="C36" s="80">
        <v>6000</v>
      </c>
      <c r="D36" s="142">
        <v>961.16</v>
      </c>
      <c r="E36" s="43">
        <v>55</v>
      </c>
      <c r="F36" s="60"/>
      <c r="G36" s="139">
        <f t="shared" si="7"/>
        <v>55</v>
      </c>
      <c r="H36" s="55"/>
      <c r="I36" s="56">
        <f t="shared" si="8"/>
        <v>55</v>
      </c>
      <c r="J36" s="56">
        <f t="shared" si="9"/>
        <v>330000</v>
      </c>
      <c r="K36" s="57">
        <f t="shared" si="10"/>
        <v>52863.799999999996</v>
      </c>
      <c r="L36"/>
      <c r="M36" s="314">
        <f t="shared" si="6"/>
        <v>0</v>
      </c>
      <c r="N36" s="310"/>
      <c r="O36" s="315"/>
      <c r="P36" s="315"/>
      <c r="Q36" s="315"/>
      <c r="R36" s="31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55"/>
      <c r="CB36" s="55"/>
      <c r="CC36" s="55"/>
      <c r="CD36" s="55"/>
      <c r="CE36" s="55"/>
      <c r="CF36" s="55"/>
      <c r="CG36" s="55"/>
      <c r="CH36" s="55"/>
      <c r="CI36" s="55"/>
      <c r="CJ36" s="55"/>
      <c r="CK36" s="55"/>
      <c r="CL36" s="55"/>
      <c r="CM36" s="55"/>
      <c r="CN36" s="55"/>
      <c r="CO36" s="55"/>
      <c r="CP36" s="55"/>
      <c r="CQ36" s="55"/>
      <c r="CR36" s="55"/>
      <c r="CS36" s="55"/>
      <c r="CT36" s="55"/>
      <c r="CU36" s="55"/>
      <c r="CV36" s="55"/>
      <c r="CW36" s="55"/>
      <c r="CX36" s="55"/>
      <c r="CY36" s="55"/>
      <c r="CZ36" s="55"/>
      <c r="DA36" s="55"/>
      <c r="DB36" s="55"/>
      <c r="DC36" s="55"/>
      <c r="DD36" s="55"/>
      <c r="DE36" s="55"/>
      <c r="DF36" s="55"/>
      <c r="DG36" s="55"/>
      <c r="DH36" s="55"/>
      <c r="DI36" s="55"/>
    </row>
    <row r="37" spans="1:113" x14ac:dyDescent="0.25">
      <c r="A37" s="152">
        <v>6</v>
      </c>
      <c r="B37" s="79" t="s">
        <v>239</v>
      </c>
      <c r="C37" s="80">
        <v>5000</v>
      </c>
      <c r="D37" s="142">
        <v>1799.68</v>
      </c>
      <c r="E37" s="43">
        <v>50</v>
      </c>
      <c r="F37" s="60"/>
      <c r="G37" s="139">
        <f t="shared" si="7"/>
        <v>50</v>
      </c>
      <c r="H37" s="55"/>
      <c r="I37" s="56">
        <f t="shared" si="8"/>
        <v>50</v>
      </c>
      <c r="J37" s="56">
        <f t="shared" si="9"/>
        <v>250000</v>
      </c>
      <c r="K37" s="57">
        <f t="shared" si="10"/>
        <v>89984</v>
      </c>
      <c r="L37"/>
      <c r="M37" s="314">
        <f t="shared" si="6"/>
        <v>0</v>
      </c>
      <c r="N37" s="310"/>
      <c r="O37" s="315"/>
      <c r="P37" s="315"/>
      <c r="Q37" s="315"/>
      <c r="R37" s="31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55"/>
      <c r="CB37" s="55"/>
      <c r="CC37" s="55"/>
      <c r="CD37" s="55"/>
      <c r="CE37" s="55"/>
      <c r="CF37" s="55"/>
      <c r="CG37" s="55"/>
      <c r="CH37" s="55"/>
      <c r="CI37" s="55"/>
      <c r="CJ37" s="55"/>
      <c r="CK37" s="55"/>
      <c r="CL37" s="55"/>
      <c r="CM37" s="55"/>
      <c r="CN37" s="55"/>
      <c r="CO37" s="55"/>
      <c r="CP37" s="55"/>
      <c r="CQ37" s="55"/>
      <c r="CR37" s="55"/>
      <c r="CS37" s="55"/>
      <c r="CT37" s="55"/>
      <c r="CU37" s="55"/>
      <c r="CV37" s="55"/>
      <c r="CW37" s="55"/>
      <c r="CX37" s="55"/>
      <c r="CY37" s="55"/>
      <c r="CZ37" s="55"/>
      <c r="DA37" s="55"/>
      <c r="DB37" s="55"/>
      <c r="DC37" s="55"/>
      <c r="DD37" s="55"/>
      <c r="DE37" s="55"/>
      <c r="DF37" s="55"/>
      <c r="DG37" s="55"/>
      <c r="DH37" s="55"/>
      <c r="DI37" s="55"/>
    </row>
    <row r="38" spans="1:113" x14ac:dyDescent="0.25">
      <c r="A38" s="152">
        <v>7</v>
      </c>
      <c r="B38" s="79" t="s">
        <v>240</v>
      </c>
      <c r="C38" s="80">
        <v>6000</v>
      </c>
      <c r="D38" s="142">
        <v>961.16</v>
      </c>
      <c r="E38" s="43">
        <v>161</v>
      </c>
      <c r="F38" s="60"/>
      <c r="G38" s="139">
        <f t="shared" si="7"/>
        <v>161</v>
      </c>
      <c r="H38" s="55"/>
      <c r="I38" s="56">
        <f t="shared" si="8"/>
        <v>161</v>
      </c>
      <c r="J38" s="56">
        <f t="shared" si="9"/>
        <v>966000</v>
      </c>
      <c r="K38" s="57">
        <f t="shared" si="10"/>
        <v>154746.76</v>
      </c>
      <c r="L38"/>
      <c r="M38" s="314">
        <f t="shared" si="6"/>
        <v>0</v>
      </c>
      <c r="N38" s="310"/>
      <c r="O38" s="315"/>
      <c r="P38" s="315"/>
      <c r="Q38" s="315"/>
      <c r="R38" s="31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55"/>
      <c r="CZ38" s="55"/>
      <c r="DA38" s="55"/>
      <c r="DB38" s="55"/>
      <c r="DC38" s="55"/>
      <c r="DD38" s="55"/>
      <c r="DE38" s="55"/>
      <c r="DF38" s="55"/>
      <c r="DG38" s="55"/>
      <c r="DH38" s="55"/>
      <c r="DI38" s="55"/>
    </row>
    <row r="39" spans="1:113" x14ac:dyDescent="0.25">
      <c r="A39" s="152">
        <v>8</v>
      </c>
      <c r="B39" s="79" t="s">
        <v>241</v>
      </c>
      <c r="C39" s="80">
        <v>5000</v>
      </c>
      <c r="D39" s="142">
        <v>1631.6</v>
      </c>
      <c r="E39" s="43">
        <v>64</v>
      </c>
      <c r="F39" s="60"/>
      <c r="G39" s="139">
        <f t="shared" si="7"/>
        <v>64</v>
      </c>
      <c r="H39" s="55"/>
      <c r="I39" s="56">
        <f t="shared" si="8"/>
        <v>64</v>
      </c>
      <c r="J39" s="56">
        <f t="shared" si="9"/>
        <v>320000</v>
      </c>
      <c r="K39" s="57">
        <f t="shared" si="10"/>
        <v>104422.39999999999</v>
      </c>
      <c r="L39"/>
      <c r="M39" s="314">
        <f t="shared" si="6"/>
        <v>0</v>
      </c>
      <c r="N39" s="310"/>
      <c r="O39" s="315"/>
      <c r="P39" s="315"/>
      <c r="Q39" s="315"/>
      <c r="R39" s="31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55"/>
      <c r="CZ39" s="55"/>
      <c r="DA39" s="55"/>
      <c r="DB39" s="55"/>
      <c r="DC39" s="55"/>
      <c r="DD39" s="55"/>
      <c r="DE39" s="55"/>
      <c r="DF39" s="55"/>
      <c r="DG39" s="55"/>
      <c r="DH39" s="55"/>
      <c r="DI39" s="55"/>
    </row>
    <row r="40" spans="1:113" x14ac:dyDescent="0.25">
      <c r="A40" s="152">
        <v>9</v>
      </c>
      <c r="B40" s="79" t="s">
        <v>242</v>
      </c>
      <c r="C40" s="80">
        <v>5000</v>
      </c>
      <c r="D40" s="142">
        <v>1812.32</v>
      </c>
      <c r="E40" s="43">
        <v>14</v>
      </c>
      <c r="F40" s="60"/>
      <c r="G40" s="139">
        <f t="shared" si="7"/>
        <v>14</v>
      </c>
      <c r="H40" s="55"/>
      <c r="I40" s="56">
        <f t="shared" si="8"/>
        <v>14</v>
      </c>
      <c r="J40" s="56">
        <f t="shared" si="9"/>
        <v>70000</v>
      </c>
      <c r="K40" s="57">
        <f t="shared" si="10"/>
        <v>25372.48</v>
      </c>
      <c r="L40"/>
      <c r="M40" s="314">
        <f t="shared" si="6"/>
        <v>0</v>
      </c>
      <c r="N40" s="310"/>
      <c r="O40" s="315"/>
      <c r="P40" s="315"/>
      <c r="Q40" s="315"/>
      <c r="R40" s="31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row>
    <row r="41" spans="1:113" x14ac:dyDescent="0.25">
      <c r="A41" s="152">
        <v>10</v>
      </c>
      <c r="B41" s="79" t="s">
        <v>243</v>
      </c>
      <c r="C41" s="80">
        <v>8000</v>
      </c>
      <c r="D41" s="142">
        <v>1911.14</v>
      </c>
      <c r="E41" s="43">
        <v>28</v>
      </c>
      <c r="F41" s="60"/>
      <c r="G41" s="139">
        <f t="shared" si="7"/>
        <v>28</v>
      </c>
      <c r="H41" s="55"/>
      <c r="I41" s="56">
        <f t="shared" si="8"/>
        <v>28</v>
      </c>
      <c r="J41" s="56">
        <f t="shared" si="9"/>
        <v>224000</v>
      </c>
      <c r="K41" s="57">
        <f t="shared" si="10"/>
        <v>53511.920000000006</v>
      </c>
      <c r="L41"/>
      <c r="M41" s="314">
        <f t="shared" si="6"/>
        <v>0</v>
      </c>
      <c r="N41" s="310"/>
      <c r="O41" s="315"/>
      <c r="P41" s="315"/>
      <c r="Q41" s="315"/>
      <c r="R41" s="31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row>
    <row r="42" spans="1:113" x14ac:dyDescent="0.25">
      <c r="A42" s="152">
        <v>11</v>
      </c>
      <c r="B42" s="79" t="s">
        <v>244</v>
      </c>
      <c r="C42" s="80">
        <v>5000</v>
      </c>
      <c r="D42" s="142">
        <v>961.16</v>
      </c>
      <c r="E42" s="43">
        <v>10</v>
      </c>
      <c r="F42" s="60"/>
      <c r="G42" s="139">
        <f t="shared" si="7"/>
        <v>10</v>
      </c>
      <c r="H42" s="55"/>
      <c r="I42" s="56">
        <f t="shared" si="8"/>
        <v>10</v>
      </c>
      <c r="J42" s="56">
        <f t="shared" si="9"/>
        <v>50000</v>
      </c>
      <c r="K42" s="57">
        <f t="shared" si="10"/>
        <v>9611.6</v>
      </c>
      <c r="L42"/>
      <c r="M42" s="314">
        <f t="shared" si="6"/>
        <v>0</v>
      </c>
      <c r="N42" s="310"/>
      <c r="O42" s="315"/>
      <c r="P42" s="315"/>
      <c r="Q42" s="315"/>
      <c r="R42" s="31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55"/>
      <c r="CZ42" s="55"/>
      <c r="DA42" s="55"/>
      <c r="DB42" s="55"/>
      <c r="DC42" s="55"/>
      <c r="DD42" s="55"/>
      <c r="DE42" s="55"/>
      <c r="DF42" s="55"/>
      <c r="DG42" s="55"/>
      <c r="DH42" s="55"/>
      <c r="DI42" s="55"/>
    </row>
    <row r="43" spans="1:113" ht="15.75" thickBot="1" x14ac:dyDescent="0.3">
      <c r="A43" s="153">
        <v>12</v>
      </c>
      <c r="B43" s="144" t="s">
        <v>245</v>
      </c>
      <c r="C43" s="82">
        <v>5000</v>
      </c>
      <c r="D43" s="145">
        <v>961.16</v>
      </c>
      <c r="E43" s="154">
        <v>20</v>
      </c>
      <c r="F43" s="156"/>
      <c r="G43" s="147">
        <f t="shared" si="7"/>
        <v>20</v>
      </c>
      <c r="H43" s="58"/>
      <c r="I43" s="64">
        <f t="shared" si="8"/>
        <v>20</v>
      </c>
      <c r="J43" s="64">
        <f t="shared" si="9"/>
        <v>100000</v>
      </c>
      <c r="K43" s="65">
        <f t="shared" si="10"/>
        <v>19223.2</v>
      </c>
      <c r="L43"/>
      <c r="M43" s="314">
        <f t="shared" si="6"/>
        <v>0</v>
      </c>
      <c r="N43" s="310"/>
      <c r="O43" s="315"/>
      <c r="P43" s="315"/>
      <c r="Q43" s="315"/>
      <c r="R43" s="31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c r="CN43" s="55"/>
      <c r="CO43" s="55"/>
      <c r="CP43" s="55"/>
      <c r="CQ43" s="55"/>
      <c r="CR43" s="55"/>
      <c r="CS43" s="55"/>
      <c r="CT43" s="55"/>
      <c r="CU43" s="55"/>
      <c r="CV43" s="55"/>
      <c r="CW43" s="55"/>
      <c r="CX43" s="55"/>
      <c r="CY43" s="55"/>
      <c r="CZ43" s="55"/>
      <c r="DA43" s="55"/>
      <c r="DB43" s="55"/>
      <c r="DC43" s="55"/>
      <c r="DD43" s="55"/>
      <c r="DE43" s="55"/>
      <c r="DF43" s="55"/>
      <c r="DG43" s="55"/>
      <c r="DH43" s="55"/>
      <c r="DI43" s="55"/>
    </row>
    <row r="44" spans="1:113" ht="15.75" thickBot="1" x14ac:dyDescent="0.3">
      <c r="A44" s="128"/>
      <c r="B44" s="119" t="s">
        <v>660</v>
      </c>
      <c r="C44" s="36"/>
      <c r="D44" s="36"/>
      <c r="E44" s="29">
        <f t="shared" ref="E44:J44" si="11">SUM(E32:E43)</f>
        <v>809</v>
      </c>
      <c r="F44" s="29">
        <f t="shared" si="11"/>
        <v>0</v>
      </c>
      <c r="G44" s="36">
        <f t="shared" si="11"/>
        <v>809</v>
      </c>
      <c r="H44" s="29">
        <f t="shared" si="11"/>
        <v>0</v>
      </c>
      <c r="I44" s="29">
        <f t="shared" si="11"/>
        <v>809</v>
      </c>
      <c r="J44" s="29">
        <f t="shared" si="11"/>
        <v>10477500</v>
      </c>
      <c r="K44" s="47">
        <f t="shared" ref="K44" si="12">SUM(K32:K43)</f>
        <v>1392286.96</v>
      </c>
      <c r="L44"/>
      <c r="M44" s="326">
        <f t="shared" si="6"/>
        <v>0</v>
      </c>
      <c r="N44" s="325"/>
      <c r="O44" s="325"/>
      <c r="P44" s="325"/>
      <c r="Q44" s="325"/>
      <c r="R44" s="325"/>
      <c r="S44" s="324"/>
      <c r="T44" s="324"/>
      <c r="U44" s="324"/>
      <c r="V44" s="324"/>
      <c r="W44" s="324"/>
      <c r="X44" s="324"/>
      <c r="Y44" s="324"/>
      <c r="Z44" s="324"/>
      <c r="AA44" s="324"/>
      <c r="AB44" s="324"/>
      <c r="AC44" s="324"/>
      <c r="AD44" s="324"/>
      <c r="AE44" s="324"/>
      <c r="AF44" s="324"/>
      <c r="AG44" s="324"/>
      <c r="AH44" s="324"/>
      <c r="AI44" s="324"/>
      <c r="AJ44" s="324"/>
      <c r="AK44" s="324"/>
      <c r="AL44" s="324"/>
      <c r="AM44" s="324"/>
      <c r="AN44" s="324"/>
      <c r="AO44" s="324"/>
      <c r="AP44" s="324"/>
      <c r="AQ44" s="324"/>
      <c r="AR44" s="324"/>
      <c r="AS44" s="324"/>
      <c r="AT44" s="324"/>
      <c r="AU44" s="324"/>
      <c r="AV44" s="324"/>
      <c r="AW44" s="324"/>
      <c r="AX44" s="324"/>
      <c r="AY44" s="324"/>
      <c r="AZ44" s="324"/>
      <c r="BA44" s="324"/>
      <c r="BB44" s="324"/>
      <c r="BC44" s="324"/>
      <c r="BD44" s="324"/>
      <c r="BE44" s="324"/>
      <c r="BF44" s="324"/>
      <c r="BG44" s="324"/>
      <c r="BH44" s="324"/>
      <c r="BI44" s="324"/>
      <c r="BJ44" s="324"/>
      <c r="BK44" s="324"/>
      <c r="BL44" s="324"/>
      <c r="BM44" s="324"/>
      <c r="BN44" s="324"/>
      <c r="BO44" s="324"/>
      <c r="BP44" s="324"/>
      <c r="BQ44" s="324"/>
      <c r="BR44" s="324"/>
      <c r="BS44" s="324"/>
      <c r="BT44" s="324"/>
      <c r="BU44" s="324"/>
      <c r="BV44" s="324"/>
      <c r="BW44" s="324"/>
      <c r="BX44" s="324"/>
      <c r="BY44" s="324"/>
      <c r="BZ44" s="324"/>
      <c r="CA44" s="324"/>
      <c r="CB44" s="324"/>
      <c r="CC44" s="324"/>
      <c r="CD44" s="324"/>
      <c r="CE44" s="324"/>
      <c r="CF44" s="324"/>
      <c r="CG44" s="324"/>
      <c r="CH44" s="324"/>
      <c r="CI44" s="324"/>
      <c r="CJ44" s="324"/>
      <c r="CK44" s="324"/>
      <c r="CL44" s="324"/>
      <c r="CM44" s="324"/>
      <c r="CN44" s="324"/>
      <c r="CO44" s="324"/>
      <c r="CP44" s="324"/>
      <c r="CQ44" s="324"/>
      <c r="CR44" s="324"/>
      <c r="CS44" s="324"/>
      <c r="CT44" s="324"/>
      <c r="CU44" s="324"/>
      <c r="CV44" s="324"/>
      <c r="CW44" s="324"/>
      <c r="CX44" s="324"/>
      <c r="CY44" s="324"/>
      <c r="CZ44" s="324"/>
      <c r="DA44" s="324"/>
      <c r="DB44" s="324"/>
      <c r="DC44" s="324"/>
      <c r="DD44" s="324"/>
      <c r="DE44" s="324"/>
      <c r="DF44" s="324"/>
      <c r="DG44" s="324"/>
      <c r="DH44" s="324"/>
      <c r="DI44" s="324"/>
    </row>
    <row r="45" spans="1:113" ht="15.75" thickBot="1" x14ac:dyDescent="0.3">
      <c r="B45" s="161"/>
      <c r="C45" s="162"/>
      <c r="D45" s="163"/>
      <c r="E45" s="164"/>
      <c r="F45" s="67"/>
      <c r="G45" s="164"/>
      <c r="H45" s="164"/>
      <c r="I45" s="164"/>
      <c r="J45" s="164"/>
      <c r="K45" s="163"/>
      <c r="L45"/>
      <c r="M45"/>
      <c r="N45"/>
      <c r="O45"/>
      <c r="P45"/>
      <c r="Q45"/>
      <c r="R45"/>
      <c r="S45"/>
      <c r="T45"/>
      <c r="U45"/>
      <c r="V45"/>
    </row>
    <row r="46" spans="1:113" ht="15.75" thickBot="1" x14ac:dyDescent="0.3">
      <c r="A46" s="407" t="s">
        <v>657</v>
      </c>
      <c r="B46" s="414" t="s">
        <v>708</v>
      </c>
      <c r="C46" s="414" t="s">
        <v>1</v>
      </c>
      <c r="D46" s="415" t="s">
        <v>649</v>
      </c>
      <c r="E46" s="416" t="s">
        <v>19</v>
      </c>
      <c r="F46" s="416"/>
      <c r="G46" s="416"/>
      <c r="H46" s="416"/>
      <c r="I46" s="416"/>
      <c r="J46" s="410" t="s">
        <v>21</v>
      </c>
      <c r="K46" s="417" t="s">
        <v>602</v>
      </c>
      <c r="L46"/>
      <c r="M46" s="403" t="s">
        <v>601</v>
      </c>
      <c r="N46" s="403" t="s">
        <v>924</v>
      </c>
      <c r="O46" s="403"/>
      <c r="P46" s="403"/>
      <c r="Q46" s="403"/>
      <c r="R46" s="403"/>
      <c r="S46" s="403"/>
      <c r="T46" s="403"/>
      <c r="U46" s="403"/>
      <c r="V46" s="403"/>
      <c r="W46" s="403"/>
      <c r="X46" s="403"/>
      <c r="Y46" s="403"/>
      <c r="Z46" s="403"/>
      <c r="AA46" s="403"/>
      <c r="AB46" s="403"/>
      <c r="AC46" s="403"/>
      <c r="AD46" s="403"/>
      <c r="AE46" s="403"/>
      <c r="AF46" s="403"/>
      <c r="AG46" s="403"/>
      <c r="AH46" s="403"/>
      <c r="AI46" s="403"/>
      <c r="AJ46" s="403"/>
      <c r="AK46" s="403"/>
      <c r="AL46" s="403"/>
      <c r="AM46" s="403"/>
      <c r="AN46" s="403"/>
      <c r="AO46" s="403"/>
      <c r="AP46" s="403"/>
      <c r="AQ46" s="403"/>
      <c r="AR46" s="403"/>
      <c r="AS46" s="403"/>
      <c r="AT46" s="403"/>
      <c r="AU46" s="403"/>
      <c r="AV46" s="403"/>
      <c r="AW46" s="403"/>
      <c r="AX46" s="403"/>
      <c r="AY46" s="403"/>
      <c r="AZ46" s="403"/>
      <c r="BA46" s="403"/>
      <c r="BB46" s="403"/>
      <c r="BC46" s="403"/>
      <c r="BD46" s="403"/>
      <c r="BE46" s="403"/>
      <c r="BF46" s="403"/>
      <c r="BG46" s="403"/>
      <c r="BH46" s="403"/>
      <c r="BI46" s="403"/>
      <c r="BJ46" s="403"/>
      <c r="BK46" s="403"/>
      <c r="BL46" s="403"/>
      <c r="BM46" s="403"/>
      <c r="BN46" s="403"/>
      <c r="BO46" s="403"/>
      <c r="BP46" s="403"/>
      <c r="BQ46" s="403"/>
      <c r="BR46" s="403"/>
      <c r="BS46" s="403"/>
      <c r="BT46" s="403"/>
      <c r="BU46" s="403"/>
      <c r="BV46" s="403"/>
      <c r="BW46" s="403"/>
      <c r="BX46" s="403"/>
      <c r="BY46" s="403"/>
      <c r="BZ46" s="403"/>
      <c r="CA46" s="403"/>
      <c r="CB46" s="403"/>
      <c r="CC46" s="403"/>
      <c r="CD46" s="403"/>
      <c r="CE46" s="403"/>
      <c r="CF46" s="403"/>
      <c r="CG46" s="403"/>
      <c r="CH46" s="403"/>
      <c r="CI46" s="403"/>
      <c r="CJ46" s="403"/>
      <c r="CK46" s="403"/>
      <c r="CL46" s="403"/>
      <c r="CM46" s="403"/>
      <c r="CN46" s="403"/>
      <c r="CO46" s="403"/>
      <c r="CP46" s="403"/>
      <c r="CQ46" s="403"/>
      <c r="CR46" s="403"/>
      <c r="CS46" s="403"/>
      <c r="CT46" s="403"/>
      <c r="CU46" s="403"/>
      <c r="CV46" s="403"/>
      <c r="CW46" s="403"/>
      <c r="CX46" s="403"/>
      <c r="CY46" s="403"/>
      <c r="CZ46" s="403"/>
      <c r="DA46" s="403"/>
      <c r="DB46" s="403"/>
      <c r="DC46" s="403"/>
      <c r="DD46" s="403"/>
      <c r="DE46" s="403"/>
      <c r="DF46" s="403"/>
      <c r="DG46" s="403"/>
      <c r="DH46" s="403"/>
      <c r="DI46" s="403"/>
    </row>
    <row r="47" spans="1:113" ht="30.75" thickBot="1" x14ac:dyDescent="0.3">
      <c r="A47" s="408"/>
      <c r="B47" s="414"/>
      <c r="C47" s="414"/>
      <c r="D47" s="415"/>
      <c r="E47" s="68" t="s">
        <v>22</v>
      </c>
      <c r="F47" s="68" t="s">
        <v>600</v>
      </c>
      <c r="G47" s="68" t="s">
        <v>601</v>
      </c>
      <c r="H47" s="68" t="s">
        <v>589</v>
      </c>
      <c r="I47" s="68" t="s">
        <v>601</v>
      </c>
      <c r="J47" s="411"/>
      <c r="K47" s="418"/>
      <c r="L47"/>
      <c r="M47" s="403"/>
      <c r="N47" s="400" t="s">
        <v>925</v>
      </c>
      <c r="O47" s="400" t="s">
        <v>926</v>
      </c>
      <c r="P47" s="400"/>
      <c r="Q47" s="400"/>
      <c r="R47" s="400"/>
      <c r="S47" s="398"/>
      <c r="T47" s="398"/>
      <c r="U47" s="398"/>
      <c r="V47" s="398"/>
      <c r="W47" s="398"/>
      <c r="X47" s="398"/>
      <c r="Y47" s="398"/>
      <c r="Z47" s="398"/>
      <c r="AA47" s="398"/>
      <c r="AB47" s="398"/>
      <c r="AC47" s="398"/>
      <c r="AD47" s="398"/>
      <c r="AE47" s="398"/>
      <c r="AF47" s="398"/>
      <c r="AG47" s="398"/>
      <c r="AH47" s="398"/>
      <c r="AI47" s="398"/>
      <c r="AJ47" s="398"/>
      <c r="AK47" s="398"/>
      <c r="AL47" s="398"/>
      <c r="AM47" s="398"/>
      <c r="AN47" s="398"/>
      <c r="AO47" s="398"/>
      <c r="AP47" s="398"/>
      <c r="AQ47" s="398"/>
      <c r="AR47" s="398"/>
      <c r="AS47" s="398"/>
      <c r="AT47" s="398"/>
      <c r="AU47" s="398"/>
      <c r="AV47" s="398"/>
      <c r="AW47" s="398"/>
      <c r="AX47" s="398"/>
      <c r="AY47" s="398"/>
      <c r="AZ47" s="398"/>
      <c r="BA47" s="398"/>
      <c r="BB47" s="398"/>
      <c r="BC47" s="398"/>
      <c r="BD47" s="398"/>
      <c r="BE47" s="398"/>
      <c r="BF47" s="398"/>
      <c r="BG47" s="398"/>
      <c r="BH47" s="398"/>
      <c r="BI47" s="398"/>
      <c r="BJ47" s="398"/>
      <c r="BK47" s="398"/>
      <c r="BL47" s="398"/>
      <c r="BM47" s="398"/>
      <c r="BN47" s="398"/>
      <c r="BO47" s="398"/>
      <c r="BP47" s="398"/>
      <c r="BQ47" s="398"/>
      <c r="BR47" s="398"/>
      <c r="BS47" s="398"/>
      <c r="BT47" s="398"/>
      <c r="BU47" s="398"/>
      <c r="BV47" s="398"/>
      <c r="BW47" s="398"/>
      <c r="BX47" s="398"/>
      <c r="BY47" s="398"/>
      <c r="BZ47" s="398"/>
      <c r="CA47" s="398"/>
      <c r="CB47" s="398"/>
      <c r="CC47" s="398"/>
      <c r="CD47" s="398"/>
      <c r="CE47" s="398"/>
      <c r="CF47" s="398"/>
      <c r="CG47" s="398"/>
      <c r="CH47" s="398"/>
      <c r="CI47" s="398"/>
      <c r="CJ47" s="398"/>
      <c r="CK47" s="398"/>
      <c r="CL47" s="398"/>
      <c r="CM47" s="398"/>
      <c r="CN47" s="398"/>
      <c r="CO47" s="398"/>
      <c r="CP47" s="398"/>
      <c r="CQ47" s="398"/>
      <c r="CR47" s="398"/>
      <c r="CS47" s="398"/>
      <c r="CT47" s="398"/>
      <c r="CU47" s="398"/>
      <c r="CV47" s="398"/>
      <c r="CW47" s="398"/>
      <c r="CX47" s="398"/>
      <c r="CY47" s="398"/>
      <c r="CZ47" s="398"/>
      <c r="DA47" s="398"/>
      <c r="DB47" s="398"/>
      <c r="DC47" s="398"/>
      <c r="DD47" s="398"/>
      <c r="DE47" s="398"/>
      <c r="DF47" s="398"/>
      <c r="DG47" s="398"/>
      <c r="DH47" s="398"/>
      <c r="DI47" s="398"/>
    </row>
    <row r="48" spans="1:113" ht="15.75" thickBot="1" x14ac:dyDescent="0.3">
      <c r="A48" s="409"/>
      <c r="B48" s="185">
        <v>1</v>
      </c>
      <c r="C48" s="185">
        <v>2</v>
      </c>
      <c r="D48" s="185">
        <v>3</v>
      </c>
      <c r="E48" s="70">
        <v>4</v>
      </c>
      <c r="F48" s="70">
        <f>+E48+1</f>
        <v>5</v>
      </c>
      <c r="G48" s="70" t="s">
        <v>652</v>
      </c>
      <c r="H48" s="70">
        <v>7</v>
      </c>
      <c r="I48" s="71" t="s">
        <v>651</v>
      </c>
      <c r="J48" s="42" t="s">
        <v>650</v>
      </c>
      <c r="K48" s="42" t="s">
        <v>653</v>
      </c>
      <c r="L48"/>
      <c r="M48" s="403"/>
      <c r="N48" s="402"/>
      <c r="O48" s="402"/>
      <c r="P48" s="402"/>
      <c r="Q48" s="402"/>
      <c r="R48" s="402"/>
      <c r="S48" s="399"/>
      <c r="T48" s="399"/>
      <c r="U48" s="399"/>
      <c r="V48" s="399"/>
      <c r="W48" s="399"/>
      <c r="X48" s="399"/>
      <c r="Y48" s="399"/>
      <c r="Z48" s="399"/>
      <c r="AA48" s="399"/>
      <c r="AB48" s="399"/>
      <c r="AC48" s="399"/>
      <c r="AD48" s="399"/>
      <c r="AE48" s="399"/>
      <c r="AF48" s="399"/>
      <c r="AG48" s="399"/>
      <c r="AH48" s="399"/>
      <c r="AI48" s="399"/>
      <c r="AJ48" s="399"/>
      <c r="AK48" s="399"/>
      <c r="AL48" s="399"/>
      <c r="AM48" s="399"/>
      <c r="AN48" s="399"/>
      <c r="AO48" s="399"/>
      <c r="AP48" s="399"/>
      <c r="AQ48" s="399"/>
      <c r="AR48" s="399"/>
      <c r="AS48" s="399"/>
      <c r="AT48" s="399"/>
      <c r="AU48" s="399"/>
      <c r="AV48" s="399"/>
      <c r="AW48" s="399"/>
      <c r="AX48" s="399"/>
      <c r="AY48" s="399"/>
      <c r="AZ48" s="399"/>
      <c r="BA48" s="399"/>
      <c r="BB48" s="399"/>
      <c r="BC48" s="399"/>
      <c r="BD48" s="399"/>
      <c r="BE48" s="399"/>
      <c r="BF48" s="399"/>
      <c r="BG48" s="399"/>
      <c r="BH48" s="399"/>
      <c r="BI48" s="399"/>
      <c r="BJ48" s="399"/>
      <c r="BK48" s="399"/>
      <c r="BL48" s="399"/>
      <c r="BM48" s="399"/>
      <c r="BN48" s="399"/>
      <c r="BO48" s="399"/>
      <c r="BP48" s="399"/>
      <c r="BQ48" s="399"/>
      <c r="BR48" s="399"/>
      <c r="BS48" s="399"/>
      <c r="BT48" s="399"/>
      <c r="BU48" s="399"/>
      <c r="BV48" s="399"/>
      <c r="BW48" s="399"/>
      <c r="BX48" s="399"/>
      <c r="BY48" s="399"/>
      <c r="BZ48" s="399"/>
      <c r="CA48" s="399"/>
      <c r="CB48" s="399"/>
      <c r="CC48" s="399"/>
      <c r="CD48" s="399"/>
      <c r="CE48" s="399"/>
      <c r="CF48" s="399"/>
      <c r="CG48" s="399"/>
      <c r="CH48" s="399"/>
      <c r="CI48" s="399"/>
      <c r="CJ48" s="399"/>
      <c r="CK48" s="399"/>
      <c r="CL48" s="399"/>
      <c r="CM48" s="399"/>
      <c r="CN48" s="399"/>
      <c r="CO48" s="399"/>
      <c r="CP48" s="399"/>
      <c r="CQ48" s="399"/>
      <c r="CR48" s="399"/>
      <c r="CS48" s="399"/>
      <c r="CT48" s="399"/>
      <c r="CU48" s="399"/>
      <c r="CV48" s="399"/>
      <c r="CW48" s="399"/>
      <c r="CX48" s="399"/>
      <c r="CY48" s="399"/>
      <c r="CZ48" s="399"/>
      <c r="DA48" s="399"/>
      <c r="DB48" s="399"/>
      <c r="DC48" s="399"/>
      <c r="DD48" s="399"/>
      <c r="DE48" s="399"/>
      <c r="DF48" s="399"/>
      <c r="DG48" s="399"/>
      <c r="DH48" s="399"/>
      <c r="DI48" s="399"/>
    </row>
    <row r="49" spans="1:113" x14ac:dyDescent="0.25">
      <c r="A49" s="160"/>
      <c r="B49" s="72" t="s">
        <v>696</v>
      </c>
      <c r="C49" s="54"/>
      <c r="D49" s="54"/>
      <c r="E49" s="54"/>
      <c r="F49" s="54"/>
      <c r="G49" s="54"/>
      <c r="H49" s="54"/>
      <c r="I49" s="54"/>
      <c r="J49" s="54"/>
      <c r="K49" s="54"/>
      <c r="L49"/>
      <c r="M49" s="314">
        <f t="shared" ref="M49:M66" si="13">SUM(N49:DJ49)</f>
        <v>0</v>
      </c>
      <c r="N49" s="310"/>
      <c r="O49" s="315"/>
      <c r="P49" s="315"/>
      <c r="Q49" s="315"/>
      <c r="R49" s="31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55"/>
      <c r="CB49" s="55"/>
      <c r="CC49" s="55"/>
      <c r="CD49" s="55"/>
      <c r="CE49" s="55"/>
      <c r="CF49" s="55"/>
      <c r="CG49" s="55"/>
      <c r="CH49" s="55"/>
      <c r="CI49" s="55"/>
      <c r="CJ49" s="55"/>
      <c r="CK49" s="55"/>
      <c r="CL49" s="55"/>
      <c r="CM49" s="55"/>
      <c r="CN49" s="55"/>
      <c r="CO49" s="55"/>
      <c r="CP49" s="55"/>
      <c r="CQ49" s="55"/>
      <c r="CR49" s="55"/>
      <c r="CS49" s="55"/>
      <c r="CT49" s="55"/>
      <c r="CU49" s="55"/>
      <c r="CV49" s="55"/>
      <c r="CW49" s="55"/>
      <c r="CX49" s="55"/>
      <c r="CY49" s="55"/>
      <c r="CZ49" s="55"/>
      <c r="DA49" s="55"/>
      <c r="DB49" s="55"/>
      <c r="DC49" s="55"/>
      <c r="DD49" s="55"/>
      <c r="DE49" s="55"/>
      <c r="DF49" s="55"/>
      <c r="DG49" s="55"/>
      <c r="DH49" s="55"/>
      <c r="DI49" s="55"/>
    </row>
    <row r="50" spans="1:113" x14ac:dyDescent="0.25">
      <c r="A50" s="152">
        <v>1</v>
      </c>
      <c r="B50" s="79" t="s">
        <v>246</v>
      </c>
      <c r="C50" s="80">
        <v>36000</v>
      </c>
      <c r="D50" s="142">
        <v>3441.45</v>
      </c>
      <c r="E50" s="80">
        <v>46</v>
      </c>
      <c r="F50" s="60"/>
      <c r="G50" s="139">
        <f t="shared" ref="G50:G65" si="14">+E50+F50</f>
        <v>46</v>
      </c>
      <c r="H50" s="55"/>
      <c r="I50" s="56">
        <f t="shared" ref="I50:I65" si="15">+G50-H50</f>
        <v>46</v>
      </c>
      <c r="J50" s="56">
        <f t="shared" ref="J50:J65" si="16">I50*C50</f>
        <v>1656000</v>
      </c>
      <c r="K50" s="57">
        <f t="shared" ref="K50:K65" si="17">+D50*I50</f>
        <v>158306.69999999998</v>
      </c>
      <c r="L50"/>
      <c r="M50" s="314">
        <f t="shared" si="13"/>
        <v>0</v>
      </c>
      <c r="N50" s="310"/>
      <c r="O50" s="315"/>
      <c r="P50" s="315"/>
      <c r="Q50" s="315"/>
      <c r="R50" s="31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row>
    <row r="51" spans="1:113" x14ac:dyDescent="0.25">
      <c r="A51" s="152">
        <v>2</v>
      </c>
      <c r="B51" s="79" t="s">
        <v>247</v>
      </c>
      <c r="C51" s="80">
        <v>7000</v>
      </c>
      <c r="D51" s="142">
        <v>2273.2600000000002</v>
      </c>
      <c r="E51" s="80">
        <v>20</v>
      </c>
      <c r="F51" s="60"/>
      <c r="G51" s="139">
        <f t="shared" si="14"/>
        <v>20</v>
      </c>
      <c r="H51" s="55"/>
      <c r="I51" s="56">
        <f t="shared" si="15"/>
        <v>20</v>
      </c>
      <c r="J51" s="56">
        <f t="shared" si="16"/>
        <v>140000</v>
      </c>
      <c r="K51" s="57">
        <f t="shared" si="17"/>
        <v>45465.200000000004</v>
      </c>
      <c r="L51"/>
      <c r="M51" s="314">
        <f t="shared" si="13"/>
        <v>0</v>
      </c>
      <c r="N51" s="310"/>
      <c r="O51" s="315"/>
      <c r="P51" s="315"/>
      <c r="Q51" s="315"/>
      <c r="R51" s="31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row>
    <row r="52" spans="1:113" x14ac:dyDescent="0.25">
      <c r="A52" s="152">
        <v>3</v>
      </c>
      <c r="B52" s="79" t="s">
        <v>248</v>
      </c>
      <c r="C52" s="80">
        <v>5000</v>
      </c>
      <c r="D52" s="142">
        <v>2153.71</v>
      </c>
      <c r="E52" s="80">
        <f>93+1</f>
        <v>94</v>
      </c>
      <c r="F52" s="60"/>
      <c r="G52" s="139">
        <f t="shared" si="14"/>
        <v>94</v>
      </c>
      <c r="H52" s="55"/>
      <c r="I52" s="56">
        <f t="shared" si="15"/>
        <v>94</v>
      </c>
      <c r="J52" s="56">
        <f t="shared" si="16"/>
        <v>470000</v>
      </c>
      <c r="K52" s="57">
        <f t="shared" si="17"/>
        <v>202448.74</v>
      </c>
      <c r="L52"/>
      <c r="M52" s="314">
        <f t="shared" si="13"/>
        <v>0</v>
      </c>
      <c r="N52" s="310"/>
      <c r="O52" s="315"/>
      <c r="P52" s="315"/>
      <c r="Q52" s="315"/>
      <c r="R52" s="31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row>
    <row r="53" spans="1:113" x14ac:dyDescent="0.25">
      <c r="A53" s="152">
        <v>4</v>
      </c>
      <c r="B53" s="79" t="s">
        <v>249</v>
      </c>
      <c r="C53" s="80">
        <v>5000</v>
      </c>
      <c r="D53" s="142">
        <v>2199.44</v>
      </c>
      <c r="E53" s="80">
        <v>2</v>
      </c>
      <c r="F53" s="60"/>
      <c r="G53" s="139">
        <f t="shared" si="14"/>
        <v>2</v>
      </c>
      <c r="H53" s="55"/>
      <c r="I53" s="56">
        <f t="shared" si="15"/>
        <v>2</v>
      </c>
      <c r="J53" s="56">
        <f t="shared" si="16"/>
        <v>10000</v>
      </c>
      <c r="K53" s="57">
        <f t="shared" si="17"/>
        <v>4398.88</v>
      </c>
      <c r="L53"/>
      <c r="M53" s="314">
        <f t="shared" si="13"/>
        <v>0</v>
      </c>
      <c r="N53" s="310"/>
      <c r="O53" s="315"/>
      <c r="P53" s="315"/>
      <c r="Q53" s="315"/>
      <c r="R53" s="315"/>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row>
    <row r="54" spans="1:113" x14ac:dyDescent="0.25">
      <c r="A54" s="152">
        <v>5</v>
      </c>
      <c r="B54" s="79" t="s">
        <v>250</v>
      </c>
      <c r="C54" s="80">
        <v>8000</v>
      </c>
      <c r="D54" s="142">
        <v>1017.98</v>
      </c>
      <c r="E54" s="80">
        <v>244</v>
      </c>
      <c r="F54" s="60"/>
      <c r="G54" s="139">
        <f t="shared" si="14"/>
        <v>244</v>
      </c>
      <c r="H54" s="55"/>
      <c r="I54" s="56">
        <f t="shared" si="15"/>
        <v>244</v>
      </c>
      <c r="J54" s="56">
        <f t="shared" si="16"/>
        <v>1952000</v>
      </c>
      <c r="K54" s="57">
        <f t="shared" si="17"/>
        <v>248387.12</v>
      </c>
      <c r="L54"/>
      <c r="M54" s="314">
        <f t="shared" si="13"/>
        <v>0</v>
      </c>
      <c r="N54" s="310"/>
      <c r="O54" s="315"/>
      <c r="P54" s="315"/>
      <c r="Q54" s="315"/>
      <c r="R54" s="31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row>
    <row r="55" spans="1:113" x14ac:dyDescent="0.25">
      <c r="A55" s="152">
        <v>6</v>
      </c>
      <c r="B55" s="79" t="s">
        <v>251</v>
      </c>
      <c r="C55" s="80">
        <v>5000</v>
      </c>
      <c r="D55" s="142">
        <v>2196.98</v>
      </c>
      <c r="E55" s="80">
        <v>15</v>
      </c>
      <c r="F55" s="60"/>
      <c r="G55" s="139">
        <f t="shared" si="14"/>
        <v>15</v>
      </c>
      <c r="H55" s="55"/>
      <c r="I55" s="56">
        <f t="shared" si="15"/>
        <v>15</v>
      </c>
      <c r="J55" s="56">
        <f t="shared" si="16"/>
        <v>75000</v>
      </c>
      <c r="K55" s="57">
        <f t="shared" si="17"/>
        <v>32954.699999999997</v>
      </c>
      <c r="L55"/>
      <c r="M55" s="314">
        <f t="shared" si="13"/>
        <v>0</v>
      </c>
      <c r="N55" s="310"/>
      <c r="O55" s="315"/>
      <c r="P55" s="315"/>
      <c r="Q55" s="315"/>
      <c r="R55" s="315"/>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row>
    <row r="56" spans="1:113" x14ac:dyDescent="0.25">
      <c r="A56" s="152">
        <v>7</v>
      </c>
      <c r="B56" s="79" t="s">
        <v>252</v>
      </c>
      <c r="C56" s="80">
        <v>5000</v>
      </c>
      <c r="D56" s="142">
        <v>1017.98</v>
      </c>
      <c r="E56" s="80">
        <v>5</v>
      </c>
      <c r="F56" s="60"/>
      <c r="G56" s="139">
        <f t="shared" si="14"/>
        <v>5</v>
      </c>
      <c r="H56" s="55"/>
      <c r="I56" s="56">
        <f t="shared" si="15"/>
        <v>5</v>
      </c>
      <c r="J56" s="56">
        <f t="shared" si="16"/>
        <v>25000</v>
      </c>
      <c r="K56" s="57">
        <f t="shared" si="17"/>
        <v>5089.8999999999996</v>
      </c>
      <c r="L56"/>
      <c r="M56" s="314">
        <f t="shared" si="13"/>
        <v>0</v>
      </c>
      <c r="N56" s="310"/>
      <c r="O56" s="315"/>
      <c r="P56" s="315"/>
      <c r="Q56" s="315"/>
      <c r="R56" s="315"/>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55"/>
      <c r="CB56" s="55"/>
      <c r="CC56" s="55"/>
      <c r="CD56" s="55"/>
      <c r="CE56" s="55"/>
      <c r="CF56" s="55"/>
      <c r="CG56" s="55"/>
      <c r="CH56" s="55"/>
      <c r="CI56" s="55"/>
      <c r="CJ56" s="55"/>
      <c r="CK56" s="55"/>
      <c r="CL56" s="55"/>
      <c r="CM56" s="55"/>
      <c r="CN56" s="55"/>
      <c r="CO56" s="55"/>
      <c r="CP56" s="55"/>
      <c r="CQ56" s="55"/>
      <c r="CR56" s="55"/>
      <c r="CS56" s="55"/>
      <c r="CT56" s="55"/>
      <c r="CU56" s="55"/>
      <c r="CV56" s="55"/>
      <c r="CW56" s="55"/>
      <c r="CX56" s="55"/>
      <c r="CY56" s="55"/>
      <c r="CZ56" s="55"/>
      <c r="DA56" s="55"/>
      <c r="DB56" s="55"/>
      <c r="DC56" s="55"/>
      <c r="DD56" s="55"/>
      <c r="DE56" s="55"/>
      <c r="DF56" s="55"/>
      <c r="DG56" s="55"/>
      <c r="DH56" s="55"/>
      <c r="DI56" s="55"/>
    </row>
    <row r="57" spans="1:113" x14ac:dyDescent="0.25">
      <c r="A57" s="152">
        <v>8</v>
      </c>
      <c r="B57" s="79" t="s">
        <v>253</v>
      </c>
      <c r="C57" s="80">
        <v>10000</v>
      </c>
      <c r="D57" s="142">
        <v>1017.98</v>
      </c>
      <c r="E57" s="80">
        <v>32</v>
      </c>
      <c r="F57" s="60"/>
      <c r="G57" s="139">
        <f t="shared" si="14"/>
        <v>32</v>
      </c>
      <c r="H57" s="55"/>
      <c r="I57" s="56">
        <f t="shared" si="15"/>
        <v>32</v>
      </c>
      <c r="J57" s="56">
        <f t="shared" si="16"/>
        <v>320000</v>
      </c>
      <c r="K57" s="57">
        <f t="shared" si="17"/>
        <v>32575.360000000001</v>
      </c>
      <c r="L57"/>
      <c r="M57" s="314">
        <f t="shared" si="13"/>
        <v>0</v>
      </c>
      <c r="N57" s="310"/>
      <c r="O57" s="315"/>
      <c r="P57" s="315"/>
      <c r="Q57" s="315"/>
      <c r="R57" s="315"/>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55"/>
      <c r="CB57" s="55"/>
      <c r="CC57" s="55"/>
      <c r="CD57" s="55"/>
      <c r="CE57" s="55"/>
      <c r="CF57" s="55"/>
      <c r="CG57" s="55"/>
      <c r="CH57" s="55"/>
      <c r="CI57" s="55"/>
      <c r="CJ57" s="55"/>
      <c r="CK57" s="55"/>
      <c r="CL57" s="55"/>
      <c r="CM57" s="55"/>
      <c r="CN57" s="55"/>
      <c r="CO57" s="55"/>
      <c r="CP57" s="55"/>
      <c r="CQ57" s="55"/>
      <c r="CR57" s="55"/>
      <c r="CS57" s="55"/>
      <c r="CT57" s="55"/>
      <c r="CU57" s="55"/>
      <c r="CV57" s="55"/>
      <c r="CW57" s="55"/>
      <c r="CX57" s="55"/>
      <c r="CY57" s="55"/>
      <c r="CZ57" s="55"/>
      <c r="DA57" s="55"/>
      <c r="DB57" s="55"/>
      <c r="DC57" s="55"/>
      <c r="DD57" s="55"/>
      <c r="DE57" s="55"/>
      <c r="DF57" s="55"/>
      <c r="DG57" s="55"/>
      <c r="DH57" s="55"/>
      <c r="DI57" s="55"/>
    </row>
    <row r="58" spans="1:113" x14ac:dyDescent="0.25">
      <c r="A58" s="152">
        <v>9</v>
      </c>
      <c r="B58" s="79" t="s">
        <v>254</v>
      </c>
      <c r="C58" s="80">
        <v>12000</v>
      </c>
      <c r="D58" s="142">
        <v>1017.98</v>
      </c>
      <c r="E58" s="80">
        <v>2</v>
      </c>
      <c r="F58" s="60"/>
      <c r="G58" s="139">
        <f t="shared" si="14"/>
        <v>2</v>
      </c>
      <c r="H58" s="55"/>
      <c r="I58" s="56">
        <f t="shared" si="15"/>
        <v>2</v>
      </c>
      <c r="J58" s="56">
        <f t="shared" si="16"/>
        <v>24000</v>
      </c>
      <c r="K58" s="57">
        <f t="shared" si="17"/>
        <v>2035.96</v>
      </c>
      <c r="L58"/>
      <c r="M58" s="314">
        <f t="shared" si="13"/>
        <v>0</v>
      </c>
      <c r="N58" s="310"/>
      <c r="O58" s="315"/>
      <c r="P58" s="315"/>
      <c r="Q58" s="315"/>
      <c r="R58" s="315"/>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55"/>
      <c r="CA58" s="55"/>
      <c r="CB58" s="55"/>
      <c r="CC58" s="55"/>
      <c r="CD58" s="55"/>
      <c r="CE58" s="55"/>
      <c r="CF58" s="55"/>
      <c r="CG58" s="55"/>
      <c r="CH58" s="55"/>
      <c r="CI58" s="55"/>
      <c r="CJ58" s="55"/>
      <c r="CK58" s="55"/>
      <c r="CL58" s="55"/>
      <c r="CM58" s="55"/>
      <c r="CN58" s="55"/>
      <c r="CO58" s="55"/>
      <c r="CP58" s="55"/>
      <c r="CQ58" s="55"/>
      <c r="CR58" s="55"/>
      <c r="CS58" s="55"/>
      <c r="CT58" s="55"/>
      <c r="CU58" s="55"/>
      <c r="CV58" s="55"/>
      <c r="CW58" s="55"/>
      <c r="CX58" s="55"/>
      <c r="CY58" s="55"/>
      <c r="CZ58" s="55"/>
      <c r="DA58" s="55"/>
      <c r="DB58" s="55"/>
      <c r="DC58" s="55"/>
      <c r="DD58" s="55"/>
      <c r="DE58" s="55"/>
      <c r="DF58" s="55"/>
      <c r="DG58" s="55"/>
      <c r="DH58" s="55"/>
      <c r="DI58" s="55"/>
    </row>
    <row r="59" spans="1:113" x14ac:dyDescent="0.25">
      <c r="A59" s="152">
        <v>10</v>
      </c>
      <c r="B59" s="79" t="s">
        <v>255</v>
      </c>
      <c r="C59" s="80">
        <v>8000</v>
      </c>
      <c r="D59" s="142">
        <v>1842.98</v>
      </c>
      <c r="E59" s="80">
        <v>93</v>
      </c>
      <c r="F59" s="60"/>
      <c r="G59" s="139">
        <f t="shared" si="14"/>
        <v>93</v>
      </c>
      <c r="H59" s="55"/>
      <c r="I59" s="56">
        <f t="shared" si="15"/>
        <v>93</v>
      </c>
      <c r="J59" s="56">
        <f t="shared" si="16"/>
        <v>744000</v>
      </c>
      <c r="K59" s="57">
        <f t="shared" si="17"/>
        <v>171397.14</v>
      </c>
      <c r="L59"/>
      <c r="M59" s="314">
        <f t="shared" si="13"/>
        <v>0</v>
      </c>
      <c r="N59" s="310"/>
      <c r="O59" s="315"/>
      <c r="P59" s="315"/>
      <c r="Q59" s="315"/>
      <c r="R59" s="31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55"/>
      <c r="CZ59" s="55"/>
      <c r="DA59" s="55"/>
      <c r="DB59" s="55"/>
      <c r="DC59" s="55"/>
      <c r="DD59" s="55"/>
      <c r="DE59" s="55"/>
      <c r="DF59" s="55"/>
      <c r="DG59" s="55"/>
      <c r="DH59" s="55"/>
      <c r="DI59" s="55"/>
    </row>
    <row r="60" spans="1:113" x14ac:dyDescent="0.25">
      <c r="A60" s="152">
        <v>11</v>
      </c>
      <c r="B60" s="79" t="s">
        <v>256</v>
      </c>
      <c r="C60" s="80">
        <v>6000</v>
      </c>
      <c r="D60" s="142">
        <v>1785.68</v>
      </c>
      <c r="E60" s="80">
        <v>48</v>
      </c>
      <c r="F60" s="60"/>
      <c r="G60" s="139">
        <f t="shared" si="14"/>
        <v>48</v>
      </c>
      <c r="H60" s="55"/>
      <c r="I60" s="56">
        <f t="shared" si="15"/>
        <v>48</v>
      </c>
      <c r="J60" s="56">
        <f t="shared" si="16"/>
        <v>288000</v>
      </c>
      <c r="K60" s="57">
        <f t="shared" si="17"/>
        <v>85712.639999999999</v>
      </c>
      <c r="L60"/>
      <c r="M60" s="314">
        <f t="shared" si="13"/>
        <v>0</v>
      </c>
      <c r="N60" s="310"/>
      <c r="O60" s="315"/>
      <c r="P60" s="315"/>
      <c r="Q60" s="315"/>
      <c r="R60" s="31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row>
    <row r="61" spans="1:113" x14ac:dyDescent="0.25">
      <c r="A61" s="152">
        <v>12</v>
      </c>
      <c r="B61" s="79" t="s">
        <v>257</v>
      </c>
      <c r="C61" s="80">
        <v>5000</v>
      </c>
      <c r="D61" s="142">
        <v>1599.54</v>
      </c>
      <c r="E61" s="80">
        <v>10</v>
      </c>
      <c r="F61" s="60"/>
      <c r="G61" s="139">
        <f t="shared" si="14"/>
        <v>10</v>
      </c>
      <c r="H61" s="55"/>
      <c r="I61" s="56">
        <f t="shared" si="15"/>
        <v>10</v>
      </c>
      <c r="J61" s="56">
        <f t="shared" si="16"/>
        <v>50000</v>
      </c>
      <c r="K61" s="57">
        <f t="shared" si="17"/>
        <v>15995.4</v>
      </c>
      <c r="L61"/>
      <c r="M61" s="314">
        <f t="shared" si="13"/>
        <v>0</v>
      </c>
      <c r="N61" s="310"/>
      <c r="O61" s="315"/>
      <c r="P61" s="315"/>
      <c r="Q61" s="315"/>
      <c r="R61" s="31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55"/>
      <c r="CZ61" s="55"/>
      <c r="DA61" s="55"/>
      <c r="DB61" s="55"/>
      <c r="DC61" s="55"/>
      <c r="DD61" s="55"/>
      <c r="DE61" s="55"/>
      <c r="DF61" s="55"/>
      <c r="DG61" s="55"/>
      <c r="DH61" s="55"/>
      <c r="DI61" s="55"/>
    </row>
    <row r="62" spans="1:113" x14ac:dyDescent="0.25">
      <c r="A62" s="152">
        <v>13</v>
      </c>
      <c r="B62" s="79" t="s">
        <v>258</v>
      </c>
      <c r="C62" s="80">
        <v>4000</v>
      </c>
      <c r="D62" s="142">
        <v>1127.98</v>
      </c>
      <c r="E62" s="80">
        <v>56</v>
      </c>
      <c r="F62" s="60"/>
      <c r="G62" s="139">
        <f t="shared" si="14"/>
        <v>56</v>
      </c>
      <c r="H62" s="55"/>
      <c r="I62" s="56">
        <f t="shared" si="15"/>
        <v>56</v>
      </c>
      <c r="J62" s="56">
        <f t="shared" si="16"/>
        <v>224000</v>
      </c>
      <c r="K62" s="57">
        <f t="shared" si="17"/>
        <v>63166.880000000005</v>
      </c>
      <c r="L62"/>
      <c r="M62" s="314">
        <f t="shared" si="13"/>
        <v>0</v>
      </c>
      <c r="N62" s="310"/>
      <c r="O62" s="315"/>
      <c r="P62" s="315"/>
      <c r="Q62" s="315"/>
      <c r="R62" s="31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row>
    <row r="63" spans="1:113" x14ac:dyDescent="0.25">
      <c r="A63" s="152">
        <v>14</v>
      </c>
      <c r="B63" s="79" t="s">
        <v>259</v>
      </c>
      <c r="C63" s="80">
        <v>8000</v>
      </c>
      <c r="D63" s="142">
        <v>1347.98</v>
      </c>
      <c r="E63" s="80">
        <v>50</v>
      </c>
      <c r="F63" s="60"/>
      <c r="G63" s="139">
        <f t="shared" si="14"/>
        <v>50</v>
      </c>
      <c r="H63" s="55"/>
      <c r="I63" s="56">
        <f t="shared" si="15"/>
        <v>50</v>
      </c>
      <c r="J63" s="56">
        <f t="shared" si="16"/>
        <v>400000</v>
      </c>
      <c r="K63" s="57">
        <f t="shared" si="17"/>
        <v>67399</v>
      </c>
      <c r="L63"/>
      <c r="M63" s="314">
        <f t="shared" si="13"/>
        <v>0</v>
      </c>
      <c r="N63" s="310"/>
      <c r="O63" s="315"/>
      <c r="P63" s="315"/>
      <c r="Q63" s="315"/>
      <c r="R63" s="31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c r="CN63" s="55"/>
      <c r="CO63" s="55"/>
      <c r="CP63" s="55"/>
      <c r="CQ63" s="55"/>
      <c r="CR63" s="55"/>
      <c r="CS63" s="55"/>
      <c r="CT63" s="55"/>
      <c r="CU63" s="55"/>
      <c r="CV63" s="55"/>
      <c r="CW63" s="55"/>
      <c r="CX63" s="55"/>
      <c r="CY63" s="55"/>
      <c r="CZ63" s="55"/>
      <c r="DA63" s="55"/>
      <c r="DB63" s="55"/>
      <c r="DC63" s="55"/>
      <c r="DD63" s="55"/>
      <c r="DE63" s="55"/>
      <c r="DF63" s="55"/>
      <c r="DG63" s="55"/>
      <c r="DH63" s="55"/>
      <c r="DI63" s="55"/>
    </row>
    <row r="64" spans="1:113" x14ac:dyDescent="0.25">
      <c r="A64" s="152">
        <v>15</v>
      </c>
      <c r="B64" s="79" t="s">
        <v>260</v>
      </c>
      <c r="C64" s="80">
        <v>5000</v>
      </c>
      <c r="D64" s="142">
        <v>1017.98</v>
      </c>
      <c r="E64" s="43">
        <v>16</v>
      </c>
      <c r="F64" s="60"/>
      <c r="G64" s="139">
        <f t="shared" si="14"/>
        <v>16</v>
      </c>
      <c r="H64" s="55"/>
      <c r="I64" s="56">
        <f t="shared" si="15"/>
        <v>16</v>
      </c>
      <c r="J64" s="56">
        <f t="shared" si="16"/>
        <v>80000</v>
      </c>
      <c r="K64" s="57">
        <f t="shared" si="17"/>
        <v>16287.68</v>
      </c>
      <c r="L64"/>
      <c r="M64" s="314">
        <f t="shared" si="13"/>
        <v>0</v>
      </c>
      <c r="N64" s="310"/>
      <c r="O64" s="315"/>
      <c r="P64" s="315"/>
      <c r="Q64" s="315"/>
      <c r="R64" s="31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55"/>
      <c r="CZ64" s="55"/>
      <c r="DA64" s="55"/>
      <c r="DB64" s="55"/>
      <c r="DC64" s="55"/>
      <c r="DD64" s="55"/>
      <c r="DE64" s="55"/>
      <c r="DF64" s="55"/>
      <c r="DG64" s="55"/>
      <c r="DH64" s="55"/>
      <c r="DI64" s="55"/>
    </row>
    <row r="65" spans="1:113" ht="15.75" thickBot="1" x14ac:dyDescent="0.3">
      <c r="A65" s="153">
        <v>16</v>
      </c>
      <c r="B65" s="144" t="s">
        <v>261</v>
      </c>
      <c r="C65" s="82">
        <v>5000</v>
      </c>
      <c r="D65" s="145">
        <v>1017.98</v>
      </c>
      <c r="E65" s="154">
        <v>11</v>
      </c>
      <c r="F65" s="156"/>
      <c r="G65" s="147">
        <f t="shared" si="14"/>
        <v>11</v>
      </c>
      <c r="H65" s="58"/>
      <c r="I65" s="64">
        <f t="shared" si="15"/>
        <v>11</v>
      </c>
      <c r="J65" s="64">
        <f t="shared" si="16"/>
        <v>55000</v>
      </c>
      <c r="K65" s="65">
        <f t="shared" si="17"/>
        <v>11197.78</v>
      </c>
      <c r="L65"/>
      <c r="M65" s="314">
        <f t="shared" si="13"/>
        <v>0</v>
      </c>
      <c r="N65" s="310"/>
      <c r="O65" s="315"/>
      <c r="P65" s="315"/>
      <c r="Q65" s="315"/>
      <c r="R65" s="31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BX65" s="55"/>
      <c r="BY65" s="55"/>
      <c r="BZ65" s="55"/>
      <c r="CA65" s="55"/>
      <c r="CB65" s="55"/>
      <c r="CC65" s="55"/>
      <c r="CD65" s="55"/>
      <c r="CE65" s="55"/>
      <c r="CF65" s="55"/>
      <c r="CG65" s="55"/>
      <c r="CH65" s="55"/>
      <c r="CI65" s="55"/>
      <c r="CJ65" s="55"/>
      <c r="CK65" s="55"/>
      <c r="CL65" s="55"/>
      <c r="CM65" s="55"/>
      <c r="CN65" s="55"/>
      <c r="CO65" s="55"/>
      <c r="CP65" s="55"/>
      <c r="CQ65" s="55"/>
      <c r="CR65" s="55"/>
      <c r="CS65" s="55"/>
      <c r="CT65" s="55"/>
      <c r="CU65" s="55"/>
      <c r="CV65" s="55"/>
      <c r="CW65" s="55"/>
      <c r="CX65" s="55"/>
      <c r="CY65" s="55"/>
      <c r="CZ65" s="55"/>
      <c r="DA65" s="55"/>
      <c r="DB65" s="55"/>
      <c r="DC65" s="55"/>
      <c r="DD65" s="55"/>
      <c r="DE65" s="55"/>
      <c r="DF65" s="55"/>
      <c r="DG65" s="55"/>
      <c r="DH65" s="55"/>
      <c r="DI65" s="55"/>
    </row>
    <row r="66" spans="1:113" ht="15.75" thickBot="1" x14ac:dyDescent="0.3">
      <c r="A66" s="128"/>
      <c r="B66" s="119" t="s">
        <v>662</v>
      </c>
      <c r="C66" s="36"/>
      <c r="D66" s="35"/>
      <c r="E66" s="35">
        <f>SUM(E50:E65)</f>
        <v>744</v>
      </c>
      <c r="F66" s="35">
        <f>SUM(F50:F65)</f>
        <v>0</v>
      </c>
      <c r="G66" s="35">
        <f>SUM(G50:G65)</f>
        <v>744</v>
      </c>
      <c r="H66" s="35">
        <f>SUM(H50:H65)</f>
        <v>0</v>
      </c>
      <c r="I66" s="35">
        <f>SUM(I50:I65)</f>
        <v>744</v>
      </c>
      <c r="J66" s="35">
        <f t="shared" ref="J66:K66" si="18">SUM(J50:J65)</f>
        <v>6513000</v>
      </c>
      <c r="K66" s="66">
        <f t="shared" si="18"/>
        <v>1162819.08</v>
      </c>
      <c r="L66"/>
      <c r="M66" s="326">
        <f t="shared" si="13"/>
        <v>0</v>
      </c>
      <c r="N66" s="325"/>
      <c r="O66" s="325"/>
      <c r="P66" s="325"/>
      <c r="Q66" s="325"/>
      <c r="R66" s="325"/>
      <c r="S66" s="324"/>
      <c r="T66" s="324"/>
      <c r="U66" s="324"/>
      <c r="V66" s="324"/>
      <c r="W66" s="324"/>
      <c r="X66" s="324"/>
      <c r="Y66" s="324"/>
      <c r="Z66" s="324"/>
      <c r="AA66" s="324"/>
      <c r="AB66" s="324"/>
      <c r="AC66" s="324"/>
      <c r="AD66" s="324"/>
      <c r="AE66" s="324"/>
      <c r="AF66" s="324"/>
      <c r="AG66" s="324"/>
      <c r="AH66" s="324"/>
      <c r="AI66" s="324"/>
      <c r="AJ66" s="324"/>
      <c r="AK66" s="324"/>
      <c r="AL66" s="324"/>
      <c r="AM66" s="324"/>
      <c r="AN66" s="324"/>
      <c r="AO66" s="324"/>
      <c r="AP66" s="324"/>
      <c r="AQ66" s="324"/>
      <c r="AR66" s="324"/>
      <c r="AS66" s="324"/>
      <c r="AT66" s="324"/>
      <c r="AU66" s="324"/>
      <c r="AV66" s="324"/>
      <c r="AW66" s="324"/>
      <c r="AX66" s="324"/>
      <c r="AY66" s="324"/>
      <c r="AZ66" s="324"/>
      <c r="BA66" s="324"/>
      <c r="BB66" s="324"/>
      <c r="BC66" s="324"/>
      <c r="BD66" s="324"/>
      <c r="BE66" s="324"/>
      <c r="BF66" s="324"/>
      <c r="BG66" s="324"/>
      <c r="BH66" s="324"/>
      <c r="BI66" s="324"/>
      <c r="BJ66" s="324"/>
      <c r="BK66" s="324"/>
      <c r="BL66" s="324"/>
      <c r="BM66" s="324"/>
      <c r="BN66" s="324"/>
      <c r="BO66" s="324"/>
      <c r="BP66" s="324"/>
      <c r="BQ66" s="324"/>
      <c r="BR66" s="324"/>
      <c r="BS66" s="324"/>
      <c r="BT66" s="324"/>
      <c r="BU66" s="324"/>
      <c r="BV66" s="324"/>
      <c r="BW66" s="324"/>
      <c r="BX66" s="324"/>
      <c r="BY66" s="324"/>
      <c r="BZ66" s="324"/>
      <c r="CA66" s="324"/>
      <c r="CB66" s="324"/>
      <c r="CC66" s="324"/>
      <c r="CD66" s="324"/>
      <c r="CE66" s="324"/>
      <c r="CF66" s="324"/>
      <c r="CG66" s="324"/>
      <c r="CH66" s="324"/>
      <c r="CI66" s="324"/>
      <c r="CJ66" s="324"/>
      <c r="CK66" s="324"/>
      <c r="CL66" s="324"/>
      <c r="CM66" s="324"/>
      <c r="CN66" s="324"/>
      <c r="CO66" s="324"/>
      <c r="CP66" s="324"/>
      <c r="CQ66" s="324"/>
      <c r="CR66" s="324"/>
      <c r="CS66" s="324"/>
      <c r="CT66" s="324"/>
      <c r="CU66" s="324"/>
      <c r="CV66" s="324"/>
      <c r="CW66" s="324"/>
      <c r="CX66" s="324"/>
      <c r="CY66" s="324"/>
      <c r="CZ66" s="324"/>
      <c r="DA66" s="324"/>
      <c r="DB66" s="324"/>
      <c r="DC66" s="324"/>
      <c r="DD66" s="324"/>
      <c r="DE66" s="324"/>
      <c r="DF66" s="324"/>
      <c r="DG66" s="324"/>
      <c r="DH66" s="324"/>
      <c r="DI66" s="324"/>
    </row>
    <row r="67" spans="1:113" ht="15.75" thickBot="1" x14ac:dyDescent="0.3">
      <c r="B67" s="161"/>
      <c r="C67" s="162"/>
      <c r="D67" s="163"/>
      <c r="E67" s="164"/>
      <c r="F67" s="67"/>
      <c r="G67" s="164"/>
      <c r="H67" s="164"/>
      <c r="I67" s="164"/>
      <c r="J67" s="164"/>
      <c r="K67" s="163"/>
      <c r="L67"/>
      <c r="M67"/>
      <c r="N67"/>
      <c r="O67"/>
      <c r="P67"/>
      <c r="Q67"/>
      <c r="R67"/>
      <c r="S67"/>
      <c r="T67"/>
      <c r="U67"/>
      <c r="V67"/>
    </row>
    <row r="68" spans="1:113" ht="15.75" thickBot="1" x14ac:dyDescent="0.3">
      <c r="A68" s="407" t="s">
        <v>657</v>
      </c>
      <c r="B68" s="414" t="s">
        <v>708</v>
      </c>
      <c r="C68" s="414" t="s">
        <v>1</v>
      </c>
      <c r="D68" s="415" t="s">
        <v>649</v>
      </c>
      <c r="E68" s="416" t="s">
        <v>19</v>
      </c>
      <c r="F68" s="416"/>
      <c r="G68" s="416"/>
      <c r="H68" s="416"/>
      <c r="I68" s="416"/>
      <c r="J68" s="410" t="s">
        <v>21</v>
      </c>
      <c r="K68" s="417" t="s">
        <v>602</v>
      </c>
      <c r="L68"/>
      <c r="M68" s="403" t="s">
        <v>601</v>
      </c>
      <c r="N68" s="403" t="s">
        <v>924</v>
      </c>
      <c r="O68" s="403"/>
      <c r="P68" s="403"/>
      <c r="Q68" s="403"/>
      <c r="R68" s="403"/>
      <c r="S68" s="403"/>
      <c r="T68" s="403"/>
      <c r="U68" s="403"/>
      <c r="V68" s="403"/>
      <c r="W68" s="403"/>
      <c r="X68" s="403"/>
      <c r="Y68" s="403"/>
      <c r="Z68" s="403"/>
      <c r="AA68" s="403"/>
      <c r="AB68" s="403"/>
      <c r="AC68" s="403"/>
      <c r="AD68" s="403"/>
      <c r="AE68" s="403"/>
      <c r="AF68" s="403"/>
      <c r="AG68" s="403"/>
      <c r="AH68" s="403"/>
      <c r="AI68" s="403"/>
      <c r="AJ68" s="403"/>
      <c r="AK68" s="403"/>
      <c r="AL68" s="403"/>
      <c r="AM68" s="403"/>
      <c r="AN68" s="403"/>
      <c r="AO68" s="403"/>
      <c r="AP68" s="403"/>
      <c r="AQ68" s="403"/>
      <c r="AR68" s="403"/>
      <c r="AS68" s="403"/>
      <c r="AT68" s="403"/>
      <c r="AU68" s="403"/>
      <c r="AV68" s="403"/>
      <c r="AW68" s="403"/>
      <c r="AX68" s="403"/>
      <c r="AY68" s="403"/>
      <c r="AZ68" s="403"/>
      <c r="BA68" s="403"/>
      <c r="BB68" s="403"/>
      <c r="BC68" s="403"/>
      <c r="BD68" s="403"/>
      <c r="BE68" s="403"/>
      <c r="BF68" s="403"/>
      <c r="BG68" s="403"/>
      <c r="BH68" s="403"/>
      <c r="BI68" s="403"/>
      <c r="BJ68" s="403"/>
      <c r="BK68" s="403"/>
      <c r="BL68" s="403"/>
      <c r="BM68" s="403"/>
      <c r="BN68" s="403"/>
      <c r="BO68" s="403"/>
      <c r="BP68" s="403"/>
      <c r="BQ68" s="403"/>
      <c r="BR68" s="403"/>
      <c r="BS68" s="403"/>
      <c r="BT68" s="403"/>
      <c r="BU68" s="403"/>
      <c r="BV68" s="403"/>
      <c r="BW68" s="403"/>
      <c r="BX68" s="403"/>
      <c r="BY68" s="403"/>
      <c r="BZ68" s="403"/>
      <c r="CA68" s="403"/>
      <c r="CB68" s="403"/>
      <c r="CC68" s="403"/>
      <c r="CD68" s="403"/>
      <c r="CE68" s="403"/>
      <c r="CF68" s="403"/>
      <c r="CG68" s="403"/>
      <c r="CH68" s="403"/>
      <c r="CI68" s="403"/>
      <c r="CJ68" s="403"/>
      <c r="CK68" s="403"/>
      <c r="CL68" s="403"/>
      <c r="CM68" s="403"/>
      <c r="CN68" s="403"/>
      <c r="CO68" s="403"/>
      <c r="CP68" s="403"/>
      <c r="CQ68" s="403"/>
      <c r="CR68" s="403"/>
      <c r="CS68" s="403"/>
      <c r="CT68" s="403"/>
      <c r="CU68" s="403"/>
      <c r="CV68" s="403"/>
      <c r="CW68" s="403"/>
      <c r="CX68" s="403"/>
      <c r="CY68" s="403"/>
      <c r="CZ68" s="403"/>
      <c r="DA68" s="403"/>
      <c r="DB68" s="403"/>
      <c r="DC68" s="403"/>
      <c r="DD68" s="403"/>
      <c r="DE68" s="403"/>
      <c r="DF68" s="403"/>
      <c r="DG68" s="403"/>
      <c r="DH68" s="403"/>
      <c r="DI68" s="403"/>
    </row>
    <row r="69" spans="1:113" ht="30.75" thickBot="1" x14ac:dyDescent="0.3">
      <c r="A69" s="408"/>
      <c r="B69" s="414"/>
      <c r="C69" s="414"/>
      <c r="D69" s="415"/>
      <c r="E69" s="68" t="s">
        <v>22</v>
      </c>
      <c r="F69" s="68" t="s">
        <v>600</v>
      </c>
      <c r="G69" s="68" t="s">
        <v>601</v>
      </c>
      <c r="H69" s="68" t="s">
        <v>589</v>
      </c>
      <c r="I69" s="68" t="s">
        <v>601</v>
      </c>
      <c r="J69" s="411"/>
      <c r="K69" s="418"/>
      <c r="L69"/>
      <c r="M69" s="403"/>
      <c r="N69" s="400" t="s">
        <v>925</v>
      </c>
      <c r="O69" s="400" t="s">
        <v>926</v>
      </c>
      <c r="P69" s="400"/>
      <c r="Q69" s="400"/>
      <c r="R69" s="400"/>
      <c r="S69" s="398"/>
      <c r="T69" s="398"/>
      <c r="U69" s="398"/>
      <c r="V69" s="398"/>
      <c r="W69" s="398"/>
      <c r="X69" s="398"/>
      <c r="Y69" s="398"/>
      <c r="Z69" s="398"/>
      <c r="AA69" s="398"/>
      <c r="AB69" s="398"/>
      <c r="AC69" s="398"/>
      <c r="AD69" s="398"/>
      <c r="AE69" s="398"/>
      <c r="AF69" s="398"/>
      <c r="AG69" s="398"/>
      <c r="AH69" s="398"/>
      <c r="AI69" s="398"/>
      <c r="AJ69" s="398"/>
      <c r="AK69" s="398"/>
      <c r="AL69" s="398"/>
      <c r="AM69" s="398"/>
      <c r="AN69" s="398"/>
      <c r="AO69" s="398"/>
      <c r="AP69" s="398"/>
      <c r="AQ69" s="398"/>
      <c r="AR69" s="398"/>
      <c r="AS69" s="398"/>
      <c r="AT69" s="398"/>
      <c r="AU69" s="398"/>
      <c r="AV69" s="398"/>
      <c r="AW69" s="398"/>
      <c r="AX69" s="398"/>
      <c r="AY69" s="398"/>
      <c r="AZ69" s="398"/>
      <c r="BA69" s="398"/>
      <c r="BB69" s="398"/>
      <c r="BC69" s="398"/>
      <c r="BD69" s="398"/>
      <c r="BE69" s="398"/>
      <c r="BF69" s="398"/>
      <c r="BG69" s="398"/>
      <c r="BH69" s="398"/>
      <c r="BI69" s="398"/>
      <c r="BJ69" s="398"/>
      <c r="BK69" s="398"/>
      <c r="BL69" s="398"/>
      <c r="BM69" s="398"/>
      <c r="BN69" s="398"/>
      <c r="BO69" s="398"/>
      <c r="BP69" s="398"/>
      <c r="BQ69" s="398"/>
      <c r="BR69" s="398"/>
      <c r="BS69" s="398"/>
      <c r="BT69" s="398"/>
      <c r="BU69" s="398"/>
      <c r="BV69" s="398"/>
      <c r="BW69" s="398"/>
      <c r="BX69" s="398"/>
      <c r="BY69" s="398"/>
      <c r="BZ69" s="398"/>
      <c r="CA69" s="398"/>
      <c r="CB69" s="398"/>
      <c r="CC69" s="398"/>
      <c r="CD69" s="398"/>
      <c r="CE69" s="398"/>
      <c r="CF69" s="398"/>
      <c r="CG69" s="398"/>
      <c r="CH69" s="398"/>
      <c r="CI69" s="398"/>
      <c r="CJ69" s="398"/>
      <c r="CK69" s="398"/>
      <c r="CL69" s="398"/>
      <c r="CM69" s="398"/>
      <c r="CN69" s="398"/>
      <c r="CO69" s="398"/>
      <c r="CP69" s="398"/>
      <c r="CQ69" s="398"/>
      <c r="CR69" s="398"/>
      <c r="CS69" s="398"/>
      <c r="CT69" s="398"/>
      <c r="CU69" s="398"/>
      <c r="CV69" s="398"/>
      <c r="CW69" s="398"/>
      <c r="CX69" s="398"/>
      <c r="CY69" s="398"/>
      <c r="CZ69" s="398"/>
      <c r="DA69" s="398"/>
      <c r="DB69" s="398"/>
      <c r="DC69" s="398"/>
      <c r="DD69" s="398"/>
      <c r="DE69" s="398"/>
      <c r="DF69" s="398"/>
      <c r="DG69" s="398"/>
      <c r="DH69" s="398"/>
      <c r="DI69" s="398"/>
    </row>
    <row r="70" spans="1:113" ht="15.75" thickBot="1" x14ac:dyDescent="0.3">
      <c r="A70" s="409"/>
      <c r="B70" s="185">
        <v>1</v>
      </c>
      <c r="C70" s="185">
        <v>2</v>
      </c>
      <c r="D70" s="185">
        <v>3</v>
      </c>
      <c r="E70" s="70">
        <v>4</v>
      </c>
      <c r="F70" s="70">
        <f>+E70+1</f>
        <v>5</v>
      </c>
      <c r="G70" s="70" t="s">
        <v>652</v>
      </c>
      <c r="H70" s="70">
        <v>7</v>
      </c>
      <c r="I70" s="71" t="s">
        <v>651</v>
      </c>
      <c r="J70" s="42" t="s">
        <v>650</v>
      </c>
      <c r="K70" s="42" t="s">
        <v>653</v>
      </c>
      <c r="L70"/>
      <c r="M70" s="403"/>
      <c r="N70" s="402"/>
      <c r="O70" s="402"/>
      <c r="P70" s="402"/>
      <c r="Q70" s="402"/>
      <c r="R70" s="402"/>
      <c r="S70" s="399"/>
      <c r="T70" s="399"/>
      <c r="U70" s="399"/>
      <c r="V70" s="399"/>
      <c r="W70" s="399"/>
      <c r="X70" s="399"/>
      <c r="Y70" s="399"/>
      <c r="Z70" s="399"/>
      <c r="AA70" s="399"/>
      <c r="AB70" s="399"/>
      <c r="AC70" s="399"/>
      <c r="AD70" s="399"/>
      <c r="AE70" s="399"/>
      <c r="AF70" s="399"/>
      <c r="AG70" s="399"/>
      <c r="AH70" s="399"/>
      <c r="AI70" s="399"/>
      <c r="AJ70" s="399"/>
      <c r="AK70" s="399"/>
      <c r="AL70" s="399"/>
      <c r="AM70" s="399"/>
      <c r="AN70" s="399"/>
      <c r="AO70" s="399"/>
      <c r="AP70" s="399"/>
      <c r="AQ70" s="399"/>
      <c r="AR70" s="399"/>
      <c r="AS70" s="399"/>
      <c r="AT70" s="399"/>
      <c r="AU70" s="399"/>
      <c r="AV70" s="399"/>
      <c r="AW70" s="399"/>
      <c r="AX70" s="399"/>
      <c r="AY70" s="399"/>
      <c r="AZ70" s="399"/>
      <c r="BA70" s="399"/>
      <c r="BB70" s="399"/>
      <c r="BC70" s="399"/>
      <c r="BD70" s="399"/>
      <c r="BE70" s="399"/>
      <c r="BF70" s="399"/>
      <c r="BG70" s="399"/>
      <c r="BH70" s="399"/>
      <c r="BI70" s="399"/>
      <c r="BJ70" s="399"/>
      <c r="BK70" s="399"/>
      <c r="BL70" s="399"/>
      <c r="BM70" s="399"/>
      <c r="BN70" s="399"/>
      <c r="BO70" s="399"/>
      <c r="BP70" s="399"/>
      <c r="BQ70" s="399"/>
      <c r="BR70" s="399"/>
      <c r="BS70" s="399"/>
      <c r="BT70" s="399"/>
      <c r="BU70" s="399"/>
      <c r="BV70" s="399"/>
      <c r="BW70" s="399"/>
      <c r="BX70" s="399"/>
      <c r="BY70" s="399"/>
      <c r="BZ70" s="399"/>
      <c r="CA70" s="399"/>
      <c r="CB70" s="399"/>
      <c r="CC70" s="399"/>
      <c r="CD70" s="399"/>
      <c r="CE70" s="399"/>
      <c r="CF70" s="399"/>
      <c r="CG70" s="399"/>
      <c r="CH70" s="399"/>
      <c r="CI70" s="399"/>
      <c r="CJ70" s="399"/>
      <c r="CK70" s="399"/>
      <c r="CL70" s="399"/>
      <c r="CM70" s="399"/>
      <c r="CN70" s="399"/>
      <c r="CO70" s="399"/>
      <c r="CP70" s="399"/>
      <c r="CQ70" s="399"/>
      <c r="CR70" s="399"/>
      <c r="CS70" s="399"/>
      <c r="CT70" s="399"/>
      <c r="CU70" s="399"/>
      <c r="CV70" s="399"/>
      <c r="CW70" s="399"/>
      <c r="CX70" s="399"/>
      <c r="CY70" s="399"/>
      <c r="CZ70" s="399"/>
      <c r="DA70" s="399"/>
      <c r="DB70" s="399"/>
      <c r="DC70" s="399"/>
      <c r="DD70" s="399"/>
      <c r="DE70" s="399"/>
      <c r="DF70" s="399"/>
      <c r="DG70" s="399"/>
      <c r="DH70" s="399"/>
      <c r="DI70" s="399"/>
    </row>
    <row r="71" spans="1:113" x14ac:dyDescent="0.25">
      <c r="A71" s="160"/>
      <c r="B71" s="72" t="s">
        <v>698</v>
      </c>
      <c r="C71" s="54"/>
      <c r="D71" s="54"/>
      <c r="E71" s="54"/>
      <c r="F71" s="54"/>
      <c r="G71" s="54"/>
      <c r="H71" s="54"/>
      <c r="I71" s="54"/>
      <c r="J71" s="54"/>
      <c r="K71" s="54"/>
      <c r="L71"/>
      <c r="M71" s="314">
        <f t="shared" ref="M71:M75" si="19">SUM(N71:DJ71)</f>
        <v>0</v>
      </c>
      <c r="N71" s="310"/>
      <c r="O71" s="315"/>
      <c r="P71" s="315"/>
      <c r="Q71" s="315"/>
      <c r="R71" s="315"/>
      <c r="S71" s="55"/>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c r="BQ71" s="55"/>
      <c r="BR71" s="55"/>
      <c r="BS71" s="55"/>
      <c r="BT71" s="55"/>
      <c r="BU71" s="55"/>
      <c r="BV71" s="55"/>
      <c r="BW71" s="55"/>
      <c r="BX71" s="55"/>
      <c r="BY71" s="55"/>
      <c r="BZ71" s="55"/>
      <c r="CA71" s="55"/>
      <c r="CB71" s="55"/>
      <c r="CC71" s="55"/>
      <c r="CD71" s="55"/>
      <c r="CE71" s="55"/>
      <c r="CF71" s="55"/>
      <c r="CG71" s="55"/>
      <c r="CH71" s="55"/>
      <c r="CI71" s="55"/>
      <c r="CJ71" s="55"/>
      <c r="CK71" s="55"/>
      <c r="CL71" s="55"/>
      <c r="CM71" s="55"/>
      <c r="CN71" s="55"/>
      <c r="CO71" s="55"/>
      <c r="CP71" s="55"/>
      <c r="CQ71" s="55"/>
      <c r="CR71" s="55"/>
      <c r="CS71" s="55"/>
      <c r="CT71" s="55"/>
      <c r="CU71" s="55"/>
      <c r="CV71" s="55"/>
      <c r="CW71" s="55"/>
      <c r="CX71" s="55"/>
      <c r="CY71" s="55"/>
      <c r="CZ71" s="55"/>
      <c r="DA71" s="55"/>
      <c r="DB71" s="55"/>
      <c r="DC71" s="55"/>
      <c r="DD71" s="55"/>
      <c r="DE71" s="55"/>
      <c r="DF71" s="55"/>
      <c r="DG71" s="55"/>
      <c r="DH71" s="55"/>
      <c r="DI71" s="55"/>
    </row>
    <row r="72" spans="1:113" x14ac:dyDescent="0.25">
      <c r="A72" s="152">
        <v>1</v>
      </c>
      <c r="B72" s="60" t="s">
        <v>262</v>
      </c>
      <c r="C72" s="80">
        <v>8000</v>
      </c>
      <c r="D72" s="142">
        <v>1842.98</v>
      </c>
      <c r="E72" s="43">
        <v>30</v>
      </c>
      <c r="F72" s="60"/>
      <c r="G72" s="139">
        <f t="shared" ref="G72:G87" si="20">+E72+F72</f>
        <v>30</v>
      </c>
      <c r="H72" s="55"/>
      <c r="I72" s="56">
        <f t="shared" ref="I72:I87" si="21">+G72-H72</f>
        <v>30</v>
      </c>
      <c r="J72" s="56">
        <f t="shared" ref="J72:J87" si="22">I72*C72</f>
        <v>240000</v>
      </c>
      <c r="K72" s="57">
        <f t="shared" ref="K72:K87" si="23">+D72*I72</f>
        <v>55289.4</v>
      </c>
      <c r="L72"/>
      <c r="M72" s="314">
        <f t="shared" si="19"/>
        <v>0</v>
      </c>
      <c r="N72" s="310"/>
      <c r="O72" s="315"/>
      <c r="P72" s="315"/>
      <c r="Q72" s="315"/>
      <c r="R72" s="315"/>
      <c r="S72" s="5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BX72" s="55"/>
      <c r="BY72" s="55"/>
      <c r="BZ72" s="55"/>
      <c r="CA72" s="55"/>
      <c r="CB72" s="55"/>
      <c r="CC72" s="55"/>
      <c r="CD72" s="55"/>
      <c r="CE72" s="55"/>
      <c r="CF72" s="55"/>
      <c r="CG72" s="55"/>
      <c r="CH72" s="55"/>
      <c r="CI72" s="55"/>
      <c r="CJ72" s="55"/>
      <c r="CK72" s="55"/>
      <c r="CL72" s="55"/>
      <c r="CM72" s="55"/>
      <c r="CN72" s="55"/>
      <c r="CO72" s="55"/>
      <c r="CP72" s="55"/>
      <c r="CQ72" s="55"/>
      <c r="CR72" s="55"/>
      <c r="CS72" s="55"/>
      <c r="CT72" s="55"/>
      <c r="CU72" s="55"/>
      <c r="CV72" s="55"/>
      <c r="CW72" s="55"/>
      <c r="CX72" s="55"/>
      <c r="CY72" s="55"/>
      <c r="CZ72" s="55"/>
      <c r="DA72" s="55"/>
      <c r="DB72" s="55"/>
      <c r="DC72" s="55"/>
      <c r="DD72" s="55"/>
      <c r="DE72" s="55"/>
      <c r="DF72" s="55"/>
      <c r="DG72" s="55"/>
      <c r="DH72" s="55"/>
      <c r="DI72" s="55"/>
    </row>
    <row r="73" spans="1:113" x14ac:dyDescent="0.25">
      <c r="A73" s="152">
        <v>2</v>
      </c>
      <c r="B73" s="60" t="s">
        <v>263</v>
      </c>
      <c r="C73" s="80">
        <v>12000</v>
      </c>
      <c r="D73" s="142">
        <v>3531.36</v>
      </c>
      <c r="E73" s="43">
        <v>0</v>
      </c>
      <c r="F73" s="60"/>
      <c r="G73" s="139">
        <f t="shared" si="20"/>
        <v>0</v>
      </c>
      <c r="H73" s="55">
        <f>23-23</f>
        <v>0</v>
      </c>
      <c r="I73" s="56">
        <f t="shared" si="21"/>
        <v>0</v>
      </c>
      <c r="J73" s="56">
        <f t="shared" si="22"/>
        <v>0</v>
      </c>
      <c r="K73" s="57">
        <f t="shared" si="23"/>
        <v>0</v>
      </c>
      <c r="L73"/>
      <c r="M73" s="314">
        <f t="shared" si="19"/>
        <v>0</v>
      </c>
      <c r="N73" s="310"/>
      <c r="O73" s="315"/>
      <c r="P73" s="315"/>
      <c r="Q73" s="315"/>
      <c r="R73" s="315"/>
      <c r="S73" s="55"/>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c r="BQ73" s="55"/>
      <c r="BR73" s="55"/>
      <c r="BS73" s="55"/>
      <c r="BT73" s="55"/>
      <c r="BU73" s="55"/>
      <c r="BV73" s="55"/>
      <c r="BW73" s="55"/>
      <c r="BX73" s="55"/>
      <c r="BY73" s="55"/>
      <c r="BZ73" s="55"/>
      <c r="CA73" s="55"/>
      <c r="CB73" s="55"/>
      <c r="CC73" s="55"/>
      <c r="CD73" s="55"/>
      <c r="CE73" s="55"/>
      <c r="CF73" s="55"/>
      <c r="CG73" s="55"/>
      <c r="CH73" s="55"/>
      <c r="CI73" s="55"/>
      <c r="CJ73" s="55"/>
      <c r="CK73" s="55"/>
      <c r="CL73" s="55"/>
      <c r="CM73" s="55"/>
      <c r="CN73" s="55"/>
      <c r="CO73" s="55"/>
      <c r="CP73" s="55"/>
      <c r="CQ73" s="55"/>
      <c r="CR73" s="55"/>
      <c r="CS73" s="55"/>
      <c r="CT73" s="55"/>
      <c r="CU73" s="55"/>
      <c r="CV73" s="55"/>
      <c r="CW73" s="55"/>
      <c r="CX73" s="55"/>
      <c r="CY73" s="55"/>
      <c r="CZ73" s="55"/>
      <c r="DA73" s="55"/>
      <c r="DB73" s="55"/>
      <c r="DC73" s="55"/>
      <c r="DD73" s="55"/>
      <c r="DE73" s="55"/>
      <c r="DF73" s="55"/>
      <c r="DG73" s="55"/>
      <c r="DH73" s="55"/>
      <c r="DI73" s="55"/>
    </row>
    <row r="74" spans="1:113" x14ac:dyDescent="0.25">
      <c r="A74" s="152">
        <v>3</v>
      </c>
      <c r="B74" s="60" t="s">
        <v>264</v>
      </c>
      <c r="C74" s="80">
        <v>5000</v>
      </c>
      <c r="D74" s="142">
        <v>1226.98</v>
      </c>
      <c r="E74" s="43">
        <v>0</v>
      </c>
      <c r="F74" s="60"/>
      <c r="G74" s="139">
        <f t="shared" si="20"/>
        <v>0</v>
      </c>
      <c r="H74" s="55">
        <f>14-14</f>
        <v>0</v>
      </c>
      <c r="I74" s="56">
        <f t="shared" si="21"/>
        <v>0</v>
      </c>
      <c r="J74" s="56">
        <f t="shared" si="22"/>
        <v>0</v>
      </c>
      <c r="K74" s="57">
        <f t="shared" si="23"/>
        <v>0</v>
      </c>
      <c r="L74"/>
      <c r="M74" s="314">
        <f t="shared" si="19"/>
        <v>0</v>
      </c>
      <c r="N74" s="310"/>
      <c r="O74" s="315"/>
      <c r="P74" s="315"/>
      <c r="Q74" s="315"/>
      <c r="R74" s="315"/>
      <c r="S74" s="55"/>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c r="BM74" s="55"/>
      <c r="BN74" s="55"/>
      <c r="BO74" s="55"/>
      <c r="BP74" s="55"/>
      <c r="BQ74" s="55"/>
      <c r="BR74" s="55"/>
      <c r="BS74" s="55"/>
      <c r="BT74" s="55"/>
      <c r="BU74" s="55"/>
      <c r="BV74" s="55"/>
      <c r="BW74" s="55"/>
      <c r="BX74" s="55"/>
      <c r="BY74" s="55"/>
      <c r="BZ74" s="55"/>
      <c r="CA74" s="55"/>
      <c r="CB74" s="55"/>
      <c r="CC74" s="55"/>
      <c r="CD74" s="55"/>
      <c r="CE74" s="55"/>
      <c r="CF74" s="55"/>
      <c r="CG74" s="55"/>
      <c r="CH74" s="55"/>
      <c r="CI74" s="55"/>
      <c r="CJ74" s="55"/>
      <c r="CK74" s="55"/>
      <c r="CL74" s="55"/>
      <c r="CM74" s="55"/>
      <c r="CN74" s="55"/>
      <c r="CO74" s="55"/>
      <c r="CP74" s="55"/>
      <c r="CQ74" s="55"/>
      <c r="CR74" s="55"/>
      <c r="CS74" s="55"/>
      <c r="CT74" s="55"/>
      <c r="CU74" s="55"/>
      <c r="CV74" s="55"/>
      <c r="CW74" s="55"/>
      <c r="CX74" s="55"/>
      <c r="CY74" s="55"/>
      <c r="CZ74" s="55"/>
      <c r="DA74" s="55"/>
      <c r="DB74" s="55"/>
      <c r="DC74" s="55"/>
      <c r="DD74" s="55"/>
      <c r="DE74" s="55"/>
      <c r="DF74" s="55"/>
      <c r="DG74" s="55"/>
      <c r="DH74" s="55"/>
      <c r="DI74" s="55"/>
    </row>
    <row r="75" spans="1:113" x14ac:dyDescent="0.25">
      <c r="A75" s="152">
        <v>4</v>
      </c>
      <c r="B75" s="60" t="s">
        <v>265</v>
      </c>
      <c r="C75" s="80">
        <v>5000</v>
      </c>
      <c r="D75" s="142">
        <v>1226.98</v>
      </c>
      <c r="E75" s="43">
        <v>261</v>
      </c>
      <c r="F75" s="60"/>
      <c r="G75" s="139">
        <f t="shared" si="20"/>
        <v>261</v>
      </c>
      <c r="H75" s="55"/>
      <c r="I75" s="56">
        <f t="shared" si="21"/>
        <v>261</v>
      </c>
      <c r="J75" s="56">
        <f t="shared" si="22"/>
        <v>1305000</v>
      </c>
      <c r="K75" s="57">
        <f t="shared" si="23"/>
        <v>320241.78000000003</v>
      </c>
      <c r="L75"/>
      <c r="M75" s="314">
        <f t="shared" si="19"/>
        <v>0</v>
      </c>
      <c r="N75" s="310"/>
      <c r="O75" s="315"/>
      <c r="P75" s="315"/>
      <c r="Q75" s="315"/>
      <c r="R75" s="315"/>
      <c r="S75" s="55"/>
      <c r="T75" s="55"/>
      <c r="U75" s="55"/>
      <c r="V75" s="55"/>
      <c r="W75" s="55"/>
      <c r="X75" s="55"/>
      <c r="Y75" s="55"/>
      <c r="Z75" s="55"/>
      <c r="AA75" s="55"/>
      <c r="AB75" s="55"/>
      <c r="AC75" s="55"/>
      <c r="AD75" s="55"/>
      <c r="AE75" s="55"/>
      <c r="AF75" s="55"/>
      <c r="AG75" s="55"/>
      <c r="AH75" s="55"/>
      <c r="AI75" s="55"/>
      <c r="AJ75" s="55"/>
      <c r="AK75" s="55"/>
      <c r="AL75" s="55"/>
      <c r="AM75" s="55"/>
      <c r="AN75" s="55"/>
      <c r="AO75" s="55"/>
      <c r="AP75" s="55"/>
      <c r="AQ75" s="55"/>
      <c r="AR75" s="55"/>
      <c r="AS75" s="55"/>
      <c r="AT75" s="55"/>
      <c r="AU75" s="55"/>
      <c r="AV75" s="55"/>
      <c r="AW75" s="55"/>
      <c r="AX75" s="55"/>
      <c r="AY75" s="55"/>
      <c r="AZ75" s="55"/>
      <c r="BA75" s="55"/>
      <c r="BB75" s="55"/>
      <c r="BC75" s="55"/>
      <c r="BD75" s="55"/>
      <c r="BE75" s="55"/>
      <c r="BF75" s="55"/>
      <c r="BG75" s="55"/>
      <c r="BH75" s="55"/>
      <c r="BI75" s="55"/>
      <c r="BJ75" s="55"/>
      <c r="BK75" s="55"/>
      <c r="BL75" s="55"/>
      <c r="BM75" s="55"/>
      <c r="BN75" s="55"/>
      <c r="BO75" s="55"/>
      <c r="BP75" s="55"/>
      <c r="BQ75" s="55"/>
      <c r="BR75" s="55"/>
      <c r="BS75" s="55"/>
      <c r="BT75" s="55"/>
      <c r="BU75" s="55"/>
      <c r="BV75" s="55"/>
      <c r="BW75" s="55"/>
      <c r="BX75" s="55"/>
      <c r="BY75" s="55"/>
      <c r="BZ75" s="55"/>
      <c r="CA75" s="55"/>
      <c r="CB75" s="55"/>
      <c r="CC75" s="55"/>
      <c r="CD75" s="55"/>
      <c r="CE75" s="55"/>
      <c r="CF75" s="55"/>
      <c r="CG75" s="55"/>
      <c r="CH75" s="55"/>
      <c r="CI75" s="55"/>
      <c r="CJ75" s="55"/>
      <c r="CK75" s="55"/>
      <c r="CL75" s="55"/>
      <c r="CM75" s="55"/>
      <c r="CN75" s="55"/>
      <c r="CO75" s="55"/>
      <c r="CP75" s="55"/>
      <c r="CQ75" s="55"/>
      <c r="CR75" s="55"/>
      <c r="CS75" s="55"/>
      <c r="CT75" s="55"/>
      <c r="CU75" s="55"/>
      <c r="CV75" s="55"/>
      <c r="CW75" s="55"/>
      <c r="CX75" s="55"/>
      <c r="CY75" s="55"/>
      <c r="CZ75" s="55"/>
      <c r="DA75" s="55"/>
      <c r="DB75" s="55"/>
      <c r="DC75" s="55"/>
      <c r="DD75" s="55"/>
      <c r="DE75" s="55"/>
      <c r="DF75" s="55"/>
      <c r="DG75" s="55"/>
      <c r="DH75" s="55"/>
      <c r="DI75" s="55"/>
    </row>
    <row r="76" spans="1:113" x14ac:dyDescent="0.25">
      <c r="A76" s="152">
        <v>5</v>
      </c>
      <c r="B76" s="60" t="s">
        <v>266</v>
      </c>
      <c r="C76" s="80">
        <v>8000</v>
      </c>
      <c r="D76" s="142">
        <v>1842.98</v>
      </c>
      <c r="E76" s="43">
        <v>64</v>
      </c>
      <c r="F76" s="60"/>
      <c r="G76" s="139">
        <f t="shared" si="20"/>
        <v>64</v>
      </c>
      <c r="H76" s="55"/>
      <c r="I76" s="56">
        <f t="shared" si="21"/>
        <v>64</v>
      </c>
      <c r="J76" s="56">
        <f t="shared" si="22"/>
        <v>512000</v>
      </c>
      <c r="K76" s="57">
        <f t="shared" si="23"/>
        <v>117950.72</v>
      </c>
      <c r="L76"/>
      <c r="M76" s="314">
        <f t="shared" ref="M76:M88" si="24">SUM(N76:DJ76)</f>
        <v>0</v>
      </c>
      <c r="N76" s="310"/>
      <c r="O76" s="315"/>
      <c r="P76" s="315"/>
      <c r="Q76" s="315"/>
      <c r="R76" s="315"/>
      <c r="S76" s="55"/>
      <c r="T76" s="55"/>
      <c r="U76" s="55"/>
      <c r="V76" s="55"/>
      <c r="W76" s="55"/>
      <c r="X76" s="55"/>
      <c r="Y76" s="55"/>
      <c r="Z76" s="55"/>
      <c r="AA76" s="55"/>
      <c r="AB76" s="55"/>
      <c r="AC76" s="55"/>
      <c r="AD76" s="55"/>
      <c r="AE76" s="55"/>
      <c r="AF76" s="55"/>
      <c r="AG76" s="55"/>
      <c r="AH76" s="55"/>
      <c r="AI76" s="55"/>
      <c r="AJ76" s="55"/>
      <c r="AK76" s="55"/>
      <c r="AL76" s="55"/>
      <c r="AM76" s="55"/>
      <c r="AN76" s="55"/>
      <c r="AO76" s="55"/>
      <c r="AP76" s="55"/>
      <c r="AQ76" s="55"/>
      <c r="AR76" s="55"/>
      <c r="AS76" s="55"/>
      <c r="AT76" s="55"/>
      <c r="AU76" s="55"/>
      <c r="AV76" s="55"/>
      <c r="AW76" s="55"/>
      <c r="AX76" s="55"/>
      <c r="AY76" s="55"/>
      <c r="AZ76" s="55"/>
      <c r="BA76" s="55"/>
      <c r="BB76" s="55"/>
      <c r="BC76" s="55"/>
      <c r="BD76" s="55"/>
      <c r="BE76" s="55"/>
      <c r="BF76" s="55"/>
      <c r="BG76" s="55"/>
      <c r="BH76" s="55"/>
      <c r="BI76" s="55"/>
      <c r="BJ76" s="55"/>
      <c r="BK76" s="55"/>
      <c r="BL76" s="55"/>
      <c r="BM76" s="55"/>
      <c r="BN76" s="55"/>
      <c r="BO76" s="55"/>
      <c r="BP76" s="55"/>
      <c r="BQ76" s="55"/>
      <c r="BR76" s="55"/>
      <c r="BS76" s="55"/>
      <c r="BT76" s="55"/>
      <c r="BU76" s="55"/>
      <c r="BV76" s="55"/>
      <c r="BW76" s="55"/>
      <c r="BX76" s="55"/>
      <c r="BY76" s="55"/>
      <c r="BZ76" s="55"/>
      <c r="CA76" s="55"/>
      <c r="CB76" s="55"/>
      <c r="CC76" s="55"/>
      <c r="CD76" s="55"/>
      <c r="CE76" s="55"/>
      <c r="CF76" s="55"/>
      <c r="CG76" s="55"/>
      <c r="CH76" s="55"/>
      <c r="CI76" s="55"/>
      <c r="CJ76" s="55"/>
      <c r="CK76" s="55"/>
      <c r="CL76" s="55"/>
      <c r="CM76" s="55"/>
      <c r="CN76" s="55"/>
      <c r="CO76" s="55"/>
      <c r="CP76" s="55"/>
      <c r="CQ76" s="55"/>
      <c r="CR76" s="55"/>
      <c r="CS76" s="55"/>
      <c r="CT76" s="55"/>
      <c r="CU76" s="55"/>
      <c r="CV76" s="55"/>
      <c r="CW76" s="55"/>
      <c r="CX76" s="55"/>
      <c r="CY76" s="55"/>
      <c r="CZ76" s="55"/>
      <c r="DA76" s="55"/>
      <c r="DB76" s="55"/>
      <c r="DC76" s="55"/>
      <c r="DD76" s="55"/>
      <c r="DE76" s="55"/>
      <c r="DF76" s="55"/>
      <c r="DG76" s="55"/>
      <c r="DH76" s="55"/>
      <c r="DI76" s="55"/>
    </row>
    <row r="77" spans="1:113" x14ac:dyDescent="0.25">
      <c r="A77" s="152">
        <v>6</v>
      </c>
      <c r="B77" s="60" t="s">
        <v>267</v>
      </c>
      <c r="C77" s="80">
        <v>5000</v>
      </c>
      <c r="D77" s="142">
        <v>1226.98</v>
      </c>
      <c r="E77" s="43">
        <v>94</v>
      </c>
      <c r="F77" s="60"/>
      <c r="G77" s="139">
        <f t="shared" si="20"/>
        <v>94</v>
      </c>
      <c r="H77" s="55"/>
      <c r="I77" s="56">
        <f t="shared" si="21"/>
        <v>94</v>
      </c>
      <c r="J77" s="56">
        <f t="shared" si="22"/>
        <v>470000</v>
      </c>
      <c r="K77" s="57">
        <f t="shared" si="23"/>
        <v>115336.12</v>
      </c>
      <c r="L77"/>
      <c r="M77" s="314">
        <f t="shared" si="24"/>
        <v>0</v>
      </c>
      <c r="N77" s="310"/>
      <c r="O77" s="315"/>
      <c r="P77" s="315"/>
      <c r="Q77" s="315"/>
      <c r="R77" s="315"/>
      <c r="S77" s="55"/>
      <c r="T77" s="55"/>
      <c r="U77" s="55"/>
      <c r="V77" s="55"/>
      <c r="W77" s="55"/>
      <c r="X77" s="55"/>
      <c r="Y77" s="55"/>
      <c r="Z77" s="55"/>
      <c r="AA77" s="55"/>
      <c r="AB77" s="55"/>
      <c r="AC77" s="55"/>
      <c r="AD77" s="55"/>
      <c r="AE77" s="55"/>
      <c r="AF77" s="55"/>
      <c r="AG77" s="55"/>
      <c r="AH77" s="55"/>
      <c r="AI77" s="55"/>
      <c r="AJ77" s="55"/>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c r="BM77" s="55"/>
      <c r="BN77" s="55"/>
      <c r="BO77" s="55"/>
      <c r="BP77" s="55"/>
      <c r="BQ77" s="55"/>
      <c r="BR77" s="55"/>
      <c r="BS77" s="55"/>
      <c r="BT77" s="55"/>
      <c r="BU77" s="55"/>
      <c r="BV77" s="55"/>
      <c r="BW77" s="55"/>
      <c r="BX77" s="55"/>
      <c r="BY77" s="55"/>
      <c r="BZ77" s="55"/>
      <c r="CA77" s="55"/>
      <c r="CB77" s="55"/>
      <c r="CC77" s="55"/>
      <c r="CD77" s="55"/>
      <c r="CE77" s="55"/>
      <c r="CF77" s="55"/>
      <c r="CG77" s="55"/>
      <c r="CH77" s="55"/>
      <c r="CI77" s="55"/>
      <c r="CJ77" s="55"/>
      <c r="CK77" s="55"/>
      <c r="CL77" s="55"/>
      <c r="CM77" s="55"/>
      <c r="CN77" s="55"/>
      <c r="CO77" s="55"/>
      <c r="CP77" s="55"/>
      <c r="CQ77" s="55"/>
      <c r="CR77" s="55"/>
      <c r="CS77" s="55"/>
      <c r="CT77" s="55"/>
      <c r="CU77" s="55"/>
      <c r="CV77" s="55"/>
      <c r="CW77" s="55"/>
      <c r="CX77" s="55"/>
      <c r="CY77" s="55"/>
      <c r="CZ77" s="55"/>
      <c r="DA77" s="55"/>
      <c r="DB77" s="55"/>
      <c r="DC77" s="55"/>
      <c r="DD77" s="55"/>
      <c r="DE77" s="55"/>
      <c r="DF77" s="55"/>
      <c r="DG77" s="55"/>
      <c r="DH77" s="55"/>
      <c r="DI77" s="55"/>
    </row>
    <row r="78" spans="1:113" x14ac:dyDescent="0.25">
      <c r="A78" s="152">
        <v>7</v>
      </c>
      <c r="B78" s="60" t="s">
        <v>268</v>
      </c>
      <c r="C78" s="80">
        <v>6000</v>
      </c>
      <c r="D78" s="142">
        <v>1226.98</v>
      </c>
      <c r="E78" s="43">
        <v>24</v>
      </c>
      <c r="F78" s="60"/>
      <c r="G78" s="139">
        <f t="shared" si="20"/>
        <v>24</v>
      </c>
      <c r="H78" s="55"/>
      <c r="I78" s="56">
        <f t="shared" si="21"/>
        <v>24</v>
      </c>
      <c r="J78" s="56">
        <f t="shared" si="22"/>
        <v>144000</v>
      </c>
      <c r="K78" s="57">
        <f t="shared" si="23"/>
        <v>29447.52</v>
      </c>
      <c r="L78"/>
      <c r="M78" s="314">
        <f t="shared" si="24"/>
        <v>0</v>
      </c>
      <c r="N78" s="310"/>
      <c r="O78" s="315"/>
      <c r="P78" s="315"/>
      <c r="Q78" s="315"/>
      <c r="R78" s="315"/>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c r="BQ78" s="55"/>
      <c r="BR78" s="55"/>
      <c r="BS78" s="55"/>
      <c r="BT78" s="55"/>
      <c r="BU78" s="55"/>
      <c r="BV78" s="55"/>
      <c r="BW78" s="55"/>
      <c r="BX78" s="55"/>
      <c r="BY78" s="55"/>
      <c r="BZ78" s="55"/>
      <c r="CA78" s="55"/>
      <c r="CB78" s="55"/>
      <c r="CC78" s="55"/>
      <c r="CD78" s="55"/>
      <c r="CE78" s="55"/>
      <c r="CF78" s="55"/>
      <c r="CG78" s="55"/>
      <c r="CH78" s="55"/>
      <c r="CI78" s="55"/>
      <c r="CJ78" s="55"/>
      <c r="CK78" s="55"/>
      <c r="CL78" s="55"/>
      <c r="CM78" s="55"/>
      <c r="CN78" s="55"/>
      <c r="CO78" s="55"/>
      <c r="CP78" s="55"/>
      <c r="CQ78" s="55"/>
      <c r="CR78" s="55"/>
      <c r="CS78" s="55"/>
      <c r="CT78" s="55"/>
      <c r="CU78" s="55"/>
      <c r="CV78" s="55"/>
      <c r="CW78" s="55"/>
      <c r="CX78" s="55"/>
      <c r="CY78" s="55"/>
      <c r="CZ78" s="55"/>
      <c r="DA78" s="55"/>
      <c r="DB78" s="55"/>
      <c r="DC78" s="55"/>
      <c r="DD78" s="55"/>
      <c r="DE78" s="55"/>
      <c r="DF78" s="55"/>
      <c r="DG78" s="55"/>
      <c r="DH78" s="55"/>
      <c r="DI78" s="55"/>
    </row>
    <row r="79" spans="1:113" x14ac:dyDescent="0.25">
      <c r="A79" s="152">
        <v>8</v>
      </c>
      <c r="B79" s="60" t="s">
        <v>269</v>
      </c>
      <c r="C79" s="80">
        <v>14000</v>
      </c>
      <c r="D79" s="142">
        <v>3017.9</v>
      </c>
      <c r="E79" s="43">
        <v>134</v>
      </c>
      <c r="F79" s="60"/>
      <c r="G79" s="139">
        <f t="shared" si="20"/>
        <v>134</v>
      </c>
      <c r="H79" s="55"/>
      <c r="I79" s="56">
        <f t="shared" si="21"/>
        <v>134</v>
      </c>
      <c r="J79" s="56">
        <f t="shared" si="22"/>
        <v>1876000</v>
      </c>
      <c r="K79" s="57">
        <f t="shared" si="23"/>
        <v>404398.60000000003</v>
      </c>
      <c r="L79"/>
      <c r="M79" s="314">
        <f t="shared" si="24"/>
        <v>0</v>
      </c>
      <c r="N79" s="310"/>
      <c r="O79" s="315"/>
      <c r="P79" s="315"/>
      <c r="Q79" s="315"/>
      <c r="R79" s="315"/>
      <c r="S79" s="55"/>
      <c r="T79" s="55"/>
      <c r="U79" s="55"/>
      <c r="V79" s="55"/>
      <c r="W79" s="55"/>
      <c r="X79" s="55"/>
      <c r="Y79" s="55"/>
      <c r="Z79" s="55"/>
      <c r="AA79" s="55"/>
      <c r="AB79" s="55"/>
      <c r="AC79" s="55"/>
      <c r="AD79" s="55"/>
      <c r="AE79" s="55"/>
      <c r="AF79" s="55"/>
      <c r="AG79" s="55"/>
      <c r="AH79" s="55"/>
      <c r="AI79" s="55"/>
      <c r="AJ79" s="55"/>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c r="BM79" s="55"/>
      <c r="BN79" s="55"/>
      <c r="BO79" s="55"/>
      <c r="BP79" s="55"/>
      <c r="BQ79" s="55"/>
      <c r="BR79" s="55"/>
      <c r="BS79" s="55"/>
      <c r="BT79" s="55"/>
      <c r="BU79" s="55"/>
      <c r="BV79" s="55"/>
      <c r="BW79" s="55"/>
      <c r="BX79" s="55"/>
      <c r="BY79" s="55"/>
      <c r="BZ79" s="55"/>
      <c r="CA79" s="55"/>
      <c r="CB79" s="55"/>
      <c r="CC79" s="55"/>
      <c r="CD79" s="55"/>
      <c r="CE79" s="55"/>
      <c r="CF79" s="55"/>
      <c r="CG79" s="55"/>
      <c r="CH79" s="55"/>
      <c r="CI79" s="55"/>
      <c r="CJ79" s="55"/>
      <c r="CK79" s="55"/>
      <c r="CL79" s="55"/>
      <c r="CM79" s="55"/>
      <c r="CN79" s="55"/>
      <c r="CO79" s="55"/>
      <c r="CP79" s="55"/>
      <c r="CQ79" s="55"/>
      <c r="CR79" s="55"/>
      <c r="CS79" s="55"/>
      <c r="CT79" s="55"/>
      <c r="CU79" s="55"/>
      <c r="CV79" s="55"/>
      <c r="CW79" s="55"/>
      <c r="CX79" s="55"/>
      <c r="CY79" s="55"/>
      <c r="CZ79" s="55"/>
      <c r="DA79" s="55"/>
      <c r="DB79" s="55"/>
      <c r="DC79" s="55"/>
      <c r="DD79" s="55"/>
      <c r="DE79" s="55"/>
      <c r="DF79" s="55"/>
      <c r="DG79" s="55"/>
      <c r="DH79" s="55"/>
      <c r="DI79" s="55"/>
    </row>
    <row r="80" spans="1:113" x14ac:dyDescent="0.25">
      <c r="A80" s="152">
        <v>9</v>
      </c>
      <c r="B80" s="60" t="s">
        <v>270</v>
      </c>
      <c r="C80" s="80">
        <v>5000</v>
      </c>
      <c r="D80" s="142">
        <v>1226.98</v>
      </c>
      <c r="E80" s="43">
        <v>0</v>
      </c>
      <c r="F80" s="60"/>
      <c r="G80" s="139">
        <f t="shared" si="20"/>
        <v>0</v>
      </c>
      <c r="H80" s="55">
        <f>4-4</f>
        <v>0</v>
      </c>
      <c r="I80" s="56">
        <f t="shared" si="21"/>
        <v>0</v>
      </c>
      <c r="J80" s="56">
        <f t="shared" si="22"/>
        <v>0</v>
      </c>
      <c r="K80" s="57">
        <f t="shared" si="23"/>
        <v>0</v>
      </c>
      <c r="L80"/>
      <c r="M80" s="314">
        <f t="shared" si="24"/>
        <v>0</v>
      </c>
      <c r="N80" s="310"/>
      <c r="O80" s="315"/>
      <c r="P80" s="315"/>
      <c r="Q80" s="315"/>
      <c r="R80" s="315"/>
      <c r="S80" s="55"/>
      <c r="T80" s="55"/>
      <c r="U80" s="55"/>
      <c r="V80" s="55"/>
      <c r="W80" s="55"/>
      <c r="X80" s="55"/>
      <c r="Y80" s="55"/>
      <c r="Z80" s="55"/>
      <c r="AA80" s="55"/>
      <c r="AB80" s="55"/>
      <c r="AC80" s="55"/>
      <c r="AD80" s="55"/>
      <c r="AE80" s="55"/>
      <c r="AF80" s="55"/>
      <c r="AG80" s="55"/>
      <c r="AH80" s="55"/>
      <c r="AI80" s="55"/>
      <c r="AJ80" s="55"/>
      <c r="AK80" s="55"/>
      <c r="AL80" s="55"/>
      <c r="AM80" s="55"/>
      <c r="AN80" s="55"/>
      <c r="AO80" s="55"/>
      <c r="AP80" s="55"/>
      <c r="AQ80" s="55"/>
      <c r="AR80" s="55"/>
      <c r="AS80" s="55"/>
      <c r="AT80" s="55"/>
      <c r="AU80" s="55"/>
      <c r="AV80" s="55"/>
      <c r="AW80" s="55"/>
      <c r="AX80" s="55"/>
      <c r="AY80" s="55"/>
      <c r="AZ80" s="55"/>
      <c r="BA80" s="55"/>
      <c r="BB80" s="55"/>
      <c r="BC80" s="55"/>
      <c r="BD80" s="55"/>
      <c r="BE80" s="55"/>
      <c r="BF80" s="55"/>
      <c r="BG80" s="55"/>
      <c r="BH80" s="55"/>
      <c r="BI80" s="55"/>
      <c r="BJ80" s="55"/>
      <c r="BK80" s="55"/>
      <c r="BL80" s="55"/>
      <c r="BM80" s="55"/>
      <c r="BN80" s="55"/>
      <c r="BO80" s="55"/>
      <c r="BP80" s="55"/>
      <c r="BQ80" s="55"/>
      <c r="BR80" s="55"/>
      <c r="BS80" s="55"/>
      <c r="BT80" s="55"/>
      <c r="BU80" s="55"/>
      <c r="BV80" s="55"/>
      <c r="BW80" s="55"/>
      <c r="BX80" s="55"/>
      <c r="BY80" s="55"/>
      <c r="BZ80" s="55"/>
      <c r="CA80" s="55"/>
      <c r="CB80" s="55"/>
      <c r="CC80" s="55"/>
      <c r="CD80" s="55"/>
      <c r="CE80" s="55"/>
      <c r="CF80" s="55"/>
      <c r="CG80" s="55"/>
      <c r="CH80" s="55"/>
      <c r="CI80" s="55"/>
      <c r="CJ80" s="55"/>
      <c r="CK80" s="55"/>
      <c r="CL80" s="55"/>
      <c r="CM80" s="55"/>
      <c r="CN80" s="55"/>
      <c r="CO80" s="55"/>
      <c r="CP80" s="55"/>
      <c r="CQ80" s="55"/>
      <c r="CR80" s="55"/>
      <c r="CS80" s="55"/>
      <c r="CT80" s="55"/>
      <c r="CU80" s="55"/>
      <c r="CV80" s="55"/>
      <c r="CW80" s="55"/>
      <c r="CX80" s="55"/>
      <c r="CY80" s="55"/>
      <c r="CZ80" s="55"/>
      <c r="DA80" s="55"/>
      <c r="DB80" s="55"/>
      <c r="DC80" s="55"/>
      <c r="DD80" s="55"/>
      <c r="DE80" s="55"/>
      <c r="DF80" s="55"/>
      <c r="DG80" s="55"/>
      <c r="DH80" s="55"/>
      <c r="DI80" s="55"/>
    </row>
    <row r="81" spans="1:113" x14ac:dyDescent="0.25">
      <c r="A81" s="152">
        <v>10</v>
      </c>
      <c r="B81" s="60" t="s">
        <v>271</v>
      </c>
      <c r="C81" s="80">
        <v>4000</v>
      </c>
      <c r="D81" s="142">
        <v>921.49</v>
      </c>
      <c r="E81" s="43">
        <v>41</v>
      </c>
      <c r="F81" s="60"/>
      <c r="G81" s="139">
        <f t="shared" si="20"/>
        <v>41</v>
      </c>
      <c r="H81" s="55"/>
      <c r="I81" s="56">
        <f t="shared" si="21"/>
        <v>41</v>
      </c>
      <c r="J81" s="56">
        <f t="shared" si="22"/>
        <v>164000</v>
      </c>
      <c r="K81" s="57">
        <f t="shared" si="23"/>
        <v>37781.090000000004</v>
      </c>
      <c r="L81"/>
      <c r="M81" s="314">
        <f t="shared" si="24"/>
        <v>0</v>
      </c>
      <c r="N81" s="310"/>
      <c r="O81" s="315"/>
      <c r="P81" s="315"/>
      <c r="Q81" s="315"/>
      <c r="R81" s="315"/>
      <c r="S81" s="55"/>
      <c r="T81" s="55"/>
      <c r="U81" s="55"/>
      <c r="V81" s="55"/>
      <c r="W81" s="55"/>
      <c r="X81" s="55"/>
      <c r="Y81" s="55"/>
      <c r="Z81" s="55"/>
      <c r="AA81" s="55"/>
      <c r="AB81" s="55"/>
      <c r="AC81" s="55"/>
      <c r="AD81" s="55"/>
      <c r="AE81" s="55"/>
      <c r="AF81" s="55"/>
      <c r="AG81" s="55"/>
      <c r="AH81" s="55"/>
      <c r="AI81" s="55"/>
      <c r="AJ81" s="55"/>
      <c r="AK81" s="55"/>
      <c r="AL81" s="55"/>
      <c r="AM81" s="55"/>
      <c r="AN81" s="55"/>
      <c r="AO81" s="55"/>
      <c r="AP81" s="55"/>
      <c r="AQ81" s="55"/>
      <c r="AR81" s="55"/>
      <c r="AS81" s="55"/>
      <c r="AT81" s="55"/>
      <c r="AU81" s="55"/>
      <c r="AV81" s="55"/>
      <c r="AW81" s="55"/>
      <c r="AX81" s="55"/>
      <c r="AY81" s="55"/>
      <c r="AZ81" s="55"/>
      <c r="BA81" s="55"/>
      <c r="BB81" s="55"/>
      <c r="BC81" s="55"/>
      <c r="BD81" s="55"/>
      <c r="BE81" s="55"/>
      <c r="BF81" s="55"/>
      <c r="BG81" s="55"/>
      <c r="BH81" s="55"/>
      <c r="BI81" s="55"/>
      <c r="BJ81" s="55"/>
      <c r="BK81" s="55"/>
      <c r="BL81" s="55"/>
      <c r="BM81" s="55"/>
      <c r="BN81" s="55"/>
      <c r="BO81" s="55"/>
      <c r="BP81" s="55"/>
      <c r="BQ81" s="55"/>
      <c r="BR81" s="55"/>
      <c r="BS81" s="55"/>
      <c r="BT81" s="55"/>
      <c r="BU81" s="55"/>
      <c r="BV81" s="55"/>
      <c r="BW81" s="55"/>
      <c r="BX81" s="55"/>
      <c r="BY81" s="55"/>
      <c r="BZ81" s="55"/>
      <c r="CA81" s="55"/>
      <c r="CB81" s="55"/>
      <c r="CC81" s="55"/>
      <c r="CD81" s="55"/>
      <c r="CE81" s="55"/>
      <c r="CF81" s="55"/>
      <c r="CG81" s="55"/>
      <c r="CH81" s="55"/>
      <c r="CI81" s="55"/>
      <c r="CJ81" s="55"/>
      <c r="CK81" s="55"/>
      <c r="CL81" s="55"/>
      <c r="CM81" s="55"/>
      <c r="CN81" s="55"/>
      <c r="CO81" s="55"/>
      <c r="CP81" s="55"/>
      <c r="CQ81" s="55"/>
      <c r="CR81" s="55"/>
      <c r="CS81" s="55"/>
      <c r="CT81" s="55"/>
      <c r="CU81" s="55"/>
      <c r="CV81" s="55"/>
      <c r="CW81" s="55"/>
      <c r="CX81" s="55"/>
      <c r="CY81" s="55"/>
      <c r="CZ81" s="55"/>
      <c r="DA81" s="55"/>
      <c r="DB81" s="55"/>
      <c r="DC81" s="55"/>
      <c r="DD81" s="55"/>
      <c r="DE81" s="55"/>
      <c r="DF81" s="55"/>
      <c r="DG81" s="55"/>
      <c r="DH81" s="55"/>
      <c r="DI81" s="55"/>
    </row>
    <row r="82" spans="1:113" x14ac:dyDescent="0.25">
      <c r="A82" s="152">
        <v>11</v>
      </c>
      <c r="B82" s="60" t="s">
        <v>272</v>
      </c>
      <c r="C82" s="80">
        <v>7000</v>
      </c>
      <c r="D82" s="142">
        <v>1508.95</v>
      </c>
      <c r="E82" s="43">
        <v>0</v>
      </c>
      <c r="F82" s="60"/>
      <c r="G82" s="139">
        <f t="shared" si="20"/>
        <v>0</v>
      </c>
      <c r="H82" s="55">
        <f>10-10</f>
        <v>0</v>
      </c>
      <c r="I82" s="56">
        <f t="shared" si="21"/>
        <v>0</v>
      </c>
      <c r="J82" s="56">
        <f t="shared" si="22"/>
        <v>0</v>
      </c>
      <c r="K82" s="57">
        <f t="shared" si="23"/>
        <v>0</v>
      </c>
      <c r="L82"/>
      <c r="M82" s="314">
        <f t="shared" si="24"/>
        <v>0</v>
      </c>
      <c r="N82" s="310"/>
      <c r="O82" s="315"/>
      <c r="P82" s="315"/>
      <c r="Q82" s="315"/>
      <c r="R82" s="315"/>
      <c r="S82" s="55"/>
      <c r="T82" s="55"/>
      <c r="U82" s="55"/>
      <c r="V82" s="55"/>
      <c r="W82" s="55"/>
      <c r="X82" s="55"/>
      <c r="Y82" s="55"/>
      <c r="Z82" s="55"/>
      <c r="AA82" s="55"/>
      <c r="AB82" s="55"/>
      <c r="AC82" s="55"/>
      <c r="AD82" s="55"/>
      <c r="AE82" s="55"/>
      <c r="AF82" s="55"/>
      <c r="AG82" s="55"/>
      <c r="AH82" s="55"/>
      <c r="AI82" s="55"/>
      <c r="AJ82" s="55"/>
      <c r="AK82" s="55"/>
      <c r="AL82" s="55"/>
      <c r="AM82" s="55"/>
      <c r="AN82" s="55"/>
      <c r="AO82" s="55"/>
      <c r="AP82" s="55"/>
      <c r="AQ82" s="55"/>
      <c r="AR82" s="55"/>
      <c r="AS82" s="55"/>
      <c r="AT82" s="55"/>
      <c r="AU82" s="55"/>
      <c r="AV82" s="55"/>
      <c r="AW82" s="55"/>
      <c r="AX82" s="55"/>
      <c r="AY82" s="55"/>
      <c r="AZ82" s="55"/>
      <c r="BA82" s="55"/>
      <c r="BB82" s="55"/>
      <c r="BC82" s="55"/>
      <c r="BD82" s="55"/>
      <c r="BE82" s="55"/>
      <c r="BF82" s="55"/>
      <c r="BG82" s="55"/>
      <c r="BH82" s="55"/>
      <c r="BI82" s="55"/>
      <c r="BJ82" s="55"/>
      <c r="BK82" s="55"/>
      <c r="BL82" s="55"/>
      <c r="BM82" s="55"/>
      <c r="BN82" s="55"/>
      <c r="BO82" s="55"/>
      <c r="BP82" s="55"/>
      <c r="BQ82" s="55"/>
      <c r="BR82" s="55"/>
      <c r="BS82" s="55"/>
      <c r="BT82" s="55"/>
      <c r="BU82" s="55"/>
      <c r="BV82" s="55"/>
      <c r="BW82" s="55"/>
      <c r="BX82" s="55"/>
      <c r="BY82" s="55"/>
      <c r="BZ82" s="55"/>
      <c r="CA82" s="55"/>
      <c r="CB82" s="55"/>
      <c r="CC82" s="55"/>
      <c r="CD82" s="55"/>
      <c r="CE82" s="55"/>
      <c r="CF82" s="55"/>
      <c r="CG82" s="55"/>
      <c r="CH82" s="55"/>
      <c r="CI82" s="55"/>
      <c r="CJ82" s="55"/>
      <c r="CK82" s="55"/>
      <c r="CL82" s="55"/>
      <c r="CM82" s="55"/>
      <c r="CN82" s="55"/>
      <c r="CO82" s="55"/>
      <c r="CP82" s="55"/>
      <c r="CQ82" s="55"/>
      <c r="CR82" s="55"/>
      <c r="CS82" s="55"/>
      <c r="CT82" s="55"/>
      <c r="CU82" s="55"/>
      <c r="CV82" s="55"/>
      <c r="CW82" s="55"/>
      <c r="CX82" s="55"/>
      <c r="CY82" s="55"/>
      <c r="CZ82" s="55"/>
      <c r="DA82" s="55"/>
      <c r="DB82" s="55"/>
      <c r="DC82" s="55"/>
      <c r="DD82" s="55"/>
      <c r="DE82" s="55"/>
      <c r="DF82" s="55"/>
      <c r="DG82" s="55"/>
      <c r="DH82" s="55"/>
      <c r="DI82" s="55"/>
    </row>
    <row r="83" spans="1:113" x14ac:dyDescent="0.25">
      <c r="A83" s="152">
        <v>12</v>
      </c>
      <c r="B83" s="60" t="s">
        <v>56</v>
      </c>
      <c r="C83" s="80">
        <v>16000</v>
      </c>
      <c r="D83" s="142">
        <v>3685.96</v>
      </c>
      <c r="E83" s="43">
        <v>106</v>
      </c>
      <c r="F83" s="60"/>
      <c r="G83" s="139">
        <f t="shared" si="20"/>
        <v>106</v>
      </c>
      <c r="H83" s="55"/>
      <c r="I83" s="56">
        <f t="shared" si="21"/>
        <v>106</v>
      </c>
      <c r="J83" s="56">
        <f t="shared" si="22"/>
        <v>1696000</v>
      </c>
      <c r="K83" s="57">
        <f t="shared" si="23"/>
        <v>390711.76</v>
      </c>
      <c r="L83"/>
      <c r="M83" s="314">
        <f t="shared" si="24"/>
        <v>0</v>
      </c>
      <c r="N83" s="310"/>
      <c r="O83" s="315"/>
      <c r="P83" s="315"/>
      <c r="Q83" s="315"/>
      <c r="R83" s="315"/>
      <c r="S83" s="55"/>
      <c r="T83" s="55"/>
      <c r="U83" s="55"/>
      <c r="V83" s="55"/>
      <c r="W83" s="55"/>
      <c r="X83" s="55"/>
      <c r="Y83" s="55"/>
      <c r="Z83" s="55"/>
      <c r="AA83" s="55"/>
      <c r="AB83" s="55"/>
      <c r="AC83" s="55"/>
      <c r="AD83" s="55"/>
      <c r="AE83" s="55"/>
      <c r="AF83" s="55"/>
      <c r="AG83" s="55"/>
      <c r="AH83" s="55"/>
      <c r="AI83" s="55"/>
      <c r="AJ83" s="55"/>
      <c r="AK83" s="55"/>
      <c r="AL83" s="55"/>
      <c r="AM83" s="55"/>
      <c r="AN83" s="55"/>
      <c r="AO83" s="55"/>
      <c r="AP83" s="55"/>
      <c r="AQ83" s="55"/>
      <c r="AR83" s="55"/>
      <c r="AS83" s="55"/>
      <c r="AT83" s="55"/>
      <c r="AU83" s="55"/>
      <c r="AV83" s="55"/>
      <c r="AW83" s="55"/>
      <c r="AX83" s="55"/>
      <c r="AY83" s="55"/>
      <c r="AZ83" s="55"/>
      <c r="BA83" s="55"/>
      <c r="BB83" s="55"/>
      <c r="BC83" s="55"/>
      <c r="BD83" s="55"/>
      <c r="BE83" s="55"/>
      <c r="BF83" s="55"/>
      <c r="BG83" s="55"/>
      <c r="BH83" s="55"/>
      <c r="BI83" s="55"/>
      <c r="BJ83" s="55"/>
      <c r="BK83" s="55"/>
      <c r="BL83" s="55"/>
      <c r="BM83" s="55"/>
      <c r="BN83" s="55"/>
      <c r="BO83" s="55"/>
      <c r="BP83" s="55"/>
      <c r="BQ83" s="55"/>
      <c r="BR83" s="55"/>
      <c r="BS83" s="55"/>
      <c r="BT83" s="55"/>
      <c r="BU83" s="55"/>
      <c r="BV83" s="55"/>
      <c r="BW83" s="55"/>
      <c r="BX83" s="55"/>
      <c r="BY83" s="55"/>
      <c r="BZ83" s="55"/>
      <c r="CA83" s="55"/>
      <c r="CB83" s="55"/>
      <c r="CC83" s="55"/>
      <c r="CD83" s="55"/>
      <c r="CE83" s="55"/>
      <c r="CF83" s="55"/>
      <c r="CG83" s="55"/>
      <c r="CH83" s="55"/>
      <c r="CI83" s="55"/>
      <c r="CJ83" s="55"/>
      <c r="CK83" s="55"/>
      <c r="CL83" s="55"/>
      <c r="CM83" s="55"/>
      <c r="CN83" s="55"/>
      <c r="CO83" s="55"/>
      <c r="CP83" s="55"/>
      <c r="CQ83" s="55"/>
      <c r="CR83" s="55"/>
      <c r="CS83" s="55"/>
      <c r="CT83" s="55"/>
      <c r="CU83" s="55"/>
      <c r="CV83" s="55"/>
      <c r="CW83" s="55"/>
      <c r="CX83" s="55"/>
      <c r="CY83" s="55"/>
      <c r="CZ83" s="55"/>
      <c r="DA83" s="55"/>
      <c r="DB83" s="55"/>
      <c r="DC83" s="55"/>
      <c r="DD83" s="55"/>
      <c r="DE83" s="55"/>
      <c r="DF83" s="55"/>
      <c r="DG83" s="55"/>
      <c r="DH83" s="55"/>
      <c r="DI83" s="55"/>
    </row>
    <row r="84" spans="1:113" x14ac:dyDescent="0.25">
      <c r="A84" s="152">
        <v>13</v>
      </c>
      <c r="B84" s="60" t="s">
        <v>158</v>
      </c>
      <c r="C84" s="80">
        <v>8000</v>
      </c>
      <c r="D84" s="142">
        <v>1842.98</v>
      </c>
      <c r="E84" s="43">
        <v>0</v>
      </c>
      <c r="F84" s="60"/>
      <c r="G84" s="139">
        <f t="shared" si="20"/>
        <v>0</v>
      </c>
      <c r="H84" s="55">
        <f>9-9</f>
        <v>0</v>
      </c>
      <c r="I84" s="56">
        <f t="shared" si="21"/>
        <v>0</v>
      </c>
      <c r="J84" s="56">
        <f t="shared" si="22"/>
        <v>0</v>
      </c>
      <c r="K84" s="57">
        <f t="shared" si="23"/>
        <v>0</v>
      </c>
      <c r="L84"/>
      <c r="M84" s="314">
        <f t="shared" si="24"/>
        <v>0</v>
      </c>
      <c r="N84" s="310"/>
      <c r="O84" s="315"/>
      <c r="P84" s="315"/>
      <c r="Q84" s="315"/>
      <c r="R84" s="315"/>
      <c r="S84" s="55"/>
      <c r="T84" s="55"/>
      <c r="U84" s="55"/>
      <c r="V84" s="55"/>
      <c r="W84" s="55"/>
      <c r="X84" s="55"/>
      <c r="Y84" s="55"/>
      <c r="Z84" s="55"/>
      <c r="AA84" s="55"/>
      <c r="AB84" s="55"/>
      <c r="AC84" s="55"/>
      <c r="AD84" s="55"/>
      <c r="AE84" s="55"/>
      <c r="AF84" s="55"/>
      <c r="AG84" s="55"/>
      <c r="AH84" s="55"/>
      <c r="AI84" s="55"/>
      <c r="AJ84" s="55"/>
      <c r="AK84" s="55"/>
      <c r="AL84" s="55"/>
      <c r="AM84" s="55"/>
      <c r="AN84" s="55"/>
      <c r="AO84" s="55"/>
      <c r="AP84" s="55"/>
      <c r="AQ84" s="55"/>
      <c r="AR84" s="55"/>
      <c r="AS84" s="55"/>
      <c r="AT84" s="55"/>
      <c r="AU84" s="55"/>
      <c r="AV84" s="55"/>
      <c r="AW84" s="55"/>
      <c r="AX84" s="55"/>
      <c r="AY84" s="55"/>
      <c r="AZ84" s="55"/>
      <c r="BA84" s="55"/>
      <c r="BB84" s="55"/>
      <c r="BC84" s="55"/>
      <c r="BD84" s="55"/>
      <c r="BE84" s="55"/>
      <c r="BF84" s="55"/>
      <c r="BG84" s="55"/>
      <c r="BH84" s="55"/>
      <c r="BI84" s="55"/>
      <c r="BJ84" s="55"/>
      <c r="BK84" s="55"/>
      <c r="BL84" s="55"/>
      <c r="BM84" s="55"/>
      <c r="BN84" s="55"/>
      <c r="BO84" s="55"/>
      <c r="BP84" s="55"/>
      <c r="BQ84" s="55"/>
      <c r="BR84" s="55"/>
      <c r="BS84" s="55"/>
      <c r="BT84" s="55"/>
      <c r="BU84" s="55"/>
      <c r="BV84" s="55"/>
      <c r="BW84" s="55"/>
      <c r="BX84" s="55"/>
      <c r="BY84" s="55"/>
      <c r="BZ84" s="55"/>
      <c r="CA84" s="55"/>
      <c r="CB84" s="55"/>
      <c r="CC84" s="55"/>
      <c r="CD84" s="55"/>
      <c r="CE84" s="55"/>
      <c r="CF84" s="55"/>
      <c r="CG84" s="55"/>
      <c r="CH84" s="55"/>
      <c r="CI84" s="55"/>
      <c r="CJ84" s="55"/>
      <c r="CK84" s="55"/>
      <c r="CL84" s="55"/>
      <c r="CM84" s="55"/>
      <c r="CN84" s="55"/>
      <c r="CO84" s="55"/>
      <c r="CP84" s="55"/>
      <c r="CQ84" s="55"/>
      <c r="CR84" s="55"/>
      <c r="CS84" s="55"/>
      <c r="CT84" s="55"/>
      <c r="CU84" s="55"/>
      <c r="CV84" s="55"/>
      <c r="CW84" s="55"/>
      <c r="CX84" s="55"/>
      <c r="CY84" s="55"/>
      <c r="CZ84" s="55"/>
      <c r="DA84" s="55"/>
      <c r="DB84" s="55"/>
      <c r="DC84" s="55"/>
      <c r="DD84" s="55"/>
      <c r="DE84" s="55"/>
      <c r="DF84" s="55"/>
      <c r="DG84" s="55"/>
      <c r="DH84" s="55"/>
      <c r="DI84" s="55"/>
    </row>
    <row r="85" spans="1:113" x14ac:dyDescent="0.25">
      <c r="A85" s="152">
        <v>14</v>
      </c>
      <c r="B85" s="60" t="s">
        <v>273</v>
      </c>
      <c r="C85" s="80">
        <v>35000</v>
      </c>
      <c r="D85" s="142">
        <v>24143.599999999999</v>
      </c>
      <c r="E85" s="43">
        <v>93</v>
      </c>
      <c r="F85" s="60"/>
      <c r="G85" s="139">
        <f t="shared" si="20"/>
        <v>93</v>
      </c>
      <c r="H85" s="55"/>
      <c r="I85" s="56">
        <f t="shared" si="21"/>
        <v>93</v>
      </c>
      <c r="J85" s="56">
        <f t="shared" si="22"/>
        <v>3255000</v>
      </c>
      <c r="K85" s="57">
        <f t="shared" si="23"/>
        <v>2245354.7999999998</v>
      </c>
      <c r="L85"/>
      <c r="M85" s="314">
        <f t="shared" si="24"/>
        <v>0</v>
      </c>
      <c r="N85" s="310"/>
      <c r="O85" s="315"/>
      <c r="P85" s="315"/>
      <c r="Q85" s="315"/>
      <c r="R85" s="315"/>
      <c r="S85" s="55"/>
      <c r="T85" s="55"/>
      <c r="U85" s="55"/>
      <c r="V85" s="55"/>
      <c r="W85" s="55"/>
      <c r="X85" s="55"/>
      <c r="Y85" s="55"/>
      <c r="Z85" s="55"/>
      <c r="AA85" s="55"/>
      <c r="AB85" s="55"/>
      <c r="AC85" s="55"/>
      <c r="AD85" s="55"/>
      <c r="AE85" s="55"/>
      <c r="AF85" s="55"/>
      <c r="AG85" s="55"/>
      <c r="AH85" s="55"/>
      <c r="AI85" s="55"/>
      <c r="AJ85" s="55"/>
      <c r="AK85" s="55"/>
      <c r="AL85" s="55"/>
      <c r="AM85" s="55"/>
      <c r="AN85" s="55"/>
      <c r="AO85" s="55"/>
      <c r="AP85" s="55"/>
      <c r="AQ85" s="55"/>
      <c r="AR85" s="55"/>
      <c r="AS85" s="55"/>
      <c r="AT85" s="55"/>
      <c r="AU85" s="55"/>
      <c r="AV85" s="55"/>
      <c r="AW85" s="55"/>
      <c r="AX85" s="55"/>
      <c r="AY85" s="55"/>
      <c r="AZ85" s="55"/>
      <c r="BA85" s="55"/>
      <c r="BB85" s="55"/>
      <c r="BC85" s="55"/>
      <c r="BD85" s="55"/>
      <c r="BE85" s="55"/>
      <c r="BF85" s="55"/>
      <c r="BG85" s="55"/>
      <c r="BH85" s="55"/>
      <c r="BI85" s="55"/>
      <c r="BJ85" s="55"/>
      <c r="BK85" s="55"/>
      <c r="BL85" s="55"/>
      <c r="BM85" s="55"/>
      <c r="BN85" s="55"/>
      <c r="BO85" s="55"/>
      <c r="BP85" s="55"/>
      <c r="BQ85" s="55"/>
      <c r="BR85" s="55"/>
      <c r="BS85" s="55"/>
      <c r="BT85" s="55"/>
      <c r="BU85" s="55"/>
      <c r="BV85" s="55"/>
      <c r="BW85" s="55"/>
      <c r="BX85" s="55"/>
      <c r="BY85" s="55"/>
      <c r="BZ85" s="55"/>
      <c r="CA85" s="55"/>
      <c r="CB85" s="55"/>
      <c r="CC85" s="55"/>
      <c r="CD85" s="55"/>
      <c r="CE85" s="55"/>
      <c r="CF85" s="55"/>
      <c r="CG85" s="55"/>
      <c r="CH85" s="55"/>
      <c r="CI85" s="55"/>
      <c r="CJ85" s="55"/>
      <c r="CK85" s="55"/>
      <c r="CL85" s="55"/>
      <c r="CM85" s="55"/>
      <c r="CN85" s="55"/>
      <c r="CO85" s="55"/>
      <c r="CP85" s="55"/>
      <c r="CQ85" s="55"/>
      <c r="CR85" s="55"/>
      <c r="CS85" s="55"/>
      <c r="CT85" s="55"/>
      <c r="CU85" s="55"/>
      <c r="CV85" s="55"/>
      <c r="CW85" s="55"/>
      <c r="CX85" s="55"/>
      <c r="CY85" s="55"/>
      <c r="CZ85" s="55"/>
      <c r="DA85" s="55"/>
      <c r="DB85" s="55"/>
      <c r="DC85" s="55"/>
      <c r="DD85" s="55"/>
      <c r="DE85" s="55"/>
      <c r="DF85" s="55"/>
      <c r="DG85" s="55"/>
      <c r="DH85" s="55"/>
      <c r="DI85" s="55"/>
    </row>
    <row r="86" spans="1:113" x14ac:dyDescent="0.25">
      <c r="A86" s="152">
        <v>15</v>
      </c>
      <c r="B86" s="60" t="s">
        <v>274</v>
      </c>
      <c r="C86" s="80">
        <v>5000</v>
      </c>
      <c r="D86" s="142">
        <v>1226.98</v>
      </c>
      <c r="E86" s="43">
        <v>0</v>
      </c>
      <c r="F86" s="60"/>
      <c r="G86" s="139">
        <f t="shared" si="20"/>
        <v>0</v>
      </c>
      <c r="H86" s="55">
        <f>3-3</f>
        <v>0</v>
      </c>
      <c r="I86" s="56">
        <f t="shared" si="21"/>
        <v>0</v>
      </c>
      <c r="J86" s="56">
        <f t="shared" si="22"/>
        <v>0</v>
      </c>
      <c r="K86" s="57">
        <f t="shared" si="23"/>
        <v>0</v>
      </c>
      <c r="L86"/>
      <c r="M86" s="314">
        <f t="shared" si="24"/>
        <v>0</v>
      </c>
      <c r="N86" s="310"/>
      <c r="O86" s="315"/>
      <c r="P86" s="315"/>
      <c r="Q86" s="315"/>
      <c r="R86" s="315"/>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c r="BP86" s="55"/>
      <c r="BQ86" s="55"/>
      <c r="BR86" s="55"/>
      <c r="BS86" s="55"/>
      <c r="BT86" s="55"/>
      <c r="BU86" s="55"/>
      <c r="BV86" s="55"/>
      <c r="BW86" s="55"/>
      <c r="BX86" s="55"/>
      <c r="BY86" s="55"/>
      <c r="BZ86" s="55"/>
      <c r="CA86" s="55"/>
      <c r="CB86" s="55"/>
      <c r="CC86" s="55"/>
      <c r="CD86" s="55"/>
      <c r="CE86" s="55"/>
      <c r="CF86" s="55"/>
      <c r="CG86" s="55"/>
      <c r="CH86" s="55"/>
      <c r="CI86" s="55"/>
      <c r="CJ86" s="55"/>
      <c r="CK86" s="55"/>
      <c r="CL86" s="55"/>
      <c r="CM86" s="55"/>
      <c r="CN86" s="55"/>
      <c r="CO86" s="55"/>
      <c r="CP86" s="55"/>
      <c r="CQ86" s="55"/>
      <c r="CR86" s="55"/>
      <c r="CS86" s="55"/>
      <c r="CT86" s="55"/>
      <c r="CU86" s="55"/>
      <c r="CV86" s="55"/>
      <c r="CW86" s="55"/>
      <c r="CX86" s="55"/>
      <c r="CY86" s="55"/>
      <c r="CZ86" s="55"/>
      <c r="DA86" s="55"/>
      <c r="DB86" s="55"/>
      <c r="DC86" s="55"/>
      <c r="DD86" s="55"/>
      <c r="DE86" s="55"/>
      <c r="DF86" s="55"/>
      <c r="DG86" s="55"/>
      <c r="DH86" s="55"/>
      <c r="DI86" s="55"/>
    </row>
    <row r="87" spans="1:113" ht="15.75" thickBot="1" x14ac:dyDescent="0.3">
      <c r="A87" s="153">
        <v>16</v>
      </c>
      <c r="B87" s="156" t="s">
        <v>275</v>
      </c>
      <c r="C87" s="82">
        <v>5000</v>
      </c>
      <c r="D87" s="145">
        <v>1226.98</v>
      </c>
      <c r="E87" s="154">
        <v>105</v>
      </c>
      <c r="F87" s="156"/>
      <c r="G87" s="147">
        <f t="shared" si="20"/>
        <v>105</v>
      </c>
      <c r="H87" s="58"/>
      <c r="I87" s="64">
        <f t="shared" si="21"/>
        <v>105</v>
      </c>
      <c r="J87" s="64">
        <f t="shared" si="22"/>
        <v>525000</v>
      </c>
      <c r="K87" s="65">
        <f t="shared" si="23"/>
        <v>128832.90000000001</v>
      </c>
      <c r="L87"/>
      <c r="M87" s="314">
        <f t="shared" si="24"/>
        <v>0</v>
      </c>
      <c r="N87" s="310"/>
      <c r="O87" s="315"/>
      <c r="P87" s="315"/>
      <c r="Q87" s="315"/>
      <c r="R87" s="315"/>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c r="BQ87" s="55"/>
      <c r="BR87" s="55"/>
      <c r="BS87" s="55"/>
      <c r="BT87" s="55"/>
      <c r="BU87" s="55"/>
      <c r="BV87" s="55"/>
      <c r="BW87" s="55"/>
      <c r="BX87" s="55"/>
      <c r="BY87" s="55"/>
      <c r="BZ87" s="55"/>
      <c r="CA87" s="55"/>
      <c r="CB87" s="55"/>
      <c r="CC87" s="55"/>
      <c r="CD87" s="55"/>
      <c r="CE87" s="55"/>
      <c r="CF87" s="55"/>
      <c r="CG87" s="55"/>
      <c r="CH87" s="55"/>
      <c r="CI87" s="55"/>
      <c r="CJ87" s="55"/>
      <c r="CK87" s="55"/>
      <c r="CL87" s="55"/>
      <c r="CM87" s="55"/>
      <c r="CN87" s="55"/>
      <c r="CO87" s="55"/>
      <c r="CP87" s="55"/>
      <c r="CQ87" s="55"/>
      <c r="CR87" s="55"/>
      <c r="CS87" s="55"/>
      <c r="CT87" s="55"/>
      <c r="CU87" s="55"/>
      <c r="CV87" s="55"/>
      <c r="CW87" s="55"/>
      <c r="CX87" s="55"/>
      <c r="CY87" s="55"/>
      <c r="CZ87" s="55"/>
      <c r="DA87" s="55"/>
      <c r="DB87" s="55"/>
      <c r="DC87" s="55"/>
      <c r="DD87" s="55"/>
      <c r="DE87" s="55"/>
      <c r="DF87" s="55"/>
      <c r="DG87" s="55"/>
      <c r="DH87" s="55"/>
      <c r="DI87" s="55"/>
    </row>
    <row r="88" spans="1:113" ht="15.75" thickBot="1" x14ac:dyDescent="0.3">
      <c r="A88" s="128"/>
      <c r="B88" s="119" t="s">
        <v>664</v>
      </c>
      <c r="C88" s="36"/>
      <c r="D88" s="36"/>
      <c r="E88" s="29">
        <f>SUM(E72:E87)</f>
        <v>952</v>
      </c>
      <c r="F88" s="29">
        <f>SUM(F72:F87)</f>
        <v>0</v>
      </c>
      <c r="G88" s="29">
        <f>SUM(G72:G87)</f>
        <v>952</v>
      </c>
      <c r="H88" s="29">
        <f>SUM(H72:H87)</f>
        <v>0</v>
      </c>
      <c r="I88" s="29">
        <f>SUM(I72:I87)</f>
        <v>952</v>
      </c>
      <c r="J88" s="29">
        <f t="shared" ref="J88:K88" si="25">SUM(J72:J87)</f>
        <v>10187000</v>
      </c>
      <c r="K88" s="47">
        <f t="shared" si="25"/>
        <v>3845344.69</v>
      </c>
      <c r="L88"/>
      <c r="M88" s="326">
        <f t="shared" si="24"/>
        <v>0</v>
      </c>
      <c r="N88" s="325"/>
      <c r="O88" s="325"/>
      <c r="P88" s="325"/>
      <c r="Q88" s="325"/>
      <c r="R88" s="325"/>
      <c r="S88" s="324"/>
      <c r="T88" s="324"/>
      <c r="U88" s="324"/>
      <c r="V88" s="324"/>
      <c r="W88" s="324"/>
      <c r="X88" s="324"/>
      <c r="Y88" s="324"/>
      <c r="Z88" s="324"/>
      <c r="AA88" s="324"/>
      <c r="AB88" s="324"/>
      <c r="AC88" s="324"/>
      <c r="AD88" s="324"/>
      <c r="AE88" s="324"/>
      <c r="AF88" s="324"/>
      <c r="AG88" s="324"/>
      <c r="AH88" s="324"/>
      <c r="AI88" s="324"/>
      <c r="AJ88" s="324"/>
      <c r="AK88" s="324"/>
      <c r="AL88" s="324"/>
      <c r="AM88" s="324"/>
      <c r="AN88" s="324"/>
      <c r="AO88" s="324"/>
      <c r="AP88" s="324"/>
      <c r="AQ88" s="324"/>
      <c r="AR88" s="324"/>
      <c r="AS88" s="324"/>
      <c r="AT88" s="324"/>
      <c r="AU88" s="324"/>
      <c r="AV88" s="324"/>
      <c r="AW88" s="324"/>
      <c r="AX88" s="324"/>
      <c r="AY88" s="324"/>
      <c r="AZ88" s="324"/>
      <c r="BA88" s="324"/>
      <c r="BB88" s="324"/>
      <c r="BC88" s="324"/>
      <c r="BD88" s="324"/>
      <c r="BE88" s="324"/>
      <c r="BF88" s="324"/>
      <c r="BG88" s="324"/>
      <c r="BH88" s="324"/>
      <c r="BI88" s="324"/>
      <c r="BJ88" s="324"/>
      <c r="BK88" s="324"/>
      <c r="BL88" s="324"/>
      <c r="BM88" s="324"/>
      <c r="BN88" s="324"/>
      <c r="BO88" s="324"/>
      <c r="BP88" s="324"/>
      <c r="BQ88" s="324"/>
      <c r="BR88" s="324"/>
      <c r="BS88" s="324"/>
      <c r="BT88" s="324"/>
      <c r="BU88" s="324"/>
      <c r="BV88" s="324"/>
      <c r="BW88" s="324"/>
      <c r="BX88" s="324"/>
      <c r="BY88" s="324"/>
      <c r="BZ88" s="324"/>
      <c r="CA88" s="324"/>
      <c r="CB88" s="324"/>
      <c r="CC88" s="324"/>
      <c r="CD88" s="324"/>
      <c r="CE88" s="324"/>
      <c r="CF88" s="324"/>
      <c r="CG88" s="324"/>
      <c r="CH88" s="324"/>
      <c r="CI88" s="324"/>
      <c r="CJ88" s="324"/>
      <c r="CK88" s="324"/>
      <c r="CL88" s="324"/>
      <c r="CM88" s="324"/>
      <c r="CN88" s="324"/>
      <c r="CO88" s="324"/>
      <c r="CP88" s="324"/>
      <c r="CQ88" s="324"/>
      <c r="CR88" s="324"/>
      <c r="CS88" s="324"/>
      <c r="CT88" s="324"/>
      <c r="CU88" s="324"/>
      <c r="CV88" s="324"/>
      <c r="CW88" s="324"/>
      <c r="CX88" s="324"/>
      <c r="CY88" s="324"/>
      <c r="CZ88" s="324"/>
      <c r="DA88" s="324"/>
      <c r="DB88" s="324"/>
      <c r="DC88" s="324"/>
      <c r="DD88" s="324"/>
      <c r="DE88" s="324"/>
      <c r="DF88" s="324"/>
      <c r="DG88" s="324"/>
      <c r="DH88" s="324"/>
      <c r="DI88" s="324"/>
    </row>
    <row r="89" spans="1:113" ht="15.75" thickBot="1" x14ac:dyDescent="0.3">
      <c r="B89" s="161"/>
      <c r="C89" s="162"/>
      <c r="D89" s="163"/>
      <c r="E89" s="164"/>
      <c r="F89" s="67"/>
      <c r="G89" s="164"/>
      <c r="H89" s="164"/>
      <c r="I89" s="164"/>
      <c r="J89" s="164"/>
      <c r="K89" s="163"/>
      <c r="L89"/>
      <c r="M89"/>
      <c r="N89"/>
      <c r="O89"/>
      <c r="P89"/>
      <c r="Q89"/>
      <c r="R89"/>
      <c r="S89"/>
      <c r="T89"/>
      <c r="U89"/>
      <c r="V89"/>
    </row>
    <row r="90" spans="1:113" ht="15.75" thickBot="1" x14ac:dyDescent="0.3">
      <c r="A90" s="407" t="s">
        <v>657</v>
      </c>
      <c r="B90" s="414" t="s">
        <v>708</v>
      </c>
      <c r="C90" s="414" t="s">
        <v>1</v>
      </c>
      <c r="D90" s="415" t="s">
        <v>649</v>
      </c>
      <c r="E90" s="416" t="s">
        <v>19</v>
      </c>
      <c r="F90" s="416"/>
      <c r="G90" s="416"/>
      <c r="H90" s="416"/>
      <c r="I90" s="416"/>
      <c r="J90" s="410" t="s">
        <v>21</v>
      </c>
      <c r="K90" s="417" t="s">
        <v>602</v>
      </c>
      <c r="L90"/>
      <c r="M90" s="403" t="s">
        <v>601</v>
      </c>
      <c r="N90" s="403" t="s">
        <v>924</v>
      </c>
      <c r="O90" s="403"/>
      <c r="P90" s="403"/>
      <c r="Q90" s="403"/>
      <c r="R90" s="403"/>
      <c r="S90" s="403"/>
      <c r="T90" s="403"/>
      <c r="U90" s="403"/>
      <c r="V90" s="403"/>
      <c r="W90" s="403"/>
      <c r="X90" s="403"/>
      <c r="Y90" s="403"/>
      <c r="Z90" s="403"/>
      <c r="AA90" s="403"/>
      <c r="AB90" s="403"/>
      <c r="AC90" s="403"/>
      <c r="AD90" s="403"/>
      <c r="AE90" s="403"/>
      <c r="AF90" s="403"/>
      <c r="AG90" s="403"/>
      <c r="AH90" s="403"/>
      <c r="AI90" s="403"/>
      <c r="AJ90" s="403"/>
      <c r="AK90" s="403"/>
      <c r="AL90" s="403"/>
      <c r="AM90" s="403"/>
      <c r="AN90" s="403"/>
      <c r="AO90" s="403"/>
      <c r="AP90" s="403"/>
      <c r="AQ90" s="403"/>
      <c r="AR90" s="403"/>
      <c r="AS90" s="403"/>
      <c r="AT90" s="403"/>
      <c r="AU90" s="403"/>
      <c r="AV90" s="403"/>
      <c r="AW90" s="403"/>
      <c r="AX90" s="403"/>
      <c r="AY90" s="403"/>
      <c r="AZ90" s="403"/>
      <c r="BA90" s="403"/>
      <c r="BB90" s="403"/>
      <c r="BC90" s="403"/>
      <c r="BD90" s="403"/>
      <c r="BE90" s="403"/>
      <c r="BF90" s="403"/>
      <c r="BG90" s="403"/>
      <c r="BH90" s="403"/>
      <c r="BI90" s="403"/>
      <c r="BJ90" s="403"/>
      <c r="BK90" s="403"/>
      <c r="BL90" s="403"/>
      <c r="BM90" s="403"/>
      <c r="BN90" s="403"/>
      <c r="BO90" s="403"/>
      <c r="BP90" s="403"/>
      <c r="BQ90" s="403"/>
      <c r="BR90" s="403"/>
      <c r="BS90" s="403"/>
      <c r="BT90" s="403"/>
      <c r="BU90" s="403"/>
      <c r="BV90" s="403"/>
      <c r="BW90" s="403"/>
      <c r="BX90" s="403"/>
      <c r="BY90" s="403"/>
      <c r="BZ90" s="403"/>
      <c r="CA90" s="403"/>
      <c r="CB90" s="403"/>
      <c r="CC90" s="403"/>
      <c r="CD90" s="403"/>
      <c r="CE90" s="403"/>
      <c r="CF90" s="403"/>
      <c r="CG90" s="403"/>
      <c r="CH90" s="403"/>
      <c r="CI90" s="403"/>
      <c r="CJ90" s="403"/>
      <c r="CK90" s="403"/>
      <c r="CL90" s="403"/>
      <c r="CM90" s="403"/>
      <c r="CN90" s="403"/>
      <c r="CO90" s="403"/>
      <c r="CP90" s="403"/>
      <c r="CQ90" s="403"/>
      <c r="CR90" s="403"/>
      <c r="CS90" s="403"/>
      <c r="CT90" s="403"/>
      <c r="CU90" s="403"/>
      <c r="CV90" s="403"/>
      <c r="CW90" s="403"/>
      <c r="CX90" s="403"/>
      <c r="CY90" s="403"/>
      <c r="CZ90" s="403"/>
      <c r="DA90" s="403"/>
      <c r="DB90" s="403"/>
      <c r="DC90" s="403"/>
      <c r="DD90" s="403"/>
      <c r="DE90" s="403"/>
      <c r="DF90" s="403"/>
      <c r="DG90" s="403"/>
      <c r="DH90" s="403"/>
      <c r="DI90" s="403"/>
    </row>
    <row r="91" spans="1:113" ht="30.75" thickBot="1" x14ac:dyDescent="0.3">
      <c r="A91" s="408"/>
      <c r="B91" s="414"/>
      <c r="C91" s="414"/>
      <c r="D91" s="415"/>
      <c r="E91" s="68" t="s">
        <v>22</v>
      </c>
      <c r="F91" s="68" t="s">
        <v>600</v>
      </c>
      <c r="G91" s="68" t="s">
        <v>601</v>
      </c>
      <c r="H91" s="68" t="s">
        <v>589</v>
      </c>
      <c r="I91" s="68" t="s">
        <v>601</v>
      </c>
      <c r="J91" s="411"/>
      <c r="K91" s="418"/>
      <c r="L91"/>
      <c r="M91" s="403"/>
      <c r="N91" s="400" t="s">
        <v>925</v>
      </c>
      <c r="O91" s="400" t="s">
        <v>926</v>
      </c>
      <c r="P91" s="400"/>
      <c r="Q91" s="400"/>
      <c r="R91" s="400"/>
      <c r="S91" s="398"/>
      <c r="T91" s="398"/>
      <c r="U91" s="398"/>
      <c r="V91" s="398"/>
      <c r="W91" s="398"/>
      <c r="X91" s="398"/>
      <c r="Y91" s="398"/>
      <c r="Z91" s="398"/>
      <c r="AA91" s="398"/>
      <c r="AB91" s="398"/>
      <c r="AC91" s="398"/>
      <c r="AD91" s="398"/>
      <c r="AE91" s="398"/>
      <c r="AF91" s="398"/>
      <c r="AG91" s="398"/>
      <c r="AH91" s="398"/>
      <c r="AI91" s="398"/>
      <c r="AJ91" s="398"/>
      <c r="AK91" s="398"/>
      <c r="AL91" s="398"/>
      <c r="AM91" s="398"/>
      <c r="AN91" s="398"/>
      <c r="AO91" s="398"/>
      <c r="AP91" s="398"/>
      <c r="AQ91" s="398"/>
      <c r="AR91" s="398"/>
      <c r="AS91" s="398"/>
      <c r="AT91" s="398"/>
      <c r="AU91" s="398"/>
      <c r="AV91" s="398"/>
      <c r="AW91" s="398"/>
      <c r="AX91" s="398"/>
      <c r="AY91" s="398"/>
      <c r="AZ91" s="398"/>
      <c r="BA91" s="398"/>
      <c r="BB91" s="398"/>
      <c r="BC91" s="398"/>
      <c r="BD91" s="398"/>
      <c r="BE91" s="398"/>
      <c r="BF91" s="398"/>
      <c r="BG91" s="398"/>
      <c r="BH91" s="398"/>
      <c r="BI91" s="398"/>
      <c r="BJ91" s="398"/>
      <c r="BK91" s="398"/>
      <c r="BL91" s="398"/>
      <c r="BM91" s="398"/>
      <c r="BN91" s="398"/>
      <c r="BO91" s="398"/>
      <c r="BP91" s="398"/>
      <c r="BQ91" s="398"/>
      <c r="BR91" s="398"/>
      <c r="BS91" s="398"/>
      <c r="BT91" s="398"/>
      <c r="BU91" s="398"/>
      <c r="BV91" s="398"/>
      <c r="BW91" s="398"/>
      <c r="BX91" s="398"/>
      <c r="BY91" s="398"/>
      <c r="BZ91" s="398"/>
      <c r="CA91" s="398"/>
      <c r="CB91" s="398"/>
      <c r="CC91" s="398"/>
      <c r="CD91" s="398"/>
      <c r="CE91" s="398"/>
      <c r="CF91" s="398"/>
      <c r="CG91" s="398"/>
      <c r="CH91" s="398"/>
      <c r="CI91" s="398"/>
      <c r="CJ91" s="398"/>
      <c r="CK91" s="398"/>
      <c r="CL91" s="398"/>
      <c r="CM91" s="398"/>
      <c r="CN91" s="398"/>
      <c r="CO91" s="398"/>
      <c r="CP91" s="398"/>
      <c r="CQ91" s="398"/>
      <c r="CR91" s="398"/>
      <c r="CS91" s="398"/>
      <c r="CT91" s="398"/>
      <c r="CU91" s="398"/>
      <c r="CV91" s="398"/>
      <c r="CW91" s="398"/>
      <c r="CX91" s="398"/>
      <c r="CY91" s="398"/>
      <c r="CZ91" s="398"/>
      <c r="DA91" s="398"/>
      <c r="DB91" s="398"/>
      <c r="DC91" s="398"/>
      <c r="DD91" s="398"/>
      <c r="DE91" s="398"/>
      <c r="DF91" s="398"/>
      <c r="DG91" s="398"/>
      <c r="DH91" s="398"/>
      <c r="DI91" s="398"/>
    </row>
    <row r="92" spans="1:113" ht="15.75" thickBot="1" x14ac:dyDescent="0.3">
      <c r="A92" s="409"/>
      <c r="B92" s="185">
        <v>1</v>
      </c>
      <c r="C92" s="185">
        <v>2</v>
      </c>
      <c r="D92" s="185">
        <v>3</v>
      </c>
      <c r="E92" s="70">
        <v>4</v>
      </c>
      <c r="F92" s="70">
        <f>+E92+1</f>
        <v>5</v>
      </c>
      <c r="G92" s="70" t="s">
        <v>652</v>
      </c>
      <c r="H92" s="70">
        <v>7</v>
      </c>
      <c r="I92" s="71" t="s">
        <v>651</v>
      </c>
      <c r="J92" s="42" t="s">
        <v>650</v>
      </c>
      <c r="K92" s="42" t="s">
        <v>653</v>
      </c>
      <c r="L92"/>
      <c r="M92" s="403"/>
      <c r="N92" s="402"/>
      <c r="O92" s="402"/>
      <c r="P92" s="402"/>
      <c r="Q92" s="402"/>
      <c r="R92" s="402"/>
      <c r="S92" s="399"/>
      <c r="T92" s="399"/>
      <c r="U92" s="399"/>
      <c r="V92" s="399"/>
      <c r="W92" s="399"/>
      <c r="X92" s="399"/>
      <c r="Y92" s="399"/>
      <c r="Z92" s="399"/>
      <c r="AA92" s="399"/>
      <c r="AB92" s="399"/>
      <c r="AC92" s="399"/>
      <c r="AD92" s="399"/>
      <c r="AE92" s="399"/>
      <c r="AF92" s="399"/>
      <c r="AG92" s="399"/>
      <c r="AH92" s="399"/>
      <c r="AI92" s="399"/>
      <c r="AJ92" s="399"/>
      <c r="AK92" s="399"/>
      <c r="AL92" s="399"/>
      <c r="AM92" s="399"/>
      <c r="AN92" s="399"/>
      <c r="AO92" s="399"/>
      <c r="AP92" s="399"/>
      <c r="AQ92" s="399"/>
      <c r="AR92" s="399"/>
      <c r="AS92" s="399"/>
      <c r="AT92" s="399"/>
      <c r="AU92" s="399"/>
      <c r="AV92" s="399"/>
      <c r="AW92" s="399"/>
      <c r="AX92" s="399"/>
      <c r="AY92" s="399"/>
      <c r="AZ92" s="399"/>
      <c r="BA92" s="399"/>
      <c r="BB92" s="399"/>
      <c r="BC92" s="399"/>
      <c r="BD92" s="399"/>
      <c r="BE92" s="399"/>
      <c r="BF92" s="399"/>
      <c r="BG92" s="399"/>
      <c r="BH92" s="399"/>
      <c r="BI92" s="399"/>
      <c r="BJ92" s="399"/>
      <c r="BK92" s="399"/>
      <c r="BL92" s="399"/>
      <c r="BM92" s="399"/>
      <c r="BN92" s="399"/>
      <c r="BO92" s="399"/>
      <c r="BP92" s="399"/>
      <c r="BQ92" s="399"/>
      <c r="BR92" s="399"/>
      <c r="BS92" s="399"/>
      <c r="BT92" s="399"/>
      <c r="BU92" s="399"/>
      <c r="BV92" s="399"/>
      <c r="BW92" s="399"/>
      <c r="BX92" s="399"/>
      <c r="BY92" s="399"/>
      <c r="BZ92" s="399"/>
      <c r="CA92" s="399"/>
      <c r="CB92" s="399"/>
      <c r="CC92" s="399"/>
      <c r="CD92" s="399"/>
      <c r="CE92" s="399"/>
      <c r="CF92" s="399"/>
      <c r="CG92" s="399"/>
      <c r="CH92" s="399"/>
      <c r="CI92" s="399"/>
      <c r="CJ92" s="399"/>
      <c r="CK92" s="399"/>
      <c r="CL92" s="399"/>
      <c r="CM92" s="399"/>
      <c r="CN92" s="399"/>
      <c r="CO92" s="399"/>
      <c r="CP92" s="399"/>
      <c r="CQ92" s="399"/>
      <c r="CR92" s="399"/>
      <c r="CS92" s="399"/>
      <c r="CT92" s="399"/>
      <c r="CU92" s="399"/>
      <c r="CV92" s="399"/>
      <c r="CW92" s="399"/>
      <c r="CX92" s="399"/>
      <c r="CY92" s="399"/>
      <c r="CZ92" s="399"/>
      <c r="DA92" s="399"/>
      <c r="DB92" s="399"/>
      <c r="DC92" s="399"/>
      <c r="DD92" s="399"/>
      <c r="DE92" s="399"/>
      <c r="DF92" s="399"/>
      <c r="DG92" s="399"/>
      <c r="DH92" s="399"/>
      <c r="DI92" s="399"/>
    </row>
    <row r="93" spans="1:113" x14ac:dyDescent="0.25">
      <c r="A93" s="160"/>
      <c r="B93" s="72" t="s">
        <v>700</v>
      </c>
      <c r="C93" s="54"/>
      <c r="D93" s="54"/>
      <c r="E93" s="54"/>
      <c r="F93" s="54"/>
      <c r="G93" s="54"/>
      <c r="H93" s="54"/>
      <c r="I93" s="54"/>
      <c r="J93" s="54"/>
      <c r="K93" s="54"/>
      <c r="L93"/>
      <c r="M93" s="314">
        <f t="shared" ref="M93:M121" si="26">SUM(N93:DJ93)</f>
        <v>0</v>
      </c>
      <c r="N93" s="310"/>
      <c r="O93" s="315"/>
      <c r="P93" s="315"/>
      <c r="Q93" s="315"/>
      <c r="R93" s="315"/>
      <c r="S93" s="55"/>
      <c r="T93" s="55"/>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55"/>
      <c r="AX93" s="55"/>
      <c r="AY93" s="55"/>
      <c r="AZ93" s="55"/>
      <c r="BA93" s="55"/>
      <c r="BB93" s="55"/>
      <c r="BC93" s="55"/>
      <c r="BD93" s="55"/>
      <c r="BE93" s="55"/>
      <c r="BF93" s="55"/>
      <c r="BG93" s="55"/>
      <c r="BH93" s="55"/>
      <c r="BI93" s="55"/>
      <c r="BJ93" s="55"/>
      <c r="BK93" s="55"/>
      <c r="BL93" s="55"/>
      <c r="BM93" s="55"/>
      <c r="BN93" s="55"/>
      <c r="BO93" s="55"/>
      <c r="BP93" s="55"/>
      <c r="BQ93" s="55"/>
      <c r="BR93" s="55"/>
      <c r="BS93" s="55"/>
      <c r="BT93" s="55"/>
      <c r="BU93" s="55"/>
      <c r="BV93" s="55"/>
      <c r="BW93" s="55"/>
      <c r="BX93" s="55"/>
      <c r="BY93" s="55"/>
      <c r="BZ93" s="55"/>
      <c r="CA93" s="55"/>
      <c r="CB93" s="55"/>
      <c r="CC93" s="55"/>
      <c r="CD93" s="55"/>
      <c r="CE93" s="55"/>
      <c r="CF93" s="55"/>
      <c r="CG93" s="55"/>
      <c r="CH93" s="55"/>
      <c r="CI93" s="55"/>
      <c r="CJ93" s="55"/>
      <c r="CK93" s="55"/>
      <c r="CL93" s="55"/>
      <c r="CM93" s="55"/>
      <c r="CN93" s="55"/>
      <c r="CO93" s="55"/>
      <c r="CP93" s="55"/>
      <c r="CQ93" s="55"/>
      <c r="CR93" s="55"/>
      <c r="CS93" s="55"/>
      <c r="CT93" s="55"/>
      <c r="CU93" s="55"/>
      <c r="CV93" s="55"/>
      <c r="CW93" s="55"/>
      <c r="CX93" s="55"/>
      <c r="CY93" s="55"/>
      <c r="CZ93" s="55"/>
      <c r="DA93" s="55"/>
      <c r="DB93" s="55"/>
      <c r="DC93" s="55"/>
      <c r="DD93" s="55"/>
      <c r="DE93" s="55"/>
      <c r="DF93" s="55"/>
      <c r="DG93" s="55"/>
      <c r="DH93" s="55"/>
      <c r="DI93" s="55"/>
    </row>
    <row r="94" spans="1:113" x14ac:dyDescent="0.25">
      <c r="A94" s="152">
        <v>1</v>
      </c>
      <c r="B94" s="60" t="s">
        <v>276</v>
      </c>
      <c r="C94" s="80">
        <v>5000</v>
      </c>
      <c r="D94" s="142">
        <v>1226.98</v>
      </c>
      <c r="E94" s="43">
        <v>3053</v>
      </c>
      <c r="F94" s="60"/>
      <c r="G94" s="139">
        <f t="shared" ref="G94:G120" si="27">+E94+F94</f>
        <v>3053</v>
      </c>
      <c r="H94" s="55"/>
      <c r="I94" s="56">
        <f t="shared" ref="I94:I120" si="28">+G94-H94</f>
        <v>3053</v>
      </c>
      <c r="J94" s="56">
        <f t="shared" ref="J94:J120" si="29">I94*C94</f>
        <v>15265000</v>
      </c>
      <c r="K94" s="57">
        <f t="shared" ref="K94:K120" si="30">+D94*I94</f>
        <v>3745969.94</v>
      </c>
      <c r="L94"/>
      <c r="M94" s="314">
        <f t="shared" si="26"/>
        <v>0</v>
      </c>
      <c r="N94" s="310"/>
      <c r="O94" s="315"/>
      <c r="P94" s="315"/>
      <c r="Q94" s="315"/>
      <c r="R94" s="315"/>
      <c r="S94" s="55"/>
      <c r="T94" s="55"/>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5"/>
      <c r="BA94" s="55"/>
      <c r="BB94" s="55"/>
      <c r="BC94" s="55"/>
      <c r="BD94" s="55"/>
      <c r="BE94" s="55"/>
      <c r="BF94" s="55"/>
      <c r="BG94" s="55"/>
      <c r="BH94" s="55"/>
      <c r="BI94" s="55"/>
      <c r="BJ94" s="55"/>
      <c r="BK94" s="55"/>
      <c r="BL94" s="55"/>
      <c r="BM94" s="55"/>
      <c r="BN94" s="55"/>
      <c r="BO94" s="55"/>
      <c r="BP94" s="55"/>
      <c r="BQ94" s="55"/>
      <c r="BR94" s="55"/>
      <c r="BS94" s="55"/>
      <c r="BT94" s="55"/>
      <c r="BU94" s="55"/>
      <c r="BV94" s="55"/>
      <c r="BW94" s="55"/>
      <c r="BX94" s="55"/>
      <c r="BY94" s="55"/>
      <c r="BZ94" s="55"/>
      <c r="CA94" s="55"/>
      <c r="CB94" s="55"/>
      <c r="CC94" s="55"/>
      <c r="CD94" s="55"/>
      <c r="CE94" s="55"/>
      <c r="CF94" s="55"/>
      <c r="CG94" s="55"/>
      <c r="CH94" s="55"/>
      <c r="CI94" s="55"/>
      <c r="CJ94" s="55"/>
      <c r="CK94" s="55"/>
      <c r="CL94" s="55"/>
      <c r="CM94" s="55"/>
      <c r="CN94" s="55"/>
      <c r="CO94" s="55"/>
      <c r="CP94" s="55"/>
      <c r="CQ94" s="55"/>
      <c r="CR94" s="55"/>
      <c r="CS94" s="55"/>
      <c r="CT94" s="55"/>
      <c r="CU94" s="55"/>
      <c r="CV94" s="55"/>
      <c r="CW94" s="55"/>
      <c r="CX94" s="55"/>
      <c r="CY94" s="55"/>
      <c r="CZ94" s="55"/>
      <c r="DA94" s="55"/>
      <c r="DB94" s="55"/>
      <c r="DC94" s="55"/>
      <c r="DD94" s="55"/>
      <c r="DE94" s="55"/>
      <c r="DF94" s="55"/>
      <c r="DG94" s="55"/>
      <c r="DH94" s="55"/>
      <c r="DI94" s="55"/>
    </row>
    <row r="95" spans="1:113" x14ac:dyDescent="0.25">
      <c r="A95" s="152">
        <v>2</v>
      </c>
      <c r="B95" s="60" t="s">
        <v>277</v>
      </c>
      <c r="C95" s="80">
        <v>10000</v>
      </c>
      <c r="D95" s="142">
        <v>6019.38</v>
      </c>
      <c r="E95" s="43">
        <v>3248</v>
      </c>
      <c r="F95" s="60"/>
      <c r="G95" s="139">
        <f t="shared" si="27"/>
        <v>3248</v>
      </c>
      <c r="H95" s="55"/>
      <c r="I95" s="56">
        <f t="shared" si="28"/>
        <v>3248</v>
      </c>
      <c r="J95" s="56">
        <f t="shared" si="29"/>
        <v>32480000</v>
      </c>
      <c r="K95" s="57">
        <f t="shared" si="30"/>
        <v>19550946.240000002</v>
      </c>
      <c r="L95"/>
      <c r="M95" s="314">
        <f t="shared" si="26"/>
        <v>0</v>
      </c>
      <c r="N95" s="310"/>
      <c r="O95" s="315"/>
      <c r="P95" s="315"/>
      <c r="Q95" s="315"/>
      <c r="R95" s="315"/>
      <c r="S95" s="55"/>
      <c r="T95" s="55"/>
      <c r="U95" s="55"/>
      <c r="V95" s="55"/>
      <c r="W95" s="55"/>
      <c r="X95" s="55"/>
      <c r="Y95" s="55"/>
      <c r="Z95" s="55"/>
      <c r="AA95" s="55"/>
      <c r="AB95" s="55"/>
      <c r="AC95" s="55"/>
      <c r="AD95" s="55"/>
      <c r="AE95" s="55"/>
      <c r="AF95" s="55"/>
      <c r="AG95" s="55"/>
      <c r="AH95" s="55"/>
      <c r="AI95" s="55"/>
      <c r="AJ95" s="55"/>
      <c r="AK95" s="55"/>
      <c r="AL95" s="55"/>
      <c r="AM95" s="55"/>
      <c r="AN95" s="55"/>
      <c r="AO95" s="55"/>
      <c r="AP95" s="55"/>
      <c r="AQ95" s="55"/>
      <c r="AR95" s="55"/>
      <c r="AS95" s="55"/>
      <c r="AT95" s="55"/>
      <c r="AU95" s="55"/>
      <c r="AV95" s="55"/>
      <c r="AW95" s="55"/>
      <c r="AX95" s="55"/>
      <c r="AY95" s="55"/>
      <c r="AZ95" s="55"/>
      <c r="BA95" s="55"/>
      <c r="BB95" s="55"/>
      <c r="BC95" s="55"/>
      <c r="BD95" s="55"/>
      <c r="BE95" s="55"/>
      <c r="BF95" s="55"/>
      <c r="BG95" s="55"/>
      <c r="BH95" s="55"/>
      <c r="BI95" s="55"/>
      <c r="BJ95" s="55"/>
      <c r="BK95" s="55"/>
      <c r="BL95" s="55"/>
      <c r="BM95" s="55"/>
      <c r="BN95" s="55"/>
      <c r="BO95" s="55"/>
      <c r="BP95" s="55"/>
      <c r="BQ95" s="55"/>
      <c r="BR95" s="55"/>
      <c r="BS95" s="55"/>
      <c r="BT95" s="55"/>
      <c r="BU95" s="55"/>
      <c r="BV95" s="55"/>
      <c r="BW95" s="55"/>
      <c r="BX95" s="55"/>
      <c r="BY95" s="55"/>
      <c r="BZ95" s="55"/>
      <c r="CA95" s="55"/>
      <c r="CB95" s="55"/>
      <c r="CC95" s="55"/>
      <c r="CD95" s="55"/>
      <c r="CE95" s="55"/>
      <c r="CF95" s="55"/>
      <c r="CG95" s="55"/>
      <c r="CH95" s="55"/>
      <c r="CI95" s="55"/>
      <c r="CJ95" s="55"/>
      <c r="CK95" s="55"/>
      <c r="CL95" s="55"/>
      <c r="CM95" s="55"/>
      <c r="CN95" s="55"/>
      <c r="CO95" s="55"/>
      <c r="CP95" s="55"/>
      <c r="CQ95" s="55"/>
      <c r="CR95" s="55"/>
      <c r="CS95" s="55"/>
      <c r="CT95" s="55"/>
      <c r="CU95" s="55"/>
      <c r="CV95" s="55"/>
      <c r="CW95" s="55"/>
      <c r="CX95" s="55"/>
      <c r="CY95" s="55"/>
      <c r="CZ95" s="55"/>
      <c r="DA95" s="55"/>
      <c r="DB95" s="55"/>
      <c r="DC95" s="55"/>
      <c r="DD95" s="55"/>
      <c r="DE95" s="55"/>
      <c r="DF95" s="55"/>
      <c r="DG95" s="55"/>
      <c r="DH95" s="55"/>
      <c r="DI95" s="55"/>
    </row>
    <row r="96" spans="1:113" x14ac:dyDescent="0.25">
      <c r="A96" s="152">
        <v>3</v>
      </c>
      <c r="B96" s="60" t="s">
        <v>278</v>
      </c>
      <c r="C96" s="80">
        <v>10000</v>
      </c>
      <c r="D96" s="142">
        <v>2453.96</v>
      </c>
      <c r="E96" s="43">
        <v>235</v>
      </c>
      <c r="F96" s="60"/>
      <c r="G96" s="139">
        <f t="shared" si="27"/>
        <v>235</v>
      </c>
      <c r="H96" s="55"/>
      <c r="I96" s="56">
        <f t="shared" si="28"/>
        <v>235</v>
      </c>
      <c r="J96" s="56">
        <f t="shared" si="29"/>
        <v>2350000</v>
      </c>
      <c r="K96" s="57">
        <f t="shared" si="30"/>
        <v>576680.6</v>
      </c>
      <c r="L96"/>
      <c r="M96" s="314">
        <f t="shared" si="26"/>
        <v>0</v>
      </c>
      <c r="N96" s="310"/>
      <c r="O96" s="315"/>
      <c r="P96" s="315"/>
      <c r="Q96" s="315"/>
      <c r="R96" s="315"/>
      <c r="S96" s="55"/>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c r="BM96" s="55"/>
      <c r="BN96" s="55"/>
      <c r="BO96" s="55"/>
      <c r="BP96" s="55"/>
      <c r="BQ96" s="55"/>
      <c r="BR96" s="55"/>
      <c r="BS96" s="55"/>
      <c r="BT96" s="55"/>
      <c r="BU96" s="55"/>
      <c r="BV96" s="55"/>
      <c r="BW96" s="55"/>
      <c r="BX96" s="55"/>
      <c r="BY96" s="55"/>
      <c r="BZ96" s="55"/>
      <c r="CA96" s="55"/>
      <c r="CB96" s="55"/>
      <c r="CC96" s="55"/>
      <c r="CD96" s="55"/>
      <c r="CE96" s="55"/>
      <c r="CF96" s="55"/>
      <c r="CG96" s="55"/>
      <c r="CH96" s="55"/>
      <c r="CI96" s="55"/>
      <c r="CJ96" s="55"/>
      <c r="CK96" s="55"/>
      <c r="CL96" s="55"/>
      <c r="CM96" s="55"/>
      <c r="CN96" s="55"/>
      <c r="CO96" s="55"/>
      <c r="CP96" s="55"/>
      <c r="CQ96" s="55"/>
      <c r="CR96" s="55"/>
      <c r="CS96" s="55"/>
      <c r="CT96" s="55"/>
      <c r="CU96" s="55"/>
      <c r="CV96" s="55"/>
      <c r="CW96" s="55"/>
      <c r="CX96" s="55"/>
      <c r="CY96" s="55"/>
      <c r="CZ96" s="55"/>
      <c r="DA96" s="55"/>
      <c r="DB96" s="55"/>
      <c r="DC96" s="55"/>
      <c r="DD96" s="55"/>
      <c r="DE96" s="55"/>
      <c r="DF96" s="55"/>
      <c r="DG96" s="55"/>
      <c r="DH96" s="55"/>
      <c r="DI96" s="55"/>
    </row>
    <row r="97" spans="1:113" x14ac:dyDescent="0.25">
      <c r="A97" s="152">
        <v>4</v>
      </c>
      <c r="B97" s="60" t="s">
        <v>279</v>
      </c>
      <c r="C97" s="80">
        <v>7000</v>
      </c>
      <c r="D97" s="142">
        <v>1508.95</v>
      </c>
      <c r="E97" s="43">
        <v>2033</v>
      </c>
      <c r="F97" s="60"/>
      <c r="G97" s="139">
        <f t="shared" si="27"/>
        <v>2033</v>
      </c>
      <c r="H97" s="55"/>
      <c r="I97" s="56">
        <f t="shared" si="28"/>
        <v>2033</v>
      </c>
      <c r="J97" s="56">
        <f t="shared" si="29"/>
        <v>14231000</v>
      </c>
      <c r="K97" s="57">
        <f t="shared" si="30"/>
        <v>3067695.35</v>
      </c>
      <c r="L97"/>
      <c r="M97" s="314">
        <f t="shared" si="26"/>
        <v>0</v>
      </c>
      <c r="N97" s="310"/>
      <c r="O97" s="315"/>
      <c r="P97" s="315"/>
      <c r="Q97" s="315"/>
      <c r="R97" s="315"/>
      <c r="S97" s="5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c r="BP97" s="55"/>
      <c r="BQ97" s="55"/>
      <c r="BR97" s="55"/>
      <c r="BS97" s="55"/>
      <c r="BT97" s="55"/>
      <c r="BU97" s="55"/>
      <c r="BV97" s="55"/>
      <c r="BW97" s="55"/>
      <c r="BX97" s="55"/>
      <c r="BY97" s="55"/>
      <c r="BZ97" s="55"/>
      <c r="CA97" s="55"/>
      <c r="CB97" s="55"/>
      <c r="CC97" s="55"/>
      <c r="CD97" s="55"/>
      <c r="CE97" s="55"/>
      <c r="CF97" s="55"/>
      <c r="CG97" s="55"/>
      <c r="CH97" s="55"/>
      <c r="CI97" s="55"/>
      <c r="CJ97" s="55"/>
      <c r="CK97" s="55"/>
      <c r="CL97" s="55"/>
      <c r="CM97" s="55"/>
      <c r="CN97" s="55"/>
      <c r="CO97" s="55"/>
      <c r="CP97" s="55"/>
      <c r="CQ97" s="55"/>
      <c r="CR97" s="55"/>
      <c r="CS97" s="55"/>
      <c r="CT97" s="55"/>
      <c r="CU97" s="55"/>
      <c r="CV97" s="55"/>
      <c r="CW97" s="55"/>
      <c r="CX97" s="55"/>
      <c r="CY97" s="55"/>
      <c r="CZ97" s="55"/>
      <c r="DA97" s="55"/>
      <c r="DB97" s="55"/>
      <c r="DC97" s="55"/>
      <c r="DD97" s="55"/>
      <c r="DE97" s="55"/>
      <c r="DF97" s="55"/>
      <c r="DG97" s="55"/>
      <c r="DH97" s="55"/>
      <c r="DI97" s="55"/>
    </row>
    <row r="98" spans="1:113" x14ac:dyDescent="0.25">
      <c r="A98" s="152">
        <v>5</v>
      </c>
      <c r="B98" s="60" t="s">
        <v>280</v>
      </c>
      <c r="C98" s="80">
        <v>7000</v>
      </c>
      <c r="D98" s="142">
        <v>1508.95</v>
      </c>
      <c r="E98" s="43">
        <v>2024</v>
      </c>
      <c r="F98" s="60"/>
      <c r="G98" s="139">
        <f t="shared" si="27"/>
        <v>2024</v>
      </c>
      <c r="H98" s="55"/>
      <c r="I98" s="56">
        <f t="shared" si="28"/>
        <v>2024</v>
      </c>
      <c r="J98" s="56">
        <f t="shared" si="29"/>
        <v>14168000</v>
      </c>
      <c r="K98" s="57">
        <f t="shared" si="30"/>
        <v>3054114.8000000003</v>
      </c>
      <c r="L98"/>
      <c r="M98" s="314">
        <f t="shared" si="26"/>
        <v>0</v>
      </c>
      <c r="N98" s="310"/>
      <c r="O98" s="315"/>
      <c r="P98" s="315"/>
      <c r="Q98" s="315"/>
      <c r="R98" s="315"/>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c r="BP98" s="55"/>
      <c r="BQ98" s="55"/>
      <c r="BR98" s="55"/>
      <c r="BS98" s="55"/>
      <c r="BT98" s="55"/>
      <c r="BU98" s="55"/>
      <c r="BV98" s="55"/>
      <c r="BW98" s="55"/>
      <c r="BX98" s="55"/>
      <c r="BY98" s="55"/>
      <c r="BZ98" s="55"/>
      <c r="CA98" s="55"/>
      <c r="CB98" s="55"/>
      <c r="CC98" s="55"/>
      <c r="CD98" s="55"/>
      <c r="CE98" s="55"/>
      <c r="CF98" s="55"/>
      <c r="CG98" s="55"/>
      <c r="CH98" s="55"/>
      <c r="CI98" s="55"/>
      <c r="CJ98" s="55"/>
      <c r="CK98" s="55"/>
      <c r="CL98" s="55"/>
      <c r="CM98" s="55"/>
      <c r="CN98" s="55"/>
      <c r="CO98" s="55"/>
      <c r="CP98" s="55"/>
      <c r="CQ98" s="55"/>
      <c r="CR98" s="55"/>
      <c r="CS98" s="55"/>
      <c r="CT98" s="55"/>
      <c r="CU98" s="55"/>
      <c r="CV98" s="55"/>
      <c r="CW98" s="55"/>
      <c r="CX98" s="55"/>
      <c r="CY98" s="55"/>
      <c r="CZ98" s="55"/>
      <c r="DA98" s="55"/>
      <c r="DB98" s="55"/>
      <c r="DC98" s="55"/>
      <c r="DD98" s="55"/>
      <c r="DE98" s="55"/>
      <c r="DF98" s="55"/>
      <c r="DG98" s="55"/>
      <c r="DH98" s="55"/>
      <c r="DI98" s="55"/>
    </row>
    <row r="99" spans="1:113" x14ac:dyDescent="0.25">
      <c r="A99" s="152">
        <v>6</v>
      </c>
      <c r="B99" s="60" t="s">
        <v>281</v>
      </c>
      <c r="C99" s="80">
        <v>5000</v>
      </c>
      <c r="D99" s="142">
        <v>1226.98</v>
      </c>
      <c r="E99" s="43">
        <v>88</v>
      </c>
      <c r="F99" s="60"/>
      <c r="G99" s="139">
        <f t="shared" si="27"/>
        <v>88</v>
      </c>
      <c r="H99" s="55"/>
      <c r="I99" s="56">
        <f t="shared" si="28"/>
        <v>88</v>
      </c>
      <c r="J99" s="56">
        <f t="shared" si="29"/>
        <v>440000</v>
      </c>
      <c r="K99" s="57">
        <f t="shared" si="30"/>
        <v>107974.24</v>
      </c>
      <c r="L99"/>
      <c r="M99" s="314">
        <f t="shared" si="26"/>
        <v>0</v>
      </c>
      <c r="N99" s="310"/>
      <c r="O99" s="315"/>
      <c r="P99" s="315"/>
      <c r="Q99" s="315"/>
      <c r="R99" s="315"/>
      <c r="S99" s="55"/>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c r="BM99" s="55"/>
      <c r="BN99" s="55"/>
      <c r="BO99" s="55"/>
      <c r="BP99" s="55"/>
      <c r="BQ99" s="55"/>
      <c r="BR99" s="55"/>
      <c r="BS99" s="55"/>
      <c r="BT99" s="55"/>
      <c r="BU99" s="55"/>
      <c r="BV99" s="55"/>
      <c r="BW99" s="55"/>
      <c r="BX99" s="55"/>
      <c r="BY99" s="55"/>
      <c r="BZ99" s="55"/>
      <c r="CA99" s="55"/>
      <c r="CB99" s="55"/>
      <c r="CC99" s="55"/>
      <c r="CD99" s="55"/>
      <c r="CE99" s="55"/>
      <c r="CF99" s="55"/>
      <c r="CG99" s="55"/>
      <c r="CH99" s="55"/>
      <c r="CI99" s="55"/>
      <c r="CJ99" s="55"/>
      <c r="CK99" s="55"/>
      <c r="CL99" s="55"/>
      <c r="CM99" s="55"/>
      <c r="CN99" s="55"/>
      <c r="CO99" s="55"/>
      <c r="CP99" s="55"/>
      <c r="CQ99" s="55"/>
      <c r="CR99" s="55"/>
      <c r="CS99" s="55"/>
      <c r="CT99" s="55"/>
      <c r="CU99" s="55"/>
      <c r="CV99" s="55"/>
      <c r="CW99" s="55"/>
      <c r="CX99" s="55"/>
      <c r="CY99" s="55"/>
      <c r="CZ99" s="55"/>
      <c r="DA99" s="55"/>
      <c r="DB99" s="55"/>
      <c r="DC99" s="55"/>
      <c r="DD99" s="55"/>
      <c r="DE99" s="55"/>
      <c r="DF99" s="55"/>
      <c r="DG99" s="55"/>
      <c r="DH99" s="55"/>
      <c r="DI99" s="55"/>
    </row>
    <row r="100" spans="1:113" x14ac:dyDescent="0.25">
      <c r="A100" s="152">
        <v>7</v>
      </c>
      <c r="B100" s="221" t="s">
        <v>282</v>
      </c>
      <c r="C100" s="80">
        <v>10000</v>
      </c>
      <c r="D100" s="142">
        <v>2453.96</v>
      </c>
      <c r="E100" s="43">
        <v>0</v>
      </c>
      <c r="F100" s="60"/>
      <c r="G100" s="139">
        <f t="shared" si="27"/>
        <v>0</v>
      </c>
      <c r="H100" s="55">
        <f>10-10</f>
        <v>0</v>
      </c>
      <c r="I100" s="56">
        <f t="shared" si="28"/>
        <v>0</v>
      </c>
      <c r="J100" s="56">
        <f t="shared" si="29"/>
        <v>0</v>
      </c>
      <c r="K100" s="57">
        <f t="shared" si="30"/>
        <v>0</v>
      </c>
      <c r="L100"/>
      <c r="M100" s="314">
        <f t="shared" si="26"/>
        <v>0</v>
      </c>
      <c r="N100" s="310"/>
      <c r="O100" s="315"/>
      <c r="P100" s="315"/>
      <c r="Q100" s="315"/>
      <c r="R100" s="315"/>
      <c r="S100" s="55"/>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c r="BM100" s="55"/>
      <c r="BN100" s="55"/>
      <c r="BO100" s="55"/>
      <c r="BP100" s="55"/>
      <c r="BQ100" s="55"/>
      <c r="BR100" s="55"/>
      <c r="BS100" s="55"/>
      <c r="BT100" s="55"/>
      <c r="BU100" s="55"/>
      <c r="BV100" s="55"/>
      <c r="BW100" s="55"/>
      <c r="BX100" s="55"/>
      <c r="BY100" s="55"/>
      <c r="BZ100" s="55"/>
      <c r="CA100" s="55"/>
      <c r="CB100" s="55"/>
      <c r="CC100" s="55"/>
      <c r="CD100" s="55"/>
      <c r="CE100" s="55"/>
      <c r="CF100" s="55"/>
      <c r="CG100" s="55"/>
      <c r="CH100" s="55"/>
      <c r="CI100" s="55"/>
      <c r="CJ100" s="55"/>
      <c r="CK100" s="55"/>
      <c r="CL100" s="55"/>
      <c r="CM100" s="55"/>
      <c r="CN100" s="55"/>
      <c r="CO100" s="55"/>
      <c r="CP100" s="55"/>
      <c r="CQ100" s="55"/>
      <c r="CR100" s="55"/>
      <c r="CS100" s="55"/>
      <c r="CT100" s="55"/>
      <c r="CU100" s="55"/>
      <c r="CV100" s="55"/>
      <c r="CW100" s="55"/>
      <c r="CX100" s="55"/>
      <c r="CY100" s="55"/>
      <c r="CZ100" s="55"/>
      <c r="DA100" s="55"/>
      <c r="DB100" s="55"/>
      <c r="DC100" s="55"/>
      <c r="DD100" s="55"/>
      <c r="DE100" s="55"/>
      <c r="DF100" s="55"/>
      <c r="DG100" s="55"/>
      <c r="DH100" s="55"/>
      <c r="DI100" s="55"/>
    </row>
    <row r="101" spans="1:113" x14ac:dyDescent="0.25">
      <c r="A101" s="152">
        <v>8</v>
      </c>
      <c r="B101" s="221" t="s">
        <v>283</v>
      </c>
      <c r="C101" s="80">
        <v>7000</v>
      </c>
      <c r="D101" s="142">
        <v>1508.95</v>
      </c>
      <c r="E101" s="43">
        <v>0</v>
      </c>
      <c r="F101" s="60"/>
      <c r="G101" s="139">
        <f t="shared" si="27"/>
        <v>0</v>
      </c>
      <c r="H101" s="55">
        <f>2-2</f>
        <v>0</v>
      </c>
      <c r="I101" s="56">
        <f t="shared" si="28"/>
        <v>0</v>
      </c>
      <c r="J101" s="56">
        <f t="shared" si="29"/>
        <v>0</v>
      </c>
      <c r="K101" s="57">
        <f t="shared" si="30"/>
        <v>0</v>
      </c>
      <c r="L101"/>
      <c r="M101" s="314">
        <f t="shared" si="26"/>
        <v>0</v>
      </c>
      <c r="N101" s="310"/>
      <c r="O101" s="315"/>
      <c r="P101" s="315"/>
      <c r="Q101" s="315"/>
      <c r="R101" s="315"/>
      <c r="S101" s="55"/>
      <c r="T101" s="55"/>
      <c r="U101" s="55"/>
      <c r="V101" s="55"/>
      <c r="W101" s="55"/>
      <c r="X101" s="55"/>
      <c r="Y101" s="55"/>
      <c r="Z101" s="55"/>
      <c r="AA101" s="55"/>
      <c r="AB101" s="55"/>
      <c r="AC101" s="55"/>
      <c r="AD101" s="55"/>
      <c r="AE101" s="55"/>
      <c r="AF101" s="55"/>
      <c r="AG101" s="55"/>
      <c r="AH101" s="55"/>
      <c r="AI101" s="55"/>
      <c r="AJ101" s="55"/>
      <c r="AK101" s="55"/>
      <c r="AL101" s="55"/>
      <c r="AM101" s="55"/>
      <c r="AN101" s="55"/>
      <c r="AO101" s="55"/>
      <c r="AP101" s="55"/>
      <c r="AQ101" s="55"/>
      <c r="AR101" s="55"/>
      <c r="AS101" s="55"/>
      <c r="AT101" s="55"/>
      <c r="AU101" s="55"/>
      <c r="AV101" s="55"/>
      <c r="AW101" s="55"/>
      <c r="AX101" s="55"/>
      <c r="AY101" s="55"/>
      <c r="AZ101" s="55"/>
      <c r="BA101" s="55"/>
      <c r="BB101" s="55"/>
      <c r="BC101" s="55"/>
      <c r="BD101" s="55"/>
      <c r="BE101" s="55"/>
      <c r="BF101" s="55"/>
      <c r="BG101" s="55"/>
      <c r="BH101" s="55"/>
      <c r="BI101" s="55"/>
      <c r="BJ101" s="55"/>
      <c r="BK101" s="55"/>
      <c r="BL101" s="55"/>
      <c r="BM101" s="55"/>
      <c r="BN101" s="55"/>
      <c r="BO101" s="55"/>
      <c r="BP101" s="55"/>
      <c r="BQ101" s="55"/>
      <c r="BR101" s="55"/>
      <c r="BS101" s="55"/>
      <c r="BT101" s="55"/>
      <c r="BU101" s="55"/>
      <c r="BV101" s="55"/>
      <c r="BW101" s="55"/>
      <c r="BX101" s="55"/>
      <c r="BY101" s="55"/>
      <c r="BZ101" s="55"/>
      <c r="CA101" s="55"/>
      <c r="CB101" s="55"/>
      <c r="CC101" s="55"/>
      <c r="CD101" s="55"/>
      <c r="CE101" s="55"/>
      <c r="CF101" s="55"/>
      <c r="CG101" s="55"/>
      <c r="CH101" s="55"/>
      <c r="CI101" s="55"/>
      <c r="CJ101" s="55"/>
      <c r="CK101" s="55"/>
      <c r="CL101" s="55"/>
      <c r="CM101" s="55"/>
      <c r="CN101" s="55"/>
      <c r="CO101" s="55"/>
      <c r="CP101" s="55"/>
      <c r="CQ101" s="55"/>
      <c r="CR101" s="55"/>
      <c r="CS101" s="55"/>
      <c r="CT101" s="55"/>
      <c r="CU101" s="55"/>
      <c r="CV101" s="55"/>
      <c r="CW101" s="55"/>
      <c r="CX101" s="55"/>
      <c r="CY101" s="55"/>
      <c r="CZ101" s="55"/>
      <c r="DA101" s="55"/>
      <c r="DB101" s="55"/>
      <c r="DC101" s="55"/>
      <c r="DD101" s="55"/>
      <c r="DE101" s="55"/>
      <c r="DF101" s="55"/>
      <c r="DG101" s="55"/>
      <c r="DH101" s="55"/>
      <c r="DI101" s="55"/>
    </row>
    <row r="102" spans="1:113" x14ac:dyDescent="0.25">
      <c r="A102" s="152">
        <v>9</v>
      </c>
      <c r="B102" s="221" t="s">
        <v>284</v>
      </c>
      <c r="C102" s="80">
        <v>25000</v>
      </c>
      <c r="D102" s="142">
        <v>2453.96</v>
      </c>
      <c r="E102" s="43">
        <v>78</v>
      </c>
      <c r="F102" s="60"/>
      <c r="G102" s="139">
        <f t="shared" si="27"/>
        <v>78</v>
      </c>
      <c r="H102" s="55"/>
      <c r="I102" s="56">
        <f t="shared" si="28"/>
        <v>78</v>
      </c>
      <c r="J102" s="56">
        <f t="shared" si="29"/>
        <v>1950000</v>
      </c>
      <c r="K102" s="57">
        <f t="shared" si="30"/>
        <v>191408.88</v>
      </c>
      <c r="L102"/>
      <c r="M102" s="314">
        <f t="shared" si="26"/>
        <v>0</v>
      </c>
      <c r="N102" s="310"/>
      <c r="O102" s="315"/>
      <c r="P102" s="315"/>
      <c r="Q102" s="315"/>
      <c r="R102" s="315"/>
      <c r="S102" s="55"/>
      <c r="T102" s="55"/>
      <c r="U102" s="55"/>
      <c r="V102" s="55"/>
      <c r="W102" s="55"/>
      <c r="X102" s="55"/>
      <c r="Y102" s="55"/>
      <c r="Z102" s="55"/>
      <c r="AA102" s="55"/>
      <c r="AB102" s="55"/>
      <c r="AC102" s="55"/>
      <c r="AD102" s="55"/>
      <c r="AE102" s="55"/>
      <c r="AF102" s="55"/>
      <c r="AG102" s="55"/>
      <c r="AH102" s="55"/>
      <c r="AI102" s="55"/>
      <c r="AJ102" s="55"/>
      <c r="AK102" s="55"/>
      <c r="AL102" s="55"/>
      <c r="AM102" s="55"/>
      <c r="AN102" s="55"/>
      <c r="AO102" s="55"/>
      <c r="AP102" s="55"/>
      <c r="AQ102" s="55"/>
      <c r="AR102" s="55"/>
      <c r="AS102" s="55"/>
      <c r="AT102" s="55"/>
      <c r="AU102" s="55"/>
      <c r="AV102" s="55"/>
      <c r="AW102" s="55"/>
      <c r="AX102" s="55"/>
      <c r="AY102" s="55"/>
      <c r="AZ102" s="55"/>
      <c r="BA102" s="55"/>
      <c r="BB102" s="55"/>
      <c r="BC102" s="55"/>
      <c r="BD102" s="55"/>
      <c r="BE102" s="55"/>
      <c r="BF102" s="55"/>
      <c r="BG102" s="55"/>
      <c r="BH102" s="55"/>
      <c r="BI102" s="55"/>
      <c r="BJ102" s="55"/>
      <c r="BK102" s="55"/>
      <c r="BL102" s="55"/>
      <c r="BM102" s="55"/>
      <c r="BN102" s="55"/>
      <c r="BO102" s="55"/>
      <c r="BP102" s="55"/>
      <c r="BQ102" s="55"/>
      <c r="BR102" s="55"/>
      <c r="BS102" s="55"/>
      <c r="BT102" s="55"/>
      <c r="BU102" s="55"/>
      <c r="BV102" s="55"/>
      <c r="BW102" s="55"/>
      <c r="BX102" s="55"/>
      <c r="BY102" s="55"/>
      <c r="BZ102" s="55"/>
      <c r="CA102" s="55"/>
      <c r="CB102" s="55"/>
      <c r="CC102" s="55"/>
      <c r="CD102" s="55"/>
      <c r="CE102" s="55"/>
      <c r="CF102" s="55"/>
      <c r="CG102" s="55"/>
      <c r="CH102" s="55"/>
      <c r="CI102" s="55"/>
      <c r="CJ102" s="55"/>
      <c r="CK102" s="55"/>
      <c r="CL102" s="55"/>
      <c r="CM102" s="55"/>
      <c r="CN102" s="55"/>
      <c r="CO102" s="55"/>
      <c r="CP102" s="55"/>
      <c r="CQ102" s="55"/>
      <c r="CR102" s="55"/>
      <c r="CS102" s="55"/>
      <c r="CT102" s="55"/>
      <c r="CU102" s="55"/>
      <c r="CV102" s="55"/>
      <c r="CW102" s="55"/>
      <c r="CX102" s="55"/>
      <c r="CY102" s="55"/>
      <c r="CZ102" s="55"/>
      <c r="DA102" s="55"/>
      <c r="DB102" s="55"/>
      <c r="DC102" s="55"/>
      <c r="DD102" s="55"/>
      <c r="DE102" s="55"/>
      <c r="DF102" s="55"/>
      <c r="DG102" s="55"/>
      <c r="DH102" s="55"/>
      <c r="DI102" s="55"/>
    </row>
    <row r="103" spans="1:113" x14ac:dyDescent="0.25">
      <c r="A103" s="152">
        <v>10</v>
      </c>
      <c r="B103" s="60" t="s">
        <v>285</v>
      </c>
      <c r="C103" s="80">
        <v>2000</v>
      </c>
      <c r="D103" s="142">
        <v>880</v>
      </c>
      <c r="E103" s="43">
        <v>288</v>
      </c>
      <c r="F103" s="60"/>
      <c r="G103" s="139">
        <f t="shared" si="27"/>
        <v>288</v>
      </c>
      <c r="H103" s="55"/>
      <c r="I103" s="56">
        <f t="shared" si="28"/>
        <v>288</v>
      </c>
      <c r="J103" s="56">
        <f t="shared" si="29"/>
        <v>576000</v>
      </c>
      <c r="K103" s="57">
        <f t="shared" si="30"/>
        <v>253440</v>
      </c>
      <c r="L103"/>
      <c r="M103" s="314">
        <f t="shared" si="26"/>
        <v>0</v>
      </c>
      <c r="N103" s="310"/>
      <c r="O103" s="315"/>
      <c r="P103" s="315"/>
      <c r="Q103" s="315"/>
      <c r="R103" s="315"/>
      <c r="S103" s="55"/>
      <c r="T103" s="55"/>
      <c r="U103" s="55"/>
      <c r="V103" s="55"/>
      <c r="W103" s="55"/>
      <c r="X103" s="55"/>
      <c r="Y103" s="55"/>
      <c r="Z103" s="55"/>
      <c r="AA103" s="55"/>
      <c r="AB103" s="55"/>
      <c r="AC103" s="55"/>
      <c r="AD103" s="55"/>
      <c r="AE103" s="55"/>
      <c r="AF103" s="55"/>
      <c r="AG103" s="55"/>
      <c r="AH103" s="55"/>
      <c r="AI103" s="55"/>
      <c r="AJ103" s="55"/>
      <c r="AK103" s="55"/>
      <c r="AL103" s="55"/>
      <c r="AM103" s="55"/>
      <c r="AN103" s="55"/>
      <c r="AO103" s="55"/>
      <c r="AP103" s="55"/>
      <c r="AQ103" s="55"/>
      <c r="AR103" s="55"/>
      <c r="AS103" s="55"/>
      <c r="AT103" s="55"/>
      <c r="AU103" s="55"/>
      <c r="AV103" s="55"/>
      <c r="AW103" s="55"/>
      <c r="AX103" s="55"/>
      <c r="AY103" s="55"/>
      <c r="AZ103" s="55"/>
      <c r="BA103" s="55"/>
      <c r="BB103" s="55"/>
      <c r="BC103" s="55"/>
      <c r="BD103" s="55"/>
      <c r="BE103" s="55"/>
      <c r="BF103" s="55"/>
      <c r="BG103" s="55"/>
      <c r="BH103" s="55"/>
      <c r="BI103" s="55"/>
      <c r="BJ103" s="55"/>
      <c r="BK103" s="55"/>
      <c r="BL103" s="55"/>
      <c r="BM103" s="55"/>
      <c r="BN103" s="55"/>
      <c r="BO103" s="55"/>
      <c r="BP103" s="55"/>
      <c r="BQ103" s="55"/>
      <c r="BR103" s="55"/>
      <c r="BS103" s="55"/>
      <c r="BT103" s="55"/>
      <c r="BU103" s="55"/>
      <c r="BV103" s="55"/>
      <c r="BW103" s="55"/>
      <c r="BX103" s="55"/>
      <c r="BY103" s="55"/>
      <c r="BZ103" s="55"/>
      <c r="CA103" s="55"/>
      <c r="CB103" s="55"/>
      <c r="CC103" s="55"/>
      <c r="CD103" s="55"/>
      <c r="CE103" s="55"/>
      <c r="CF103" s="55"/>
      <c r="CG103" s="55"/>
      <c r="CH103" s="55"/>
      <c r="CI103" s="55"/>
      <c r="CJ103" s="55"/>
      <c r="CK103" s="55"/>
      <c r="CL103" s="55"/>
      <c r="CM103" s="55"/>
      <c r="CN103" s="55"/>
      <c r="CO103" s="55"/>
      <c r="CP103" s="55"/>
      <c r="CQ103" s="55"/>
      <c r="CR103" s="55"/>
      <c r="CS103" s="55"/>
      <c r="CT103" s="55"/>
      <c r="CU103" s="55"/>
      <c r="CV103" s="55"/>
      <c r="CW103" s="55"/>
      <c r="CX103" s="55"/>
      <c r="CY103" s="55"/>
      <c r="CZ103" s="55"/>
      <c r="DA103" s="55"/>
      <c r="DB103" s="55"/>
      <c r="DC103" s="55"/>
      <c r="DD103" s="55"/>
      <c r="DE103" s="55"/>
      <c r="DF103" s="55"/>
      <c r="DG103" s="55"/>
      <c r="DH103" s="55"/>
      <c r="DI103" s="55"/>
    </row>
    <row r="104" spans="1:113" x14ac:dyDescent="0.25">
      <c r="A104" s="152">
        <v>11</v>
      </c>
      <c r="B104" s="60" t="s">
        <v>286</v>
      </c>
      <c r="C104" s="80">
        <v>20000</v>
      </c>
      <c r="D104" s="142">
        <v>4907.92</v>
      </c>
      <c r="E104" s="43">
        <v>20</v>
      </c>
      <c r="F104" s="60"/>
      <c r="G104" s="139">
        <f t="shared" si="27"/>
        <v>20</v>
      </c>
      <c r="H104" s="55"/>
      <c r="I104" s="56">
        <f t="shared" si="28"/>
        <v>20</v>
      </c>
      <c r="J104" s="56">
        <f t="shared" si="29"/>
        <v>400000</v>
      </c>
      <c r="K104" s="57">
        <f t="shared" si="30"/>
        <v>98158.399999999994</v>
      </c>
      <c r="L104"/>
      <c r="M104" s="314">
        <f t="shared" si="26"/>
        <v>0</v>
      </c>
      <c r="N104" s="310"/>
      <c r="O104" s="315"/>
      <c r="P104" s="315"/>
      <c r="Q104" s="315"/>
      <c r="R104" s="315"/>
      <c r="S104" s="55"/>
      <c r="T104" s="55"/>
      <c r="U104" s="55"/>
      <c r="V104" s="55"/>
      <c r="W104" s="55"/>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c r="BM104" s="55"/>
      <c r="BN104" s="55"/>
      <c r="BO104" s="55"/>
      <c r="BP104" s="55"/>
      <c r="BQ104" s="55"/>
      <c r="BR104" s="55"/>
      <c r="BS104" s="55"/>
      <c r="BT104" s="55"/>
      <c r="BU104" s="55"/>
      <c r="BV104" s="55"/>
      <c r="BW104" s="55"/>
      <c r="BX104" s="55"/>
      <c r="BY104" s="55"/>
      <c r="BZ104" s="55"/>
      <c r="CA104" s="55"/>
      <c r="CB104" s="55"/>
      <c r="CC104" s="55"/>
      <c r="CD104" s="55"/>
      <c r="CE104" s="55"/>
      <c r="CF104" s="55"/>
      <c r="CG104" s="55"/>
      <c r="CH104" s="55"/>
      <c r="CI104" s="55"/>
      <c r="CJ104" s="55"/>
      <c r="CK104" s="55"/>
      <c r="CL104" s="55"/>
      <c r="CM104" s="55"/>
      <c r="CN104" s="55"/>
      <c r="CO104" s="55"/>
      <c r="CP104" s="55"/>
      <c r="CQ104" s="55"/>
      <c r="CR104" s="55"/>
      <c r="CS104" s="55"/>
      <c r="CT104" s="55"/>
      <c r="CU104" s="55"/>
      <c r="CV104" s="55"/>
      <c r="CW104" s="55"/>
      <c r="CX104" s="55"/>
      <c r="CY104" s="55"/>
      <c r="CZ104" s="55"/>
      <c r="DA104" s="55"/>
      <c r="DB104" s="55"/>
      <c r="DC104" s="55"/>
      <c r="DD104" s="55"/>
      <c r="DE104" s="55"/>
      <c r="DF104" s="55"/>
      <c r="DG104" s="55"/>
      <c r="DH104" s="55"/>
      <c r="DI104" s="55"/>
    </row>
    <row r="105" spans="1:113" x14ac:dyDescent="0.25">
      <c r="A105" s="152">
        <v>12</v>
      </c>
      <c r="B105" s="60" t="s">
        <v>287</v>
      </c>
      <c r="C105" s="80">
        <v>5000</v>
      </c>
      <c r="D105" s="142">
        <v>1226.98</v>
      </c>
      <c r="E105" s="43">
        <v>65</v>
      </c>
      <c r="F105" s="60"/>
      <c r="G105" s="139">
        <f t="shared" si="27"/>
        <v>65</v>
      </c>
      <c r="H105" s="55"/>
      <c r="I105" s="56">
        <f t="shared" si="28"/>
        <v>65</v>
      </c>
      <c r="J105" s="56">
        <f t="shared" si="29"/>
        <v>325000</v>
      </c>
      <c r="K105" s="57">
        <f t="shared" si="30"/>
        <v>79753.7</v>
      </c>
      <c r="L105"/>
      <c r="M105" s="314">
        <f t="shared" si="26"/>
        <v>0</v>
      </c>
      <c r="N105" s="310"/>
      <c r="O105" s="315"/>
      <c r="P105" s="315"/>
      <c r="Q105" s="315"/>
      <c r="R105" s="315"/>
      <c r="S105" s="55"/>
      <c r="T105" s="55"/>
      <c r="U105" s="55"/>
      <c r="V105" s="55"/>
      <c r="W105" s="55"/>
      <c r="X105" s="55"/>
      <c r="Y105" s="55"/>
      <c r="Z105" s="55"/>
      <c r="AA105" s="55"/>
      <c r="AB105" s="55"/>
      <c r="AC105" s="55"/>
      <c r="AD105" s="55"/>
      <c r="AE105" s="55"/>
      <c r="AF105" s="55"/>
      <c r="AG105" s="55"/>
      <c r="AH105" s="55"/>
      <c r="AI105" s="55"/>
      <c r="AJ105" s="55"/>
      <c r="AK105" s="55"/>
      <c r="AL105" s="55"/>
      <c r="AM105" s="55"/>
      <c r="AN105" s="55"/>
      <c r="AO105" s="55"/>
      <c r="AP105" s="55"/>
      <c r="AQ105" s="55"/>
      <c r="AR105" s="55"/>
      <c r="AS105" s="55"/>
      <c r="AT105" s="55"/>
      <c r="AU105" s="55"/>
      <c r="AV105" s="55"/>
      <c r="AW105" s="55"/>
      <c r="AX105" s="55"/>
      <c r="AY105" s="55"/>
      <c r="AZ105" s="55"/>
      <c r="BA105" s="55"/>
      <c r="BB105" s="55"/>
      <c r="BC105" s="55"/>
      <c r="BD105" s="55"/>
      <c r="BE105" s="55"/>
      <c r="BF105" s="55"/>
      <c r="BG105" s="55"/>
      <c r="BH105" s="55"/>
      <c r="BI105" s="55"/>
      <c r="BJ105" s="55"/>
      <c r="BK105" s="55"/>
      <c r="BL105" s="55"/>
      <c r="BM105" s="55"/>
      <c r="BN105" s="55"/>
      <c r="BO105" s="55"/>
      <c r="BP105" s="55"/>
      <c r="BQ105" s="55"/>
      <c r="BR105" s="55"/>
      <c r="BS105" s="55"/>
      <c r="BT105" s="55"/>
      <c r="BU105" s="55"/>
      <c r="BV105" s="55"/>
      <c r="BW105" s="55"/>
      <c r="BX105" s="55"/>
      <c r="BY105" s="55"/>
      <c r="BZ105" s="55"/>
      <c r="CA105" s="55"/>
      <c r="CB105" s="55"/>
      <c r="CC105" s="55"/>
      <c r="CD105" s="55"/>
      <c r="CE105" s="55"/>
      <c r="CF105" s="55"/>
      <c r="CG105" s="55"/>
      <c r="CH105" s="55"/>
      <c r="CI105" s="55"/>
      <c r="CJ105" s="55"/>
      <c r="CK105" s="55"/>
      <c r="CL105" s="55"/>
      <c r="CM105" s="55"/>
      <c r="CN105" s="55"/>
      <c r="CO105" s="55"/>
      <c r="CP105" s="55"/>
      <c r="CQ105" s="55"/>
      <c r="CR105" s="55"/>
      <c r="CS105" s="55"/>
      <c r="CT105" s="55"/>
      <c r="CU105" s="55"/>
      <c r="CV105" s="55"/>
      <c r="CW105" s="55"/>
      <c r="CX105" s="55"/>
      <c r="CY105" s="55"/>
      <c r="CZ105" s="55"/>
      <c r="DA105" s="55"/>
      <c r="DB105" s="55"/>
      <c r="DC105" s="55"/>
      <c r="DD105" s="55"/>
      <c r="DE105" s="55"/>
      <c r="DF105" s="55"/>
      <c r="DG105" s="55"/>
      <c r="DH105" s="55"/>
      <c r="DI105" s="55"/>
    </row>
    <row r="106" spans="1:113" x14ac:dyDescent="0.25">
      <c r="A106" s="152">
        <v>13</v>
      </c>
      <c r="B106" s="220" t="s">
        <v>288</v>
      </c>
      <c r="C106" s="80">
        <v>8000</v>
      </c>
      <c r="D106" s="142">
        <v>1842.98</v>
      </c>
      <c r="E106" s="43">
        <v>52</v>
      </c>
      <c r="F106" s="60"/>
      <c r="G106" s="139">
        <f t="shared" si="27"/>
        <v>52</v>
      </c>
      <c r="H106" s="55"/>
      <c r="I106" s="56">
        <f t="shared" si="28"/>
        <v>52</v>
      </c>
      <c r="J106" s="56">
        <f t="shared" si="29"/>
        <v>416000</v>
      </c>
      <c r="K106" s="57">
        <f t="shared" si="30"/>
        <v>95834.96</v>
      </c>
      <c r="L106"/>
      <c r="M106" s="314">
        <f t="shared" si="26"/>
        <v>0</v>
      </c>
      <c r="N106" s="310"/>
      <c r="O106" s="315"/>
      <c r="P106" s="315"/>
      <c r="Q106" s="315"/>
      <c r="R106" s="315"/>
      <c r="S106" s="55"/>
      <c r="T106" s="55"/>
      <c r="U106" s="55"/>
      <c r="V106" s="55"/>
      <c r="W106" s="55"/>
      <c r="X106" s="55"/>
      <c r="Y106" s="55"/>
      <c r="Z106" s="55"/>
      <c r="AA106" s="55"/>
      <c r="AB106" s="55"/>
      <c r="AC106" s="55"/>
      <c r="AD106" s="55"/>
      <c r="AE106" s="55"/>
      <c r="AF106" s="55"/>
      <c r="AG106" s="55"/>
      <c r="AH106" s="55"/>
      <c r="AI106" s="55"/>
      <c r="AJ106" s="55"/>
      <c r="AK106" s="55"/>
      <c r="AL106" s="55"/>
      <c r="AM106" s="55"/>
      <c r="AN106" s="55"/>
      <c r="AO106" s="55"/>
      <c r="AP106" s="55"/>
      <c r="AQ106" s="55"/>
      <c r="AR106" s="55"/>
      <c r="AS106" s="55"/>
      <c r="AT106" s="55"/>
      <c r="AU106" s="55"/>
      <c r="AV106" s="55"/>
      <c r="AW106" s="55"/>
      <c r="AX106" s="55"/>
      <c r="AY106" s="55"/>
      <c r="AZ106" s="55"/>
      <c r="BA106" s="55"/>
      <c r="BB106" s="55"/>
      <c r="BC106" s="55"/>
      <c r="BD106" s="55"/>
      <c r="BE106" s="55"/>
      <c r="BF106" s="55"/>
      <c r="BG106" s="55"/>
      <c r="BH106" s="55"/>
      <c r="BI106" s="55"/>
      <c r="BJ106" s="55"/>
      <c r="BK106" s="55"/>
      <c r="BL106" s="55"/>
      <c r="BM106" s="55"/>
      <c r="BN106" s="55"/>
      <c r="BO106" s="55"/>
      <c r="BP106" s="55"/>
      <c r="BQ106" s="55"/>
      <c r="BR106" s="55"/>
      <c r="BS106" s="55"/>
      <c r="BT106" s="55"/>
      <c r="BU106" s="55"/>
      <c r="BV106" s="55"/>
      <c r="BW106" s="55"/>
      <c r="BX106" s="55"/>
      <c r="BY106" s="55"/>
      <c r="BZ106" s="55"/>
      <c r="CA106" s="55"/>
      <c r="CB106" s="55"/>
      <c r="CC106" s="55"/>
      <c r="CD106" s="55"/>
      <c r="CE106" s="55"/>
      <c r="CF106" s="55"/>
      <c r="CG106" s="55"/>
      <c r="CH106" s="55"/>
      <c r="CI106" s="55"/>
      <c r="CJ106" s="55"/>
      <c r="CK106" s="55"/>
      <c r="CL106" s="55"/>
      <c r="CM106" s="55"/>
      <c r="CN106" s="55"/>
      <c r="CO106" s="55"/>
      <c r="CP106" s="55"/>
      <c r="CQ106" s="55"/>
      <c r="CR106" s="55"/>
      <c r="CS106" s="55"/>
      <c r="CT106" s="55"/>
      <c r="CU106" s="55"/>
      <c r="CV106" s="55"/>
      <c r="CW106" s="55"/>
      <c r="CX106" s="55"/>
      <c r="CY106" s="55"/>
      <c r="CZ106" s="55"/>
      <c r="DA106" s="55"/>
      <c r="DB106" s="55"/>
      <c r="DC106" s="55"/>
      <c r="DD106" s="55"/>
      <c r="DE106" s="55"/>
      <c r="DF106" s="55"/>
      <c r="DG106" s="55"/>
      <c r="DH106" s="55"/>
      <c r="DI106" s="55"/>
    </row>
    <row r="107" spans="1:113" x14ac:dyDescent="0.25">
      <c r="A107" s="152">
        <v>14</v>
      </c>
      <c r="B107" s="60" t="s">
        <v>289</v>
      </c>
      <c r="C107" s="80">
        <v>7000</v>
      </c>
      <c r="D107" s="142">
        <v>1508.95</v>
      </c>
      <c r="E107" s="43">
        <v>225</v>
      </c>
      <c r="F107" s="60"/>
      <c r="G107" s="139">
        <f t="shared" si="27"/>
        <v>225</v>
      </c>
      <c r="H107" s="55"/>
      <c r="I107" s="56">
        <f t="shared" si="28"/>
        <v>225</v>
      </c>
      <c r="J107" s="56">
        <f t="shared" si="29"/>
        <v>1575000</v>
      </c>
      <c r="K107" s="57">
        <f t="shared" si="30"/>
        <v>339513.75</v>
      </c>
      <c r="L107"/>
      <c r="M107" s="314">
        <f t="shared" si="26"/>
        <v>0</v>
      </c>
      <c r="N107" s="310"/>
      <c r="O107" s="315"/>
      <c r="P107" s="315"/>
      <c r="Q107" s="315"/>
      <c r="R107" s="315"/>
      <c r="S107" s="55"/>
      <c r="T107" s="55"/>
      <c r="U107" s="55"/>
      <c r="V107" s="55"/>
      <c r="W107" s="55"/>
      <c r="X107" s="55"/>
      <c r="Y107" s="55"/>
      <c r="Z107" s="55"/>
      <c r="AA107" s="55"/>
      <c r="AB107" s="55"/>
      <c r="AC107" s="55"/>
      <c r="AD107" s="55"/>
      <c r="AE107" s="55"/>
      <c r="AF107" s="55"/>
      <c r="AG107" s="55"/>
      <c r="AH107" s="55"/>
      <c r="AI107" s="55"/>
      <c r="AJ107" s="55"/>
      <c r="AK107" s="55"/>
      <c r="AL107" s="55"/>
      <c r="AM107" s="55"/>
      <c r="AN107" s="55"/>
      <c r="AO107" s="55"/>
      <c r="AP107" s="55"/>
      <c r="AQ107" s="55"/>
      <c r="AR107" s="55"/>
      <c r="AS107" s="55"/>
      <c r="AT107" s="55"/>
      <c r="AU107" s="55"/>
      <c r="AV107" s="55"/>
      <c r="AW107" s="55"/>
      <c r="AX107" s="55"/>
      <c r="AY107" s="55"/>
      <c r="AZ107" s="55"/>
      <c r="BA107" s="55"/>
      <c r="BB107" s="55"/>
      <c r="BC107" s="55"/>
      <c r="BD107" s="55"/>
      <c r="BE107" s="55"/>
      <c r="BF107" s="55"/>
      <c r="BG107" s="55"/>
      <c r="BH107" s="55"/>
      <c r="BI107" s="55"/>
      <c r="BJ107" s="55"/>
      <c r="BK107" s="55"/>
      <c r="BL107" s="55"/>
      <c r="BM107" s="55"/>
      <c r="BN107" s="55"/>
      <c r="BO107" s="55"/>
      <c r="BP107" s="55"/>
      <c r="BQ107" s="55"/>
      <c r="BR107" s="55"/>
      <c r="BS107" s="55"/>
      <c r="BT107" s="55"/>
      <c r="BU107" s="55"/>
      <c r="BV107" s="55"/>
      <c r="BW107" s="55"/>
      <c r="BX107" s="55"/>
      <c r="BY107" s="55"/>
      <c r="BZ107" s="55"/>
      <c r="CA107" s="55"/>
      <c r="CB107" s="55"/>
      <c r="CC107" s="55"/>
      <c r="CD107" s="55"/>
      <c r="CE107" s="55"/>
      <c r="CF107" s="55"/>
      <c r="CG107" s="55"/>
      <c r="CH107" s="55"/>
      <c r="CI107" s="55"/>
      <c r="CJ107" s="55"/>
      <c r="CK107" s="55"/>
      <c r="CL107" s="55"/>
      <c r="CM107" s="55"/>
      <c r="CN107" s="55"/>
      <c r="CO107" s="55"/>
      <c r="CP107" s="55"/>
      <c r="CQ107" s="55"/>
      <c r="CR107" s="55"/>
      <c r="CS107" s="55"/>
      <c r="CT107" s="55"/>
      <c r="CU107" s="55"/>
      <c r="CV107" s="55"/>
      <c r="CW107" s="55"/>
      <c r="CX107" s="55"/>
      <c r="CY107" s="55"/>
      <c r="CZ107" s="55"/>
      <c r="DA107" s="55"/>
      <c r="DB107" s="55"/>
      <c r="DC107" s="55"/>
      <c r="DD107" s="55"/>
      <c r="DE107" s="55"/>
      <c r="DF107" s="55"/>
      <c r="DG107" s="55"/>
      <c r="DH107" s="55"/>
      <c r="DI107" s="55"/>
    </row>
    <row r="108" spans="1:113" x14ac:dyDescent="0.25">
      <c r="A108" s="152">
        <v>15</v>
      </c>
      <c r="B108" s="60" t="s">
        <v>290</v>
      </c>
      <c r="C108" s="80">
        <v>32500</v>
      </c>
      <c r="D108" s="142">
        <v>14723.76</v>
      </c>
      <c r="E108" s="43">
        <v>373</v>
      </c>
      <c r="F108" s="60"/>
      <c r="G108" s="139">
        <f t="shared" si="27"/>
        <v>373</v>
      </c>
      <c r="H108" s="55"/>
      <c r="I108" s="56">
        <f t="shared" si="28"/>
        <v>373</v>
      </c>
      <c r="J108" s="56">
        <f t="shared" si="29"/>
        <v>12122500</v>
      </c>
      <c r="K108" s="57">
        <f t="shared" si="30"/>
        <v>5491962.4800000004</v>
      </c>
      <c r="L108"/>
      <c r="M108" s="314">
        <f t="shared" si="26"/>
        <v>0</v>
      </c>
      <c r="N108" s="310"/>
      <c r="O108" s="315"/>
      <c r="P108" s="315"/>
      <c r="Q108" s="315"/>
      <c r="R108" s="315"/>
      <c r="S108" s="55"/>
      <c r="T108" s="55"/>
      <c r="U108" s="55"/>
      <c r="V108" s="55"/>
      <c r="W108" s="55"/>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c r="BM108" s="55"/>
      <c r="BN108" s="55"/>
      <c r="BO108" s="55"/>
      <c r="BP108" s="55"/>
      <c r="BQ108" s="55"/>
      <c r="BR108" s="55"/>
      <c r="BS108" s="55"/>
      <c r="BT108" s="55"/>
      <c r="BU108" s="55"/>
      <c r="BV108" s="55"/>
      <c r="BW108" s="55"/>
      <c r="BX108" s="55"/>
      <c r="BY108" s="55"/>
      <c r="BZ108" s="55"/>
      <c r="CA108" s="55"/>
      <c r="CB108" s="55"/>
      <c r="CC108" s="55"/>
      <c r="CD108" s="55"/>
      <c r="CE108" s="55"/>
      <c r="CF108" s="55"/>
      <c r="CG108" s="55"/>
      <c r="CH108" s="55"/>
      <c r="CI108" s="55"/>
      <c r="CJ108" s="55"/>
      <c r="CK108" s="55"/>
      <c r="CL108" s="55"/>
      <c r="CM108" s="55"/>
      <c r="CN108" s="55"/>
      <c r="CO108" s="55"/>
      <c r="CP108" s="55"/>
      <c r="CQ108" s="55"/>
      <c r="CR108" s="55"/>
      <c r="CS108" s="55"/>
      <c r="CT108" s="55"/>
      <c r="CU108" s="55"/>
      <c r="CV108" s="55"/>
      <c r="CW108" s="55"/>
      <c r="CX108" s="55"/>
      <c r="CY108" s="55"/>
      <c r="CZ108" s="55"/>
      <c r="DA108" s="55"/>
      <c r="DB108" s="55"/>
      <c r="DC108" s="55"/>
      <c r="DD108" s="55"/>
      <c r="DE108" s="55"/>
      <c r="DF108" s="55"/>
      <c r="DG108" s="55"/>
      <c r="DH108" s="55"/>
      <c r="DI108" s="55"/>
    </row>
    <row r="109" spans="1:113" x14ac:dyDescent="0.25">
      <c r="A109" s="152">
        <v>16</v>
      </c>
      <c r="B109" s="60" t="s">
        <v>291</v>
      </c>
      <c r="C109" s="80">
        <v>5000</v>
      </c>
      <c r="D109" s="142">
        <v>1226.98</v>
      </c>
      <c r="E109" s="43">
        <v>0</v>
      </c>
      <c r="F109" s="60"/>
      <c r="G109" s="139">
        <f t="shared" si="27"/>
        <v>0</v>
      </c>
      <c r="H109" s="55">
        <f>14-14</f>
        <v>0</v>
      </c>
      <c r="I109" s="56">
        <f t="shared" si="28"/>
        <v>0</v>
      </c>
      <c r="J109" s="56">
        <f t="shared" si="29"/>
        <v>0</v>
      </c>
      <c r="K109" s="57">
        <f t="shared" si="30"/>
        <v>0</v>
      </c>
      <c r="L109"/>
      <c r="M109" s="314">
        <f t="shared" si="26"/>
        <v>0</v>
      </c>
      <c r="N109" s="310"/>
      <c r="O109" s="315"/>
      <c r="P109" s="315"/>
      <c r="Q109" s="315"/>
      <c r="R109" s="315"/>
      <c r="S109" s="55"/>
      <c r="T109" s="55"/>
      <c r="U109" s="55"/>
      <c r="V109" s="55"/>
      <c r="W109" s="55"/>
      <c r="X109" s="55"/>
      <c r="Y109" s="55"/>
      <c r="Z109" s="55"/>
      <c r="AA109" s="55"/>
      <c r="AB109" s="55"/>
      <c r="AC109" s="55"/>
      <c r="AD109" s="55"/>
      <c r="AE109" s="55"/>
      <c r="AF109" s="55"/>
      <c r="AG109" s="55"/>
      <c r="AH109" s="55"/>
      <c r="AI109" s="55"/>
      <c r="AJ109" s="55"/>
      <c r="AK109" s="55"/>
      <c r="AL109" s="55"/>
      <c r="AM109" s="55"/>
      <c r="AN109" s="55"/>
      <c r="AO109" s="55"/>
      <c r="AP109" s="55"/>
      <c r="AQ109" s="55"/>
      <c r="AR109" s="55"/>
      <c r="AS109" s="55"/>
      <c r="AT109" s="55"/>
      <c r="AU109" s="55"/>
      <c r="AV109" s="55"/>
      <c r="AW109" s="55"/>
      <c r="AX109" s="55"/>
      <c r="AY109" s="55"/>
      <c r="AZ109" s="55"/>
      <c r="BA109" s="55"/>
      <c r="BB109" s="55"/>
      <c r="BC109" s="55"/>
      <c r="BD109" s="55"/>
      <c r="BE109" s="55"/>
      <c r="BF109" s="55"/>
      <c r="BG109" s="55"/>
      <c r="BH109" s="55"/>
      <c r="BI109" s="55"/>
      <c r="BJ109" s="55"/>
      <c r="BK109" s="55"/>
      <c r="BL109" s="55"/>
      <c r="BM109" s="55"/>
      <c r="BN109" s="55"/>
      <c r="BO109" s="55"/>
      <c r="BP109" s="55"/>
      <c r="BQ109" s="55"/>
      <c r="BR109" s="55"/>
      <c r="BS109" s="55"/>
      <c r="BT109" s="55"/>
      <c r="BU109" s="55"/>
      <c r="BV109" s="55"/>
      <c r="BW109" s="55"/>
      <c r="BX109" s="55"/>
      <c r="BY109" s="55"/>
      <c r="BZ109" s="55"/>
      <c r="CA109" s="55"/>
      <c r="CB109" s="55"/>
      <c r="CC109" s="55"/>
      <c r="CD109" s="55"/>
      <c r="CE109" s="55"/>
      <c r="CF109" s="55"/>
      <c r="CG109" s="55"/>
      <c r="CH109" s="55"/>
      <c r="CI109" s="55"/>
      <c r="CJ109" s="55"/>
      <c r="CK109" s="55"/>
      <c r="CL109" s="55"/>
      <c r="CM109" s="55"/>
      <c r="CN109" s="55"/>
      <c r="CO109" s="55"/>
      <c r="CP109" s="55"/>
      <c r="CQ109" s="55"/>
      <c r="CR109" s="55"/>
      <c r="CS109" s="55"/>
      <c r="CT109" s="55"/>
      <c r="CU109" s="55"/>
      <c r="CV109" s="55"/>
      <c r="CW109" s="55"/>
      <c r="CX109" s="55"/>
      <c r="CY109" s="55"/>
      <c r="CZ109" s="55"/>
      <c r="DA109" s="55"/>
      <c r="DB109" s="55"/>
      <c r="DC109" s="55"/>
      <c r="DD109" s="55"/>
      <c r="DE109" s="55"/>
      <c r="DF109" s="55"/>
      <c r="DG109" s="55"/>
      <c r="DH109" s="55"/>
      <c r="DI109" s="55"/>
    </row>
    <row r="110" spans="1:113" x14ac:dyDescent="0.25">
      <c r="A110" s="152">
        <v>17</v>
      </c>
      <c r="B110" s="60" t="s">
        <v>292</v>
      </c>
      <c r="C110" s="80">
        <v>5000</v>
      </c>
      <c r="D110" s="142">
        <v>1226.98</v>
      </c>
      <c r="E110" s="43">
        <v>38</v>
      </c>
      <c r="F110" s="60"/>
      <c r="G110" s="139">
        <f t="shared" si="27"/>
        <v>38</v>
      </c>
      <c r="H110" s="55"/>
      <c r="I110" s="56">
        <f t="shared" si="28"/>
        <v>38</v>
      </c>
      <c r="J110" s="56">
        <f t="shared" si="29"/>
        <v>190000</v>
      </c>
      <c r="K110" s="57">
        <f t="shared" si="30"/>
        <v>46625.24</v>
      </c>
      <c r="L110"/>
      <c r="M110" s="314">
        <f t="shared" si="26"/>
        <v>0</v>
      </c>
      <c r="N110" s="310"/>
      <c r="O110" s="315"/>
      <c r="P110" s="315"/>
      <c r="Q110" s="315"/>
      <c r="R110" s="315"/>
      <c r="S110" s="55"/>
      <c r="T110" s="55"/>
      <c r="U110" s="55"/>
      <c r="V110" s="55"/>
      <c r="W110" s="55"/>
      <c r="X110" s="55"/>
      <c r="Y110" s="55"/>
      <c r="Z110" s="55"/>
      <c r="AA110" s="55"/>
      <c r="AB110" s="55"/>
      <c r="AC110" s="55"/>
      <c r="AD110" s="55"/>
      <c r="AE110" s="55"/>
      <c r="AF110" s="55"/>
      <c r="AG110" s="55"/>
      <c r="AH110" s="55"/>
      <c r="AI110" s="55"/>
      <c r="AJ110" s="55"/>
      <c r="AK110" s="55"/>
      <c r="AL110" s="55"/>
      <c r="AM110" s="55"/>
      <c r="AN110" s="55"/>
      <c r="AO110" s="55"/>
      <c r="AP110" s="55"/>
      <c r="AQ110" s="55"/>
      <c r="AR110" s="55"/>
      <c r="AS110" s="55"/>
      <c r="AT110" s="55"/>
      <c r="AU110" s="55"/>
      <c r="AV110" s="55"/>
      <c r="AW110" s="55"/>
      <c r="AX110" s="55"/>
      <c r="AY110" s="55"/>
      <c r="AZ110" s="55"/>
      <c r="BA110" s="55"/>
      <c r="BB110" s="55"/>
      <c r="BC110" s="55"/>
      <c r="BD110" s="55"/>
      <c r="BE110" s="55"/>
      <c r="BF110" s="55"/>
      <c r="BG110" s="55"/>
      <c r="BH110" s="55"/>
      <c r="BI110" s="55"/>
      <c r="BJ110" s="55"/>
      <c r="BK110" s="55"/>
      <c r="BL110" s="55"/>
      <c r="BM110" s="55"/>
      <c r="BN110" s="55"/>
      <c r="BO110" s="55"/>
      <c r="BP110" s="55"/>
      <c r="BQ110" s="55"/>
      <c r="BR110" s="55"/>
      <c r="BS110" s="55"/>
      <c r="BT110" s="55"/>
      <c r="BU110" s="55"/>
      <c r="BV110" s="55"/>
      <c r="BW110" s="55"/>
      <c r="BX110" s="55"/>
      <c r="BY110" s="55"/>
      <c r="BZ110" s="55"/>
      <c r="CA110" s="55"/>
      <c r="CB110" s="55"/>
      <c r="CC110" s="55"/>
      <c r="CD110" s="55"/>
      <c r="CE110" s="55"/>
      <c r="CF110" s="55"/>
      <c r="CG110" s="55"/>
      <c r="CH110" s="55"/>
      <c r="CI110" s="55"/>
      <c r="CJ110" s="55"/>
      <c r="CK110" s="55"/>
      <c r="CL110" s="55"/>
      <c r="CM110" s="55"/>
      <c r="CN110" s="55"/>
      <c r="CO110" s="55"/>
      <c r="CP110" s="55"/>
      <c r="CQ110" s="55"/>
      <c r="CR110" s="55"/>
      <c r="CS110" s="55"/>
      <c r="CT110" s="55"/>
      <c r="CU110" s="55"/>
      <c r="CV110" s="55"/>
      <c r="CW110" s="55"/>
      <c r="CX110" s="55"/>
      <c r="CY110" s="55"/>
      <c r="CZ110" s="55"/>
      <c r="DA110" s="55"/>
      <c r="DB110" s="55"/>
      <c r="DC110" s="55"/>
      <c r="DD110" s="55"/>
      <c r="DE110" s="55"/>
      <c r="DF110" s="55"/>
      <c r="DG110" s="55"/>
      <c r="DH110" s="55"/>
      <c r="DI110" s="55"/>
    </row>
    <row r="111" spans="1:113" x14ac:dyDescent="0.25">
      <c r="A111" s="152">
        <v>18</v>
      </c>
      <c r="B111" s="60" t="s">
        <v>293</v>
      </c>
      <c r="C111" s="80">
        <v>5000</v>
      </c>
      <c r="D111" s="142">
        <v>1226.98</v>
      </c>
      <c r="E111" s="43">
        <v>0</v>
      </c>
      <c r="F111" s="60"/>
      <c r="G111" s="139">
        <f t="shared" si="27"/>
        <v>0</v>
      </c>
      <c r="H111" s="55">
        <f>14-14</f>
        <v>0</v>
      </c>
      <c r="I111" s="56">
        <f t="shared" si="28"/>
        <v>0</v>
      </c>
      <c r="J111" s="56">
        <f t="shared" si="29"/>
        <v>0</v>
      </c>
      <c r="K111" s="57">
        <f t="shared" si="30"/>
        <v>0</v>
      </c>
      <c r="L111"/>
      <c r="M111" s="314">
        <f t="shared" si="26"/>
        <v>0</v>
      </c>
      <c r="N111" s="310"/>
      <c r="O111" s="315"/>
      <c r="P111" s="315"/>
      <c r="Q111" s="315"/>
      <c r="R111" s="315"/>
      <c r="S111" s="55"/>
      <c r="T111" s="55"/>
      <c r="U111" s="55"/>
      <c r="V111" s="55"/>
      <c r="W111" s="55"/>
      <c r="X111" s="55"/>
      <c r="Y111" s="55"/>
      <c r="Z111" s="55"/>
      <c r="AA111" s="55"/>
      <c r="AB111" s="55"/>
      <c r="AC111" s="55"/>
      <c r="AD111" s="55"/>
      <c r="AE111" s="55"/>
      <c r="AF111" s="55"/>
      <c r="AG111" s="55"/>
      <c r="AH111" s="55"/>
      <c r="AI111" s="55"/>
      <c r="AJ111" s="55"/>
      <c r="AK111" s="55"/>
      <c r="AL111" s="55"/>
      <c r="AM111" s="55"/>
      <c r="AN111" s="55"/>
      <c r="AO111" s="55"/>
      <c r="AP111" s="55"/>
      <c r="AQ111" s="55"/>
      <c r="AR111" s="55"/>
      <c r="AS111" s="55"/>
      <c r="AT111" s="55"/>
      <c r="AU111" s="55"/>
      <c r="AV111" s="55"/>
      <c r="AW111" s="55"/>
      <c r="AX111" s="55"/>
      <c r="AY111" s="55"/>
      <c r="AZ111" s="55"/>
      <c r="BA111" s="55"/>
      <c r="BB111" s="55"/>
      <c r="BC111" s="55"/>
      <c r="BD111" s="55"/>
      <c r="BE111" s="55"/>
      <c r="BF111" s="55"/>
      <c r="BG111" s="55"/>
      <c r="BH111" s="55"/>
      <c r="BI111" s="55"/>
      <c r="BJ111" s="55"/>
      <c r="BK111" s="55"/>
      <c r="BL111" s="55"/>
      <c r="BM111" s="55"/>
      <c r="BN111" s="55"/>
      <c r="BO111" s="55"/>
      <c r="BP111" s="55"/>
      <c r="BQ111" s="55"/>
      <c r="BR111" s="55"/>
      <c r="BS111" s="55"/>
      <c r="BT111" s="55"/>
      <c r="BU111" s="55"/>
      <c r="BV111" s="55"/>
      <c r="BW111" s="55"/>
      <c r="BX111" s="55"/>
      <c r="BY111" s="55"/>
      <c r="BZ111" s="55"/>
      <c r="CA111" s="55"/>
      <c r="CB111" s="55"/>
      <c r="CC111" s="55"/>
      <c r="CD111" s="55"/>
      <c r="CE111" s="55"/>
      <c r="CF111" s="55"/>
      <c r="CG111" s="55"/>
      <c r="CH111" s="55"/>
      <c r="CI111" s="55"/>
      <c r="CJ111" s="55"/>
      <c r="CK111" s="55"/>
      <c r="CL111" s="55"/>
      <c r="CM111" s="55"/>
      <c r="CN111" s="55"/>
      <c r="CO111" s="55"/>
      <c r="CP111" s="55"/>
      <c r="CQ111" s="55"/>
      <c r="CR111" s="55"/>
      <c r="CS111" s="55"/>
      <c r="CT111" s="55"/>
      <c r="CU111" s="55"/>
      <c r="CV111" s="55"/>
      <c r="CW111" s="55"/>
      <c r="CX111" s="55"/>
      <c r="CY111" s="55"/>
      <c r="CZ111" s="55"/>
      <c r="DA111" s="55"/>
      <c r="DB111" s="55"/>
      <c r="DC111" s="55"/>
      <c r="DD111" s="55"/>
      <c r="DE111" s="55"/>
      <c r="DF111" s="55"/>
      <c r="DG111" s="55"/>
      <c r="DH111" s="55"/>
      <c r="DI111" s="55"/>
    </row>
    <row r="112" spans="1:113" x14ac:dyDescent="0.25">
      <c r="A112" s="152">
        <v>19</v>
      </c>
      <c r="B112" s="60" t="s">
        <v>294</v>
      </c>
      <c r="C112" s="80">
        <v>8000</v>
      </c>
      <c r="D112" s="142">
        <v>1842.98</v>
      </c>
      <c r="E112" s="43">
        <v>0</v>
      </c>
      <c r="F112" s="60"/>
      <c r="G112" s="139">
        <f t="shared" si="27"/>
        <v>0</v>
      </c>
      <c r="H112" s="55">
        <f>22-22</f>
        <v>0</v>
      </c>
      <c r="I112" s="56">
        <f t="shared" si="28"/>
        <v>0</v>
      </c>
      <c r="J112" s="56">
        <f t="shared" si="29"/>
        <v>0</v>
      </c>
      <c r="K112" s="57">
        <f t="shared" si="30"/>
        <v>0</v>
      </c>
      <c r="L112"/>
      <c r="M112" s="314">
        <f t="shared" si="26"/>
        <v>0</v>
      </c>
      <c r="N112" s="310"/>
      <c r="O112" s="315"/>
      <c r="P112" s="315"/>
      <c r="Q112" s="315"/>
      <c r="R112" s="315"/>
      <c r="S112" s="55"/>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c r="BM112" s="55"/>
      <c r="BN112" s="55"/>
      <c r="BO112" s="55"/>
      <c r="BP112" s="55"/>
      <c r="BQ112" s="55"/>
      <c r="BR112" s="55"/>
      <c r="BS112" s="55"/>
      <c r="BT112" s="55"/>
      <c r="BU112" s="55"/>
      <c r="BV112" s="55"/>
      <c r="BW112" s="55"/>
      <c r="BX112" s="55"/>
      <c r="BY112" s="55"/>
      <c r="BZ112" s="55"/>
      <c r="CA112" s="55"/>
      <c r="CB112" s="55"/>
      <c r="CC112" s="55"/>
      <c r="CD112" s="55"/>
      <c r="CE112" s="55"/>
      <c r="CF112" s="55"/>
      <c r="CG112" s="55"/>
      <c r="CH112" s="55"/>
      <c r="CI112" s="55"/>
      <c r="CJ112" s="55"/>
      <c r="CK112" s="55"/>
      <c r="CL112" s="55"/>
      <c r="CM112" s="55"/>
      <c r="CN112" s="55"/>
      <c r="CO112" s="55"/>
      <c r="CP112" s="55"/>
      <c r="CQ112" s="55"/>
      <c r="CR112" s="55"/>
      <c r="CS112" s="55"/>
      <c r="CT112" s="55"/>
      <c r="CU112" s="55"/>
      <c r="CV112" s="55"/>
      <c r="CW112" s="55"/>
      <c r="CX112" s="55"/>
      <c r="CY112" s="55"/>
      <c r="CZ112" s="55"/>
      <c r="DA112" s="55"/>
      <c r="DB112" s="55"/>
      <c r="DC112" s="55"/>
      <c r="DD112" s="55"/>
      <c r="DE112" s="55"/>
      <c r="DF112" s="55"/>
      <c r="DG112" s="55"/>
      <c r="DH112" s="55"/>
      <c r="DI112" s="55"/>
    </row>
    <row r="113" spans="1:113" x14ac:dyDescent="0.25">
      <c r="A113" s="152">
        <v>20</v>
      </c>
      <c r="B113" s="213" t="s">
        <v>772</v>
      </c>
      <c r="C113" s="80">
        <v>5000</v>
      </c>
      <c r="D113" s="142">
        <v>1226.98</v>
      </c>
      <c r="E113" s="43">
        <v>39</v>
      </c>
      <c r="F113" s="60"/>
      <c r="G113" s="139">
        <f t="shared" si="27"/>
        <v>39</v>
      </c>
      <c r="H113" s="55"/>
      <c r="I113" s="56">
        <f t="shared" si="28"/>
        <v>39</v>
      </c>
      <c r="J113" s="56">
        <f t="shared" si="29"/>
        <v>195000</v>
      </c>
      <c r="K113" s="57">
        <f t="shared" si="30"/>
        <v>47852.22</v>
      </c>
      <c r="L113"/>
      <c r="M113" s="314">
        <f t="shared" si="26"/>
        <v>0</v>
      </c>
      <c r="N113" s="310"/>
      <c r="O113" s="315"/>
      <c r="P113" s="315"/>
      <c r="Q113" s="315"/>
      <c r="R113" s="315"/>
      <c r="S113" s="55"/>
      <c r="T113" s="55"/>
      <c r="U113" s="55"/>
      <c r="V113" s="55"/>
      <c r="W113" s="55"/>
      <c r="X113" s="55"/>
      <c r="Y113" s="55"/>
      <c r="Z113" s="55"/>
      <c r="AA113" s="55"/>
      <c r="AB113" s="55"/>
      <c r="AC113" s="55"/>
      <c r="AD113" s="55"/>
      <c r="AE113" s="55"/>
      <c r="AF113" s="55"/>
      <c r="AG113" s="55"/>
      <c r="AH113" s="55"/>
      <c r="AI113" s="55"/>
      <c r="AJ113" s="55"/>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55"/>
      <c r="BH113" s="55"/>
      <c r="BI113" s="55"/>
      <c r="BJ113" s="55"/>
      <c r="BK113" s="55"/>
      <c r="BL113" s="55"/>
      <c r="BM113" s="55"/>
      <c r="BN113" s="55"/>
      <c r="BO113" s="55"/>
      <c r="BP113" s="55"/>
      <c r="BQ113" s="55"/>
      <c r="BR113" s="55"/>
      <c r="BS113" s="55"/>
      <c r="BT113" s="55"/>
      <c r="BU113" s="55"/>
      <c r="BV113" s="55"/>
      <c r="BW113" s="55"/>
      <c r="BX113" s="55"/>
      <c r="BY113" s="55"/>
      <c r="BZ113" s="55"/>
      <c r="CA113" s="55"/>
      <c r="CB113" s="55"/>
      <c r="CC113" s="55"/>
      <c r="CD113" s="55"/>
      <c r="CE113" s="55"/>
      <c r="CF113" s="55"/>
      <c r="CG113" s="55"/>
      <c r="CH113" s="55"/>
      <c r="CI113" s="55"/>
      <c r="CJ113" s="55"/>
      <c r="CK113" s="55"/>
      <c r="CL113" s="55"/>
      <c r="CM113" s="55"/>
      <c r="CN113" s="55"/>
      <c r="CO113" s="55"/>
      <c r="CP113" s="55"/>
      <c r="CQ113" s="55"/>
      <c r="CR113" s="55"/>
      <c r="CS113" s="55"/>
      <c r="CT113" s="55"/>
      <c r="CU113" s="55"/>
      <c r="CV113" s="55"/>
      <c r="CW113" s="55"/>
      <c r="CX113" s="55"/>
      <c r="CY113" s="55"/>
      <c r="CZ113" s="55"/>
      <c r="DA113" s="55"/>
      <c r="DB113" s="55"/>
      <c r="DC113" s="55"/>
      <c r="DD113" s="55"/>
      <c r="DE113" s="55"/>
      <c r="DF113" s="55"/>
      <c r="DG113" s="55"/>
      <c r="DH113" s="55"/>
      <c r="DI113" s="55"/>
    </row>
    <row r="114" spans="1:113" x14ac:dyDescent="0.25">
      <c r="A114" s="152">
        <v>21</v>
      </c>
      <c r="B114" s="60" t="s">
        <v>295</v>
      </c>
      <c r="C114" s="80">
        <v>8000</v>
      </c>
      <c r="D114" s="142">
        <v>1842.98</v>
      </c>
      <c r="E114" s="43">
        <v>138</v>
      </c>
      <c r="F114" s="60"/>
      <c r="G114" s="139">
        <f t="shared" si="27"/>
        <v>138</v>
      </c>
      <c r="H114" s="55"/>
      <c r="I114" s="56">
        <f t="shared" si="28"/>
        <v>138</v>
      </c>
      <c r="J114" s="56">
        <f t="shared" si="29"/>
        <v>1104000</v>
      </c>
      <c r="K114" s="57">
        <f t="shared" si="30"/>
        <v>254331.24</v>
      </c>
      <c r="L114"/>
      <c r="M114" s="314">
        <f t="shared" si="26"/>
        <v>0</v>
      </c>
      <c r="N114" s="310"/>
      <c r="O114" s="315"/>
      <c r="P114" s="315"/>
      <c r="Q114" s="315"/>
      <c r="R114" s="315"/>
      <c r="S114" s="55"/>
      <c r="T114" s="55"/>
      <c r="U114" s="55"/>
      <c r="V114" s="55"/>
      <c r="W114" s="55"/>
      <c r="X114" s="55"/>
      <c r="Y114" s="55"/>
      <c r="Z114" s="55"/>
      <c r="AA114" s="55"/>
      <c r="AB114" s="55"/>
      <c r="AC114" s="55"/>
      <c r="AD114" s="55"/>
      <c r="AE114" s="55"/>
      <c r="AF114" s="55"/>
      <c r="AG114" s="55"/>
      <c r="AH114" s="55"/>
      <c r="AI114" s="55"/>
      <c r="AJ114" s="55"/>
      <c r="AK114" s="55"/>
      <c r="AL114" s="55"/>
      <c r="AM114" s="55"/>
      <c r="AN114" s="55"/>
      <c r="AO114" s="55"/>
      <c r="AP114" s="55"/>
      <c r="AQ114" s="55"/>
      <c r="AR114" s="55"/>
      <c r="AS114" s="55"/>
      <c r="AT114" s="55"/>
      <c r="AU114" s="55"/>
      <c r="AV114" s="55"/>
      <c r="AW114" s="55"/>
      <c r="AX114" s="55"/>
      <c r="AY114" s="55"/>
      <c r="AZ114" s="55"/>
      <c r="BA114" s="55"/>
      <c r="BB114" s="55"/>
      <c r="BC114" s="55"/>
      <c r="BD114" s="55"/>
      <c r="BE114" s="55"/>
      <c r="BF114" s="55"/>
      <c r="BG114" s="55"/>
      <c r="BH114" s="55"/>
      <c r="BI114" s="55"/>
      <c r="BJ114" s="55"/>
      <c r="BK114" s="55"/>
      <c r="BL114" s="55"/>
      <c r="BM114" s="55"/>
      <c r="BN114" s="55"/>
      <c r="BO114" s="55"/>
      <c r="BP114" s="55"/>
      <c r="BQ114" s="55"/>
      <c r="BR114" s="55"/>
      <c r="BS114" s="55"/>
      <c r="BT114" s="55"/>
      <c r="BU114" s="55"/>
      <c r="BV114" s="55"/>
      <c r="BW114" s="55"/>
      <c r="BX114" s="55"/>
      <c r="BY114" s="55"/>
      <c r="BZ114" s="55"/>
      <c r="CA114" s="55"/>
      <c r="CB114" s="55"/>
      <c r="CC114" s="55"/>
      <c r="CD114" s="55"/>
      <c r="CE114" s="55"/>
      <c r="CF114" s="55"/>
      <c r="CG114" s="55"/>
      <c r="CH114" s="55"/>
      <c r="CI114" s="55"/>
      <c r="CJ114" s="55"/>
      <c r="CK114" s="55"/>
      <c r="CL114" s="55"/>
      <c r="CM114" s="55"/>
      <c r="CN114" s="55"/>
      <c r="CO114" s="55"/>
      <c r="CP114" s="55"/>
      <c r="CQ114" s="55"/>
      <c r="CR114" s="55"/>
      <c r="CS114" s="55"/>
      <c r="CT114" s="55"/>
      <c r="CU114" s="55"/>
      <c r="CV114" s="55"/>
      <c r="CW114" s="55"/>
      <c r="CX114" s="55"/>
      <c r="CY114" s="55"/>
      <c r="CZ114" s="55"/>
      <c r="DA114" s="55"/>
      <c r="DB114" s="55"/>
      <c r="DC114" s="55"/>
      <c r="DD114" s="55"/>
      <c r="DE114" s="55"/>
      <c r="DF114" s="55"/>
      <c r="DG114" s="55"/>
      <c r="DH114" s="55"/>
      <c r="DI114" s="55"/>
    </row>
    <row r="115" spans="1:113" x14ac:dyDescent="0.25">
      <c r="A115" s="152">
        <v>22</v>
      </c>
      <c r="B115" s="60" t="s">
        <v>296</v>
      </c>
      <c r="C115" s="80">
        <v>7000</v>
      </c>
      <c r="D115" s="142">
        <v>1508.95</v>
      </c>
      <c r="E115" s="43">
        <v>204</v>
      </c>
      <c r="F115" s="60"/>
      <c r="G115" s="139">
        <f t="shared" si="27"/>
        <v>204</v>
      </c>
      <c r="H115" s="55"/>
      <c r="I115" s="56">
        <f t="shared" si="28"/>
        <v>204</v>
      </c>
      <c r="J115" s="56">
        <f t="shared" si="29"/>
        <v>1428000</v>
      </c>
      <c r="K115" s="57">
        <f t="shared" si="30"/>
        <v>307825.8</v>
      </c>
      <c r="L115"/>
      <c r="M115" s="314">
        <f t="shared" si="26"/>
        <v>0</v>
      </c>
      <c r="N115" s="310"/>
      <c r="O115" s="315"/>
      <c r="P115" s="315"/>
      <c r="Q115" s="315"/>
      <c r="R115" s="315"/>
      <c r="S115" s="55"/>
      <c r="T115" s="55"/>
      <c r="U115" s="55"/>
      <c r="V115" s="55"/>
      <c r="W115" s="55"/>
      <c r="X115" s="55"/>
      <c r="Y115" s="55"/>
      <c r="Z115" s="55"/>
      <c r="AA115" s="55"/>
      <c r="AB115" s="55"/>
      <c r="AC115" s="55"/>
      <c r="AD115" s="55"/>
      <c r="AE115" s="55"/>
      <c r="AF115" s="55"/>
      <c r="AG115" s="55"/>
      <c r="AH115" s="55"/>
      <c r="AI115" s="55"/>
      <c r="AJ115" s="55"/>
      <c r="AK115" s="55"/>
      <c r="AL115" s="55"/>
      <c r="AM115" s="55"/>
      <c r="AN115" s="55"/>
      <c r="AO115" s="55"/>
      <c r="AP115" s="55"/>
      <c r="AQ115" s="55"/>
      <c r="AR115" s="55"/>
      <c r="AS115" s="55"/>
      <c r="AT115" s="55"/>
      <c r="AU115" s="55"/>
      <c r="AV115" s="55"/>
      <c r="AW115" s="55"/>
      <c r="AX115" s="55"/>
      <c r="AY115" s="55"/>
      <c r="AZ115" s="55"/>
      <c r="BA115" s="55"/>
      <c r="BB115" s="55"/>
      <c r="BC115" s="55"/>
      <c r="BD115" s="55"/>
      <c r="BE115" s="55"/>
      <c r="BF115" s="55"/>
      <c r="BG115" s="55"/>
      <c r="BH115" s="55"/>
      <c r="BI115" s="55"/>
      <c r="BJ115" s="55"/>
      <c r="BK115" s="55"/>
      <c r="BL115" s="55"/>
      <c r="BM115" s="55"/>
      <c r="BN115" s="55"/>
      <c r="BO115" s="55"/>
      <c r="BP115" s="55"/>
      <c r="BQ115" s="55"/>
      <c r="BR115" s="55"/>
      <c r="BS115" s="55"/>
      <c r="BT115" s="55"/>
      <c r="BU115" s="55"/>
      <c r="BV115" s="55"/>
      <c r="BW115" s="55"/>
      <c r="BX115" s="55"/>
      <c r="BY115" s="55"/>
      <c r="BZ115" s="55"/>
      <c r="CA115" s="55"/>
      <c r="CB115" s="55"/>
      <c r="CC115" s="55"/>
      <c r="CD115" s="55"/>
      <c r="CE115" s="55"/>
      <c r="CF115" s="55"/>
      <c r="CG115" s="55"/>
      <c r="CH115" s="55"/>
      <c r="CI115" s="55"/>
      <c r="CJ115" s="55"/>
      <c r="CK115" s="55"/>
      <c r="CL115" s="55"/>
      <c r="CM115" s="55"/>
      <c r="CN115" s="55"/>
      <c r="CO115" s="55"/>
      <c r="CP115" s="55"/>
      <c r="CQ115" s="55"/>
      <c r="CR115" s="55"/>
      <c r="CS115" s="55"/>
      <c r="CT115" s="55"/>
      <c r="CU115" s="55"/>
      <c r="CV115" s="55"/>
      <c r="CW115" s="55"/>
      <c r="CX115" s="55"/>
      <c r="CY115" s="55"/>
      <c r="CZ115" s="55"/>
      <c r="DA115" s="55"/>
      <c r="DB115" s="55"/>
      <c r="DC115" s="55"/>
      <c r="DD115" s="55"/>
      <c r="DE115" s="55"/>
      <c r="DF115" s="55"/>
      <c r="DG115" s="55"/>
      <c r="DH115" s="55"/>
      <c r="DI115" s="55"/>
    </row>
    <row r="116" spans="1:113" x14ac:dyDescent="0.25">
      <c r="A116" s="152">
        <v>23</v>
      </c>
      <c r="B116" s="60" t="s">
        <v>297</v>
      </c>
      <c r="C116" s="80">
        <v>12000</v>
      </c>
      <c r="D116" s="142">
        <v>1160.19</v>
      </c>
      <c r="E116" s="43">
        <v>75</v>
      </c>
      <c r="F116" s="60"/>
      <c r="G116" s="139">
        <f t="shared" si="27"/>
        <v>75</v>
      </c>
      <c r="H116" s="55"/>
      <c r="I116" s="56">
        <f t="shared" si="28"/>
        <v>75</v>
      </c>
      <c r="J116" s="56">
        <f t="shared" si="29"/>
        <v>900000</v>
      </c>
      <c r="K116" s="57">
        <f t="shared" si="30"/>
        <v>87014.25</v>
      </c>
      <c r="L116"/>
      <c r="M116" s="314">
        <f t="shared" si="26"/>
        <v>0</v>
      </c>
      <c r="N116" s="310"/>
      <c r="O116" s="315"/>
      <c r="P116" s="315"/>
      <c r="Q116" s="315"/>
      <c r="R116" s="315"/>
      <c r="S116" s="55"/>
      <c r="T116" s="55"/>
      <c r="U116" s="55"/>
      <c r="V116" s="55"/>
      <c r="W116" s="55"/>
      <c r="X116" s="55"/>
      <c r="Y116" s="55"/>
      <c r="Z116" s="55"/>
      <c r="AA116" s="55"/>
      <c r="AB116" s="55"/>
      <c r="AC116" s="55"/>
      <c r="AD116" s="55"/>
      <c r="AE116" s="55"/>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55"/>
      <c r="BB116" s="55"/>
      <c r="BC116" s="55"/>
      <c r="BD116" s="55"/>
      <c r="BE116" s="55"/>
      <c r="BF116" s="55"/>
      <c r="BG116" s="55"/>
      <c r="BH116" s="55"/>
      <c r="BI116" s="55"/>
      <c r="BJ116" s="55"/>
      <c r="BK116" s="55"/>
      <c r="BL116" s="55"/>
      <c r="BM116" s="55"/>
      <c r="BN116" s="55"/>
      <c r="BO116" s="55"/>
      <c r="BP116" s="55"/>
      <c r="BQ116" s="55"/>
      <c r="BR116" s="55"/>
      <c r="BS116" s="55"/>
      <c r="BT116" s="55"/>
      <c r="BU116" s="55"/>
      <c r="BV116" s="55"/>
      <c r="BW116" s="55"/>
      <c r="BX116" s="55"/>
      <c r="BY116" s="55"/>
      <c r="BZ116" s="55"/>
      <c r="CA116" s="55"/>
      <c r="CB116" s="55"/>
      <c r="CC116" s="55"/>
      <c r="CD116" s="55"/>
      <c r="CE116" s="55"/>
      <c r="CF116" s="55"/>
      <c r="CG116" s="55"/>
      <c r="CH116" s="55"/>
      <c r="CI116" s="55"/>
      <c r="CJ116" s="55"/>
      <c r="CK116" s="55"/>
      <c r="CL116" s="55"/>
      <c r="CM116" s="55"/>
      <c r="CN116" s="55"/>
      <c r="CO116" s="55"/>
      <c r="CP116" s="55"/>
      <c r="CQ116" s="55"/>
      <c r="CR116" s="55"/>
      <c r="CS116" s="55"/>
      <c r="CT116" s="55"/>
      <c r="CU116" s="55"/>
      <c r="CV116" s="55"/>
      <c r="CW116" s="55"/>
      <c r="CX116" s="55"/>
      <c r="CY116" s="55"/>
      <c r="CZ116" s="55"/>
      <c r="DA116" s="55"/>
      <c r="DB116" s="55"/>
      <c r="DC116" s="55"/>
      <c r="DD116" s="55"/>
      <c r="DE116" s="55"/>
      <c r="DF116" s="55"/>
      <c r="DG116" s="55"/>
      <c r="DH116" s="55"/>
      <c r="DI116" s="55"/>
    </row>
    <row r="117" spans="1:113" x14ac:dyDescent="0.25">
      <c r="A117" s="152">
        <v>24</v>
      </c>
      <c r="B117" s="60" t="s">
        <v>298</v>
      </c>
      <c r="C117" s="80">
        <v>7000</v>
      </c>
      <c r="D117" s="142">
        <v>1160.19</v>
      </c>
      <c r="E117" s="43">
        <v>116</v>
      </c>
      <c r="F117" s="60"/>
      <c r="G117" s="139">
        <f t="shared" si="27"/>
        <v>116</v>
      </c>
      <c r="H117" s="55"/>
      <c r="I117" s="56">
        <f t="shared" si="28"/>
        <v>116</v>
      </c>
      <c r="J117" s="56">
        <f t="shared" si="29"/>
        <v>812000</v>
      </c>
      <c r="K117" s="57">
        <f t="shared" si="30"/>
        <v>134582.04</v>
      </c>
      <c r="L117"/>
      <c r="M117" s="314">
        <f t="shared" si="26"/>
        <v>0</v>
      </c>
      <c r="N117" s="310"/>
      <c r="O117" s="315"/>
      <c r="P117" s="315"/>
      <c r="Q117" s="315"/>
      <c r="R117" s="315"/>
      <c r="S117" s="55"/>
      <c r="T117" s="55"/>
      <c r="U117" s="55"/>
      <c r="V117" s="55"/>
      <c r="W117" s="55"/>
      <c r="X117" s="55"/>
      <c r="Y117" s="55"/>
      <c r="Z117" s="55"/>
      <c r="AA117" s="55"/>
      <c r="AB117" s="55"/>
      <c r="AC117" s="55"/>
      <c r="AD117" s="55"/>
      <c r="AE117" s="55"/>
      <c r="AF117" s="55"/>
      <c r="AG117" s="55"/>
      <c r="AH117" s="55"/>
      <c r="AI117" s="55"/>
      <c r="AJ117" s="55"/>
      <c r="AK117" s="55"/>
      <c r="AL117" s="55"/>
      <c r="AM117" s="55"/>
      <c r="AN117" s="55"/>
      <c r="AO117" s="55"/>
      <c r="AP117" s="55"/>
      <c r="AQ117" s="55"/>
      <c r="AR117" s="55"/>
      <c r="AS117" s="55"/>
      <c r="AT117" s="55"/>
      <c r="AU117" s="55"/>
      <c r="AV117" s="55"/>
      <c r="AW117" s="55"/>
      <c r="AX117" s="55"/>
      <c r="AY117" s="55"/>
      <c r="AZ117" s="55"/>
      <c r="BA117" s="55"/>
      <c r="BB117" s="55"/>
      <c r="BC117" s="55"/>
      <c r="BD117" s="55"/>
      <c r="BE117" s="55"/>
      <c r="BF117" s="55"/>
      <c r="BG117" s="55"/>
      <c r="BH117" s="55"/>
      <c r="BI117" s="55"/>
      <c r="BJ117" s="55"/>
      <c r="BK117" s="55"/>
      <c r="BL117" s="55"/>
      <c r="BM117" s="55"/>
      <c r="BN117" s="55"/>
      <c r="BO117" s="55"/>
      <c r="BP117" s="55"/>
      <c r="BQ117" s="55"/>
      <c r="BR117" s="55"/>
      <c r="BS117" s="55"/>
      <c r="BT117" s="55"/>
      <c r="BU117" s="55"/>
      <c r="BV117" s="55"/>
      <c r="BW117" s="55"/>
      <c r="BX117" s="55"/>
      <c r="BY117" s="55"/>
      <c r="BZ117" s="55"/>
      <c r="CA117" s="55"/>
      <c r="CB117" s="55"/>
      <c r="CC117" s="55"/>
      <c r="CD117" s="55"/>
      <c r="CE117" s="55"/>
      <c r="CF117" s="55"/>
      <c r="CG117" s="55"/>
      <c r="CH117" s="55"/>
      <c r="CI117" s="55"/>
      <c r="CJ117" s="55"/>
      <c r="CK117" s="55"/>
      <c r="CL117" s="55"/>
      <c r="CM117" s="55"/>
      <c r="CN117" s="55"/>
      <c r="CO117" s="55"/>
      <c r="CP117" s="55"/>
      <c r="CQ117" s="55"/>
      <c r="CR117" s="55"/>
      <c r="CS117" s="55"/>
      <c r="CT117" s="55"/>
      <c r="CU117" s="55"/>
      <c r="CV117" s="55"/>
      <c r="CW117" s="55"/>
      <c r="CX117" s="55"/>
      <c r="CY117" s="55"/>
      <c r="CZ117" s="55"/>
      <c r="DA117" s="55"/>
      <c r="DB117" s="55"/>
      <c r="DC117" s="55"/>
      <c r="DD117" s="55"/>
      <c r="DE117" s="55"/>
      <c r="DF117" s="55"/>
      <c r="DG117" s="55"/>
      <c r="DH117" s="55"/>
      <c r="DI117" s="55"/>
    </row>
    <row r="118" spans="1:113" x14ac:dyDescent="0.25">
      <c r="A118" s="152">
        <v>25</v>
      </c>
      <c r="B118" s="60" t="s">
        <v>299</v>
      </c>
      <c r="C118" s="80">
        <v>12000</v>
      </c>
      <c r="D118" s="142">
        <v>1160.19</v>
      </c>
      <c r="E118" s="43">
        <v>65</v>
      </c>
      <c r="F118" s="60"/>
      <c r="G118" s="139">
        <f t="shared" si="27"/>
        <v>65</v>
      </c>
      <c r="H118" s="55"/>
      <c r="I118" s="56">
        <f t="shared" si="28"/>
        <v>65</v>
      </c>
      <c r="J118" s="56">
        <f t="shared" si="29"/>
        <v>780000</v>
      </c>
      <c r="K118" s="57">
        <f t="shared" si="30"/>
        <v>75412.350000000006</v>
      </c>
      <c r="L118"/>
      <c r="M118" s="314">
        <f t="shared" si="26"/>
        <v>0</v>
      </c>
      <c r="N118" s="310"/>
      <c r="O118" s="315"/>
      <c r="P118" s="315"/>
      <c r="Q118" s="315"/>
      <c r="R118" s="315"/>
      <c r="S118" s="55"/>
      <c r="T118" s="55"/>
      <c r="U118" s="55"/>
      <c r="V118" s="55"/>
      <c r="W118" s="55"/>
      <c r="X118" s="55"/>
      <c r="Y118" s="55"/>
      <c r="Z118" s="55"/>
      <c r="AA118" s="55"/>
      <c r="AB118" s="55"/>
      <c r="AC118" s="55"/>
      <c r="AD118" s="55"/>
      <c r="AE118" s="55"/>
      <c r="AF118" s="55"/>
      <c r="AG118" s="55"/>
      <c r="AH118" s="55"/>
      <c r="AI118" s="55"/>
      <c r="AJ118" s="55"/>
      <c r="AK118" s="55"/>
      <c r="AL118" s="55"/>
      <c r="AM118" s="55"/>
      <c r="AN118" s="55"/>
      <c r="AO118" s="55"/>
      <c r="AP118" s="55"/>
      <c r="AQ118" s="55"/>
      <c r="AR118" s="55"/>
      <c r="AS118" s="55"/>
      <c r="AT118" s="55"/>
      <c r="AU118" s="55"/>
      <c r="AV118" s="55"/>
      <c r="AW118" s="55"/>
      <c r="AX118" s="55"/>
      <c r="AY118" s="55"/>
      <c r="AZ118" s="55"/>
      <c r="BA118" s="55"/>
      <c r="BB118" s="55"/>
      <c r="BC118" s="55"/>
      <c r="BD118" s="55"/>
      <c r="BE118" s="55"/>
      <c r="BF118" s="55"/>
      <c r="BG118" s="55"/>
      <c r="BH118" s="55"/>
      <c r="BI118" s="55"/>
      <c r="BJ118" s="55"/>
      <c r="BK118" s="55"/>
      <c r="BL118" s="55"/>
      <c r="BM118" s="55"/>
      <c r="BN118" s="55"/>
      <c r="BO118" s="55"/>
      <c r="BP118" s="55"/>
      <c r="BQ118" s="55"/>
      <c r="BR118" s="55"/>
      <c r="BS118" s="55"/>
      <c r="BT118" s="55"/>
      <c r="BU118" s="55"/>
      <c r="BV118" s="55"/>
      <c r="BW118" s="55"/>
      <c r="BX118" s="55"/>
      <c r="BY118" s="55"/>
      <c r="BZ118" s="55"/>
      <c r="CA118" s="55"/>
      <c r="CB118" s="55"/>
      <c r="CC118" s="55"/>
      <c r="CD118" s="55"/>
      <c r="CE118" s="55"/>
      <c r="CF118" s="55"/>
      <c r="CG118" s="55"/>
      <c r="CH118" s="55"/>
      <c r="CI118" s="55"/>
      <c r="CJ118" s="55"/>
      <c r="CK118" s="55"/>
      <c r="CL118" s="55"/>
      <c r="CM118" s="55"/>
      <c r="CN118" s="55"/>
      <c r="CO118" s="55"/>
      <c r="CP118" s="55"/>
      <c r="CQ118" s="55"/>
      <c r="CR118" s="55"/>
      <c r="CS118" s="55"/>
      <c r="CT118" s="55"/>
      <c r="CU118" s="55"/>
      <c r="CV118" s="55"/>
      <c r="CW118" s="55"/>
      <c r="CX118" s="55"/>
      <c r="CY118" s="55"/>
      <c r="CZ118" s="55"/>
      <c r="DA118" s="55"/>
      <c r="DB118" s="55"/>
      <c r="DC118" s="55"/>
      <c r="DD118" s="55"/>
      <c r="DE118" s="55"/>
      <c r="DF118" s="55"/>
      <c r="DG118" s="55"/>
      <c r="DH118" s="55"/>
      <c r="DI118" s="55"/>
    </row>
    <row r="119" spans="1:113" x14ac:dyDescent="0.25">
      <c r="A119" s="152">
        <v>26</v>
      </c>
      <c r="B119" s="60" t="s">
        <v>300</v>
      </c>
      <c r="C119" s="80">
        <v>6500</v>
      </c>
      <c r="D119" s="142">
        <v>1160.19</v>
      </c>
      <c r="E119" s="43">
        <v>105</v>
      </c>
      <c r="F119" s="60"/>
      <c r="G119" s="139">
        <f t="shared" si="27"/>
        <v>105</v>
      </c>
      <c r="H119" s="55"/>
      <c r="I119" s="56">
        <f t="shared" si="28"/>
        <v>105</v>
      </c>
      <c r="J119" s="56">
        <f t="shared" si="29"/>
        <v>682500</v>
      </c>
      <c r="K119" s="57">
        <f t="shared" si="30"/>
        <v>121819.95000000001</v>
      </c>
      <c r="L119"/>
      <c r="M119" s="314">
        <f t="shared" si="26"/>
        <v>0</v>
      </c>
      <c r="N119" s="310"/>
      <c r="O119" s="315"/>
      <c r="P119" s="315"/>
      <c r="Q119" s="315"/>
      <c r="R119" s="315"/>
      <c r="S119" s="55"/>
      <c r="T119" s="55"/>
      <c r="U119" s="55"/>
      <c r="V119" s="55"/>
      <c r="W119" s="55"/>
      <c r="X119" s="55"/>
      <c r="Y119" s="55"/>
      <c r="Z119" s="55"/>
      <c r="AA119" s="55"/>
      <c r="AB119" s="55"/>
      <c r="AC119" s="55"/>
      <c r="AD119" s="55"/>
      <c r="AE119" s="55"/>
      <c r="AF119" s="55"/>
      <c r="AG119" s="55"/>
      <c r="AH119" s="55"/>
      <c r="AI119" s="55"/>
      <c r="AJ119" s="55"/>
      <c r="AK119" s="55"/>
      <c r="AL119" s="55"/>
      <c r="AM119" s="55"/>
      <c r="AN119" s="55"/>
      <c r="AO119" s="55"/>
      <c r="AP119" s="55"/>
      <c r="AQ119" s="55"/>
      <c r="AR119" s="55"/>
      <c r="AS119" s="55"/>
      <c r="AT119" s="55"/>
      <c r="AU119" s="55"/>
      <c r="AV119" s="55"/>
      <c r="AW119" s="55"/>
      <c r="AX119" s="55"/>
      <c r="AY119" s="55"/>
      <c r="AZ119" s="55"/>
      <c r="BA119" s="55"/>
      <c r="BB119" s="55"/>
      <c r="BC119" s="55"/>
      <c r="BD119" s="55"/>
      <c r="BE119" s="55"/>
      <c r="BF119" s="55"/>
      <c r="BG119" s="55"/>
      <c r="BH119" s="55"/>
      <c r="BI119" s="55"/>
      <c r="BJ119" s="55"/>
      <c r="BK119" s="55"/>
      <c r="BL119" s="55"/>
      <c r="BM119" s="55"/>
      <c r="BN119" s="55"/>
      <c r="BO119" s="55"/>
      <c r="BP119" s="55"/>
      <c r="BQ119" s="55"/>
      <c r="BR119" s="55"/>
      <c r="BS119" s="55"/>
      <c r="BT119" s="55"/>
      <c r="BU119" s="55"/>
      <c r="BV119" s="55"/>
      <c r="BW119" s="55"/>
      <c r="BX119" s="55"/>
      <c r="BY119" s="55"/>
      <c r="BZ119" s="55"/>
      <c r="CA119" s="55"/>
      <c r="CB119" s="55"/>
      <c r="CC119" s="55"/>
      <c r="CD119" s="55"/>
      <c r="CE119" s="55"/>
      <c r="CF119" s="55"/>
      <c r="CG119" s="55"/>
      <c r="CH119" s="55"/>
      <c r="CI119" s="55"/>
      <c r="CJ119" s="55"/>
      <c r="CK119" s="55"/>
      <c r="CL119" s="55"/>
      <c r="CM119" s="55"/>
      <c r="CN119" s="55"/>
      <c r="CO119" s="55"/>
      <c r="CP119" s="55"/>
      <c r="CQ119" s="55"/>
      <c r="CR119" s="55"/>
      <c r="CS119" s="55"/>
      <c r="CT119" s="55"/>
      <c r="CU119" s="55"/>
      <c r="CV119" s="55"/>
      <c r="CW119" s="55"/>
      <c r="CX119" s="55"/>
      <c r="CY119" s="55"/>
      <c r="CZ119" s="55"/>
      <c r="DA119" s="55"/>
      <c r="DB119" s="55"/>
      <c r="DC119" s="55"/>
      <c r="DD119" s="55"/>
      <c r="DE119" s="55"/>
      <c r="DF119" s="55"/>
      <c r="DG119" s="55"/>
      <c r="DH119" s="55"/>
      <c r="DI119" s="55"/>
    </row>
    <row r="120" spans="1:113" ht="15.75" thickBot="1" x14ac:dyDescent="0.3">
      <c r="A120" s="153">
        <v>27</v>
      </c>
      <c r="B120" s="156" t="s">
        <v>301</v>
      </c>
      <c r="C120" s="82">
        <v>15000</v>
      </c>
      <c r="D120" s="145">
        <f>+D119+7000</f>
        <v>8160.1900000000005</v>
      </c>
      <c r="E120" s="154">
        <v>108</v>
      </c>
      <c r="F120" s="156"/>
      <c r="G120" s="147">
        <f t="shared" si="27"/>
        <v>108</v>
      </c>
      <c r="H120" s="58"/>
      <c r="I120" s="64">
        <f t="shared" si="28"/>
        <v>108</v>
      </c>
      <c r="J120" s="64">
        <f t="shared" si="29"/>
        <v>1620000</v>
      </c>
      <c r="K120" s="65">
        <f t="shared" si="30"/>
        <v>881300.52</v>
      </c>
      <c r="L120"/>
      <c r="M120" s="314">
        <f t="shared" si="26"/>
        <v>0</v>
      </c>
      <c r="N120" s="310"/>
      <c r="O120" s="315"/>
      <c r="P120" s="315"/>
      <c r="Q120" s="315"/>
      <c r="R120" s="315"/>
      <c r="S120" s="55"/>
      <c r="T120" s="55"/>
      <c r="U120" s="55"/>
      <c r="V120" s="55"/>
      <c r="W120" s="55"/>
      <c r="X120" s="55"/>
      <c r="Y120" s="55"/>
      <c r="Z120" s="55"/>
      <c r="AA120" s="55"/>
      <c r="AB120" s="55"/>
      <c r="AC120" s="55"/>
      <c r="AD120" s="55"/>
      <c r="AE120" s="55"/>
      <c r="AF120" s="55"/>
      <c r="AG120" s="55"/>
      <c r="AH120" s="55"/>
      <c r="AI120" s="55"/>
      <c r="AJ120" s="55"/>
      <c r="AK120" s="55"/>
      <c r="AL120" s="55"/>
      <c r="AM120" s="55"/>
      <c r="AN120" s="55"/>
      <c r="AO120" s="55"/>
      <c r="AP120" s="55"/>
      <c r="AQ120" s="55"/>
      <c r="AR120" s="55"/>
      <c r="AS120" s="55"/>
      <c r="AT120" s="55"/>
      <c r="AU120" s="55"/>
      <c r="AV120" s="55"/>
      <c r="AW120" s="55"/>
      <c r="AX120" s="55"/>
      <c r="AY120" s="55"/>
      <c r="AZ120" s="55"/>
      <c r="BA120" s="55"/>
      <c r="BB120" s="55"/>
      <c r="BC120" s="55"/>
      <c r="BD120" s="55"/>
      <c r="BE120" s="55"/>
      <c r="BF120" s="55"/>
      <c r="BG120" s="55"/>
      <c r="BH120" s="55"/>
      <c r="BI120" s="55"/>
      <c r="BJ120" s="55"/>
      <c r="BK120" s="55"/>
      <c r="BL120" s="55"/>
      <c r="BM120" s="55"/>
      <c r="BN120" s="55"/>
      <c r="BO120" s="55"/>
      <c r="BP120" s="55"/>
      <c r="BQ120" s="55"/>
      <c r="BR120" s="55"/>
      <c r="BS120" s="55"/>
      <c r="BT120" s="55"/>
      <c r="BU120" s="55"/>
      <c r="BV120" s="55"/>
      <c r="BW120" s="55"/>
      <c r="BX120" s="55"/>
      <c r="BY120" s="55"/>
      <c r="BZ120" s="55"/>
      <c r="CA120" s="55"/>
      <c r="CB120" s="55"/>
      <c r="CC120" s="55"/>
      <c r="CD120" s="55"/>
      <c r="CE120" s="55"/>
      <c r="CF120" s="55"/>
      <c r="CG120" s="55"/>
      <c r="CH120" s="55"/>
      <c r="CI120" s="55"/>
      <c r="CJ120" s="55"/>
      <c r="CK120" s="55"/>
      <c r="CL120" s="55"/>
      <c r="CM120" s="55"/>
      <c r="CN120" s="55"/>
      <c r="CO120" s="55"/>
      <c r="CP120" s="55"/>
      <c r="CQ120" s="55"/>
      <c r="CR120" s="55"/>
      <c r="CS120" s="55"/>
      <c r="CT120" s="55"/>
      <c r="CU120" s="55"/>
      <c r="CV120" s="55"/>
      <c r="CW120" s="55"/>
      <c r="CX120" s="55"/>
      <c r="CY120" s="55"/>
      <c r="CZ120" s="55"/>
      <c r="DA120" s="55"/>
      <c r="DB120" s="55"/>
      <c r="DC120" s="55"/>
      <c r="DD120" s="55"/>
      <c r="DE120" s="55"/>
      <c r="DF120" s="55"/>
      <c r="DG120" s="55"/>
      <c r="DH120" s="55"/>
      <c r="DI120" s="55"/>
    </row>
    <row r="121" spans="1:113" ht="15.75" thickBot="1" x14ac:dyDescent="0.3">
      <c r="A121" s="128"/>
      <c r="B121" s="119" t="s">
        <v>666</v>
      </c>
      <c r="C121" s="36"/>
      <c r="D121" s="29"/>
      <c r="E121" s="29">
        <f>SUM(E94:E120)</f>
        <v>12670</v>
      </c>
      <c r="F121" s="29">
        <f>SUM(F94:F120)</f>
        <v>0</v>
      </c>
      <c r="G121" s="29">
        <f>SUM(G94:G120)</f>
        <v>12670</v>
      </c>
      <c r="H121" s="29">
        <f>SUM(H94:H120)</f>
        <v>0</v>
      </c>
      <c r="I121" s="29">
        <f>SUM(I94:I120)</f>
        <v>12670</v>
      </c>
      <c r="J121" s="29">
        <f t="shared" ref="J121:K121" si="31">SUM(J94:J120)</f>
        <v>104010000</v>
      </c>
      <c r="K121" s="47">
        <f t="shared" si="31"/>
        <v>38610216.95000001</v>
      </c>
      <c r="L121"/>
      <c r="M121" s="326">
        <f t="shared" si="26"/>
        <v>0</v>
      </c>
      <c r="N121" s="325"/>
      <c r="O121" s="325"/>
      <c r="P121" s="325"/>
      <c r="Q121" s="325"/>
      <c r="R121" s="325"/>
      <c r="S121" s="324"/>
      <c r="T121" s="324"/>
      <c r="U121" s="324"/>
      <c r="V121" s="324"/>
      <c r="W121" s="324"/>
      <c r="X121" s="324"/>
      <c r="Y121" s="324"/>
      <c r="Z121" s="324"/>
      <c r="AA121" s="324"/>
      <c r="AB121" s="324"/>
      <c r="AC121" s="324"/>
      <c r="AD121" s="324"/>
      <c r="AE121" s="324"/>
      <c r="AF121" s="324"/>
      <c r="AG121" s="324"/>
      <c r="AH121" s="324"/>
      <c r="AI121" s="324"/>
      <c r="AJ121" s="324"/>
      <c r="AK121" s="324"/>
      <c r="AL121" s="324"/>
      <c r="AM121" s="324"/>
      <c r="AN121" s="324"/>
      <c r="AO121" s="324"/>
      <c r="AP121" s="324"/>
      <c r="AQ121" s="324"/>
      <c r="AR121" s="324"/>
      <c r="AS121" s="324"/>
      <c r="AT121" s="324"/>
      <c r="AU121" s="324"/>
      <c r="AV121" s="324"/>
      <c r="AW121" s="324"/>
      <c r="AX121" s="324"/>
      <c r="AY121" s="324"/>
      <c r="AZ121" s="324"/>
      <c r="BA121" s="324"/>
      <c r="BB121" s="324"/>
      <c r="BC121" s="324"/>
      <c r="BD121" s="324"/>
      <c r="BE121" s="324"/>
      <c r="BF121" s="324"/>
      <c r="BG121" s="324"/>
      <c r="BH121" s="324"/>
      <c r="BI121" s="324"/>
      <c r="BJ121" s="324"/>
      <c r="BK121" s="324"/>
      <c r="BL121" s="324"/>
      <c r="BM121" s="324"/>
      <c r="BN121" s="324"/>
      <c r="BO121" s="324"/>
      <c r="BP121" s="324"/>
      <c r="BQ121" s="324"/>
      <c r="BR121" s="324"/>
      <c r="BS121" s="324"/>
      <c r="BT121" s="324"/>
      <c r="BU121" s="324"/>
      <c r="BV121" s="324"/>
      <c r="BW121" s="324"/>
      <c r="BX121" s="324"/>
      <c r="BY121" s="324"/>
      <c r="BZ121" s="324"/>
      <c r="CA121" s="324"/>
      <c r="CB121" s="324"/>
      <c r="CC121" s="324"/>
      <c r="CD121" s="324"/>
      <c r="CE121" s="324"/>
      <c r="CF121" s="324"/>
      <c r="CG121" s="324"/>
      <c r="CH121" s="324"/>
      <c r="CI121" s="324"/>
      <c r="CJ121" s="324"/>
      <c r="CK121" s="324"/>
      <c r="CL121" s="324"/>
      <c r="CM121" s="324"/>
      <c r="CN121" s="324"/>
      <c r="CO121" s="324"/>
      <c r="CP121" s="324"/>
      <c r="CQ121" s="324"/>
      <c r="CR121" s="324"/>
      <c r="CS121" s="324"/>
      <c r="CT121" s="324"/>
      <c r="CU121" s="324"/>
      <c r="CV121" s="324"/>
      <c r="CW121" s="324"/>
      <c r="CX121" s="324"/>
      <c r="CY121" s="324"/>
      <c r="CZ121" s="324"/>
      <c r="DA121" s="324"/>
      <c r="DB121" s="324"/>
      <c r="DC121" s="324"/>
      <c r="DD121" s="324"/>
      <c r="DE121" s="324"/>
      <c r="DF121" s="324"/>
      <c r="DG121" s="324"/>
      <c r="DH121" s="324"/>
      <c r="DI121" s="324"/>
    </row>
    <row r="122" spans="1:113" ht="15.75" thickBot="1" x14ac:dyDescent="0.3">
      <c r="B122" s="161"/>
      <c r="C122" s="162"/>
      <c r="D122" s="163"/>
      <c r="E122" s="164"/>
      <c r="F122" s="67"/>
      <c r="G122" s="164"/>
      <c r="H122" s="164"/>
      <c r="I122" s="164"/>
      <c r="J122" s="164"/>
      <c r="K122" s="163"/>
      <c r="L122"/>
      <c r="M122"/>
      <c r="N122"/>
      <c r="O122"/>
      <c r="P122"/>
      <c r="Q122"/>
      <c r="R122"/>
      <c r="S122"/>
      <c r="T122"/>
      <c r="U122"/>
      <c r="V122"/>
    </row>
    <row r="123" spans="1:113" ht="15.75" thickBot="1" x14ac:dyDescent="0.3">
      <c r="A123" s="407" t="s">
        <v>657</v>
      </c>
      <c r="B123" s="414" t="s">
        <v>708</v>
      </c>
      <c r="C123" s="414" t="s">
        <v>1</v>
      </c>
      <c r="D123" s="415" t="s">
        <v>649</v>
      </c>
      <c r="E123" s="416" t="s">
        <v>19</v>
      </c>
      <c r="F123" s="416"/>
      <c r="G123" s="416"/>
      <c r="H123" s="416"/>
      <c r="I123" s="416"/>
      <c r="J123" s="410" t="s">
        <v>21</v>
      </c>
      <c r="K123" s="417" t="s">
        <v>602</v>
      </c>
      <c r="L123"/>
      <c r="M123" s="403" t="s">
        <v>601</v>
      </c>
      <c r="N123" s="403" t="s">
        <v>924</v>
      </c>
      <c r="O123" s="403"/>
      <c r="P123" s="403"/>
      <c r="Q123" s="403"/>
      <c r="R123" s="403"/>
      <c r="S123" s="403"/>
      <c r="T123" s="403"/>
      <c r="U123" s="403"/>
      <c r="V123" s="403"/>
      <c r="W123" s="403"/>
      <c r="X123" s="403"/>
      <c r="Y123" s="403"/>
      <c r="Z123" s="403"/>
      <c r="AA123" s="403"/>
      <c r="AB123" s="403"/>
      <c r="AC123" s="403"/>
      <c r="AD123" s="403"/>
      <c r="AE123" s="403"/>
      <c r="AF123" s="403"/>
      <c r="AG123" s="403"/>
      <c r="AH123" s="403"/>
      <c r="AI123" s="403"/>
      <c r="AJ123" s="403"/>
      <c r="AK123" s="403"/>
      <c r="AL123" s="403"/>
      <c r="AM123" s="403"/>
      <c r="AN123" s="403"/>
      <c r="AO123" s="403"/>
      <c r="AP123" s="403"/>
      <c r="AQ123" s="403"/>
      <c r="AR123" s="403"/>
      <c r="AS123" s="403"/>
      <c r="AT123" s="403"/>
      <c r="AU123" s="403"/>
      <c r="AV123" s="403"/>
      <c r="AW123" s="403"/>
      <c r="AX123" s="403"/>
      <c r="AY123" s="403"/>
      <c r="AZ123" s="403"/>
      <c r="BA123" s="403"/>
      <c r="BB123" s="403"/>
      <c r="BC123" s="403"/>
      <c r="BD123" s="403"/>
      <c r="BE123" s="403"/>
      <c r="BF123" s="403"/>
      <c r="BG123" s="403"/>
      <c r="BH123" s="403"/>
      <c r="BI123" s="403"/>
      <c r="BJ123" s="403"/>
      <c r="BK123" s="403"/>
      <c r="BL123" s="403"/>
      <c r="BM123" s="403"/>
      <c r="BN123" s="403"/>
      <c r="BO123" s="403"/>
      <c r="BP123" s="403"/>
      <c r="BQ123" s="403"/>
      <c r="BR123" s="403"/>
      <c r="BS123" s="403"/>
      <c r="BT123" s="403"/>
      <c r="BU123" s="403"/>
      <c r="BV123" s="403"/>
      <c r="BW123" s="403"/>
      <c r="BX123" s="403"/>
      <c r="BY123" s="403"/>
      <c r="BZ123" s="403"/>
      <c r="CA123" s="403"/>
      <c r="CB123" s="403"/>
      <c r="CC123" s="403"/>
      <c r="CD123" s="403"/>
      <c r="CE123" s="403"/>
      <c r="CF123" s="403"/>
      <c r="CG123" s="403"/>
      <c r="CH123" s="403"/>
      <c r="CI123" s="403"/>
      <c r="CJ123" s="403"/>
      <c r="CK123" s="403"/>
      <c r="CL123" s="403"/>
      <c r="CM123" s="403"/>
      <c r="CN123" s="403"/>
      <c r="CO123" s="403"/>
      <c r="CP123" s="403"/>
      <c r="CQ123" s="403"/>
      <c r="CR123" s="403"/>
      <c r="CS123" s="403"/>
      <c r="CT123" s="403"/>
      <c r="CU123" s="403"/>
      <c r="CV123" s="403"/>
      <c r="CW123" s="403"/>
      <c r="CX123" s="403"/>
      <c r="CY123" s="403"/>
      <c r="CZ123" s="403"/>
      <c r="DA123" s="403"/>
      <c r="DB123" s="403"/>
      <c r="DC123" s="403"/>
      <c r="DD123" s="403"/>
      <c r="DE123" s="403"/>
      <c r="DF123" s="403"/>
      <c r="DG123" s="403"/>
      <c r="DH123" s="403"/>
      <c r="DI123" s="403"/>
    </row>
    <row r="124" spans="1:113" ht="30.75" thickBot="1" x14ac:dyDescent="0.3">
      <c r="A124" s="408"/>
      <c r="B124" s="414"/>
      <c r="C124" s="414"/>
      <c r="D124" s="415"/>
      <c r="E124" s="68" t="s">
        <v>22</v>
      </c>
      <c r="F124" s="68" t="s">
        <v>600</v>
      </c>
      <c r="G124" s="68" t="s">
        <v>601</v>
      </c>
      <c r="H124" s="68" t="s">
        <v>589</v>
      </c>
      <c r="I124" s="68" t="s">
        <v>601</v>
      </c>
      <c r="J124" s="411"/>
      <c r="K124" s="418"/>
      <c r="L124"/>
      <c r="M124" s="403"/>
      <c r="N124" s="400" t="s">
        <v>925</v>
      </c>
      <c r="O124" s="400" t="s">
        <v>926</v>
      </c>
      <c r="P124" s="400"/>
      <c r="Q124" s="400"/>
      <c r="R124" s="400"/>
      <c r="S124" s="398"/>
      <c r="T124" s="398"/>
      <c r="U124" s="398"/>
      <c r="V124" s="398"/>
      <c r="W124" s="398"/>
      <c r="X124" s="398"/>
      <c r="Y124" s="398"/>
      <c r="Z124" s="398"/>
      <c r="AA124" s="398"/>
      <c r="AB124" s="398"/>
      <c r="AC124" s="398"/>
      <c r="AD124" s="398"/>
      <c r="AE124" s="398"/>
      <c r="AF124" s="398"/>
      <c r="AG124" s="398"/>
      <c r="AH124" s="398"/>
      <c r="AI124" s="398"/>
      <c r="AJ124" s="398"/>
      <c r="AK124" s="398"/>
      <c r="AL124" s="398"/>
      <c r="AM124" s="398"/>
      <c r="AN124" s="398"/>
      <c r="AO124" s="398"/>
      <c r="AP124" s="398"/>
      <c r="AQ124" s="398"/>
      <c r="AR124" s="398"/>
      <c r="AS124" s="398"/>
      <c r="AT124" s="398"/>
      <c r="AU124" s="398"/>
      <c r="AV124" s="398"/>
      <c r="AW124" s="398"/>
      <c r="AX124" s="398"/>
      <c r="AY124" s="398"/>
      <c r="AZ124" s="398"/>
      <c r="BA124" s="398"/>
      <c r="BB124" s="398"/>
      <c r="BC124" s="398"/>
      <c r="BD124" s="398"/>
      <c r="BE124" s="398"/>
      <c r="BF124" s="398"/>
      <c r="BG124" s="398"/>
      <c r="BH124" s="398"/>
      <c r="BI124" s="398"/>
      <c r="BJ124" s="398"/>
      <c r="BK124" s="398"/>
      <c r="BL124" s="398"/>
      <c r="BM124" s="398"/>
      <c r="BN124" s="398"/>
      <c r="BO124" s="398"/>
      <c r="BP124" s="398"/>
      <c r="BQ124" s="398"/>
      <c r="BR124" s="398"/>
      <c r="BS124" s="398"/>
      <c r="BT124" s="398"/>
      <c r="BU124" s="398"/>
      <c r="BV124" s="398"/>
      <c r="BW124" s="398"/>
      <c r="BX124" s="398"/>
      <c r="BY124" s="398"/>
      <c r="BZ124" s="398"/>
      <c r="CA124" s="398"/>
      <c r="CB124" s="398"/>
      <c r="CC124" s="398"/>
      <c r="CD124" s="398"/>
      <c r="CE124" s="398"/>
      <c r="CF124" s="398"/>
      <c r="CG124" s="398"/>
      <c r="CH124" s="398"/>
      <c r="CI124" s="398"/>
      <c r="CJ124" s="398"/>
      <c r="CK124" s="398"/>
      <c r="CL124" s="398"/>
      <c r="CM124" s="398"/>
      <c r="CN124" s="398"/>
      <c r="CO124" s="398"/>
      <c r="CP124" s="398"/>
      <c r="CQ124" s="398"/>
      <c r="CR124" s="398"/>
      <c r="CS124" s="398"/>
      <c r="CT124" s="398"/>
      <c r="CU124" s="398"/>
      <c r="CV124" s="398"/>
      <c r="CW124" s="398"/>
      <c r="CX124" s="398"/>
      <c r="CY124" s="398"/>
      <c r="CZ124" s="398"/>
      <c r="DA124" s="398"/>
      <c r="DB124" s="398"/>
      <c r="DC124" s="398"/>
      <c r="DD124" s="398"/>
      <c r="DE124" s="398"/>
      <c r="DF124" s="398"/>
      <c r="DG124" s="398"/>
      <c r="DH124" s="398"/>
      <c r="DI124" s="398"/>
    </row>
    <row r="125" spans="1:113" ht="15.75" thickBot="1" x14ac:dyDescent="0.3">
      <c r="A125" s="409"/>
      <c r="B125" s="185">
        <v>1</v>
      </c>
      <c r="C125" s="185">
        <v>2</v>
      </c>
      <c r="D125" s="185">
        <v>3</v>
      </c>
      <c r="E125" s="70">
        <v>4</v>
      </c>
      <c r="F125" s="70">
        <f>+E125+1</f>
        <v>5</v>
      </c>
      <c r="G125" s="70" t="s">
        <v>652</v>
      </c>
      <c r="H125" s="70">
        <v>7</v>
      </c>
      <c r="I125" s="71" t="s">
        <v>651</v>
      </c>
      <c r="J125" s="42" t="s">
        <v>650</v>
      </c>
      <c r="K125" s="42" t="s">
        <v>653</v>
      </c>
      <c r="L125"/>
      <c r="M125" s="403"/>
      <c r="N125" s="402"/>
      <c r="O125" s="402"/>
      <c r="P125" s="402"/>
      <c r="Q125" s="402"/>
      <c r="R125" s="402"/>
      <c r="S125" s="399"/>
      <c r="T125" s="399"/>
      <c r="U125" s="399"/>
      <c r="V125" s="399"/>
      <c r="W125" s="399"/>
      <c r="X125" s="399"/>
      <c r="Y125" s="399"/>
      <c r="Z125" s="399"/>
      <c r="AA125" s="399"/>
      <c r="AB125" s="399"/>
      <c r="AC125" s="399"/>
      <c r="AD125" s="399"/>
      <c r="AE125" s="399"/>
      <c r="AF125" s="399"/>
      <c r="AG125" s="399"/>
      <c r="AH125" s="399"/>
      <c r="AI125" s="399"/>
      <c r="AJ125" s="399"/>
      <c r="AK125" s="399"/>
      <c r="AL125" s="399"/>
      <c r="AM125" s="399"/>
      <c r="AN125" s="399"/>
      <c r="AO125" s="399"/>
      <c r="AP125" s="399"/>
      <c r="AQ125" s="399"/>
      <c r="AR125" s="399"/>
      <c r="AS125" s="399"/>
      <c r="AT125" s="399"/>
      <c r="AU125" s="399"/>
      <c r="AV125" s="399"/>
      <c r="AW125" s="399"/>
      <c r="AX125" s="399"/>
      <c r="AY125" s="399"/>
      <c r="AZ125" s="399"/>
      <c r="BA125" s="399"/>
      <c r="BB125" s="399"/>
      <c r="BC125" s="399"/>
      <c r="BD125" s="399"/>
      <c r="BE125" s="399"/>
      <c r="BF125" s="399"/>
      <c r="BG125" s="399"/>
      <c r="BH125" s="399"/>
      <c r="BI125" s="399"/>
      <c r="BJ125" s="399"/>
      <c r="BK125" s="399"/>
      <c r="BL125" s="399"/>
      <c r="BM125" s="399"/>
      <c r="BN125" s="399"/>
      <c r="BO125" s="399"/>
      <c r="BP125" s="399"/>
      <c r="BQ125" s="399"/>
      <c r="BR125" s="399"/>
      <c r="BS125" s="399"/>
      <c r="BT125" s="399"/>
      <c r="BU125" s="399"/>
      <c r="BV125" s="399"/>
      <c r="BW125" s="399"/>
      <c r="BX125" s="399"/>
      <c r="BY125" s="399"/>
      <c r="BZ125" s="399"/>
      <c r="CA125" s="399"/>
      <c r="CB125" s="399"/>
      <c r="CC125" s="399"/>
      <c r="CD125" s="399"/>
      <c r="CE125" s="399"/>
      <c r="CF125" s="399"/>
      <c r="CG125" s="399"/>
      <c r="CH125" s="399"/>
      <c r="CI125" s="399"/>
      <c r="CJ125" s="399"/>
      <c r="CK125" s="399"/>
      <c r="CL125" s="399"/>
      <c r="CM125" s="399"/>
      <c r="CN125" s="399"/>
      <c r="CO125" s="399"/>
      <c r="CP125" s="399"/>
      <c r="CQ125" s="399"/>
      <c r="CR125" s="399"/>
      <c r="CS125" s="399"/>
      <c r="CT125" s="399"/>
      <c r="CU125" s="399"/>
      <c r="CV125" s="399"/>
      <c r="CW125" s="399"/>
      <c r="CX125" s="399"/>
      <c r="CY125" s="399"/>
      <c r="CZ125" s="399"/>
      <c r="DA125" s="399"/>
      <c r="DB125" s="399"/>
      <c r="DC125" s="399"/>
      <c r="DD125" s="399"/>
      <c r="DE125" s="399"/>
      <c r="DF125" s="399"/>
      <c r="DG125" s="399"/>
      <c r="DH125" s="399"/>
      <c r="DI125" s="399"/>
    </row>
    <row r="126" spans="1:113" x14ac:dyDescent="0.25">
      <c r="A126" s="160"/>
      <c r="B126" s="72" t="s">
        <v>703</v>
      </c>
      <c r="C126" s="54"/>
      <c r="D126" s="54"/>
      <c r="E126" s="54"/>
      <c r="F126" s="54"/>
      <c r="G126" s="54"/>
      <c r="H126" s="54"/>
      <c r="I126" s="54"/>
      <c r="J126" s="54"/>
      <c r="K126" s="54"/>
      <c r="L126"/>
      <c r="M126" s="314">
        <f t="shared" ref="M126:M182" si="32">SUM(N126:DJ126)</f>
        <v>0</v>
      </c>
      <c r="N126" s="310"/>
      <c r="O126" s="315"/>
      <c r="P126" s="315"/>
      <c r="Q126" s="315"/>
      <c r="R126" s="315"/>
      <c r="S126" s="55"/>
      <c r="T126" s="55"/>
      <c r="U126" s="55"/>
      <c r="V126" s="55"/>
      <c r="W126" s="55"/>
      <c r="X126" s="55"/>
      <c r="Y126" s="55"/>
      <c r="Z126" s="55"/>
      <c r="AA126" s="55"/>
      <c r="AB126" s="55"/>
      <c r="AC126" s="55"/>
      <c r="AD126" s="55"/>
      <c r="AE126" s="55"/>
      <c r="AF126" s="55"/>
      <c r="AG126" s="55"/>
      <c r="AH126" s="55"/>
      <c r="AI126" s="55"/>
      <c r="AJ126" s="55"/>
      <c r="AK126" s="55"/>
      <c r="AL126" s="55"/>
      <c r="AM126" s="55"/>
      <c r="AN126" s="55"/>
      <c r="AO126" s="55"/>
      <c r="AP126" s="55"/>
      <c r="AQ126" s="55"/>
      <c r="AR126" s="55"/>
      <c r="AS126" s="55"/>
      <c r="AT126" s="55"/>
      <c r="AU126" s="55"/>
      <c r="AV126" s="55"/>
      <c r="AW126" s="55"/>
      <c r="AX126" s="55"/>
      <c r="AY126" s="55"/>
      <c r="AZ126" s="55"/>
      <c r="BA126" s="55"/>
      <c r="BB126" s="55"/>
      <c r="BC126" s="55"/>
      <c r="BD126" s="55"/>
      <c r="BE126" s="55"/>
      <c r="BF126" s="55"/>
      <c r="BG126" s="55"/>
      <c r="BH126" s="55"/>
      <c r="BI126" s="55"/>
      <c r="BJ126" s="55"/>
      <c r="BK126" s="55"/>
      <c r="BL126" s="55"/>
      <c r="BM126" s="55"/>
      <c r="BN126" s="55"/>
      <c r="BO126" s="55"/>
      <c r="BP126" s="55"/>
      <c r="BQ126" s="55"/>
      <c r="BR126" s="55"/>
      <c r="BS126" s="55"/>
      <c r="BT126" s="55"/>
      <c r="BU126" s="55"/>
      <c r="BV126" s="55"/>
      <c r="BW126" s="55"/>
      <c r="BX126" s="55"/>
      <c r="BY126" s="55"/>
      <c r="BZ126" s="55"/>
      <c r="CA126" s="55"/>
      <c r="CB126" s="55"/>
      <c r="CC126" s="55"/>
      <c r="CD126" s="55"/>
      <c r="CE126" s="55"/>
      <c r="CF126" s="55"/>
      <c r="CG126" s="55"/>
      <c r="CH126" s="55"/>
      <c r="CI126" s="55"/>
      <c r="CJ126" s="55"/>
      <c r="CK126" s="55"/>
      <c r="CL126" s="55"/>
      <c r="CM126" s="55"/>
      <c r="CN126" s="55"/>
      <c r="CO126" s="55"/>
      <c r="CP126" s="55"/>
      <c r="CQ126" s="55"/>
      <c r="CR126" s="55"/>
      <c r="CS126" s="55"/>
      <c r="CT126" s="55"/>
      <c r="CU126" s="55"/>
      <c r="CV126" s="55"/>
      <c r="CW126" s="55"/>
      <c r="CX126" s="55"/>
      <c r="CY126" s="55"/>
      <c r="CZ126" s="55"/>
      <c r="DA126" s="55"/>
      <c r="DB126" s="55"/>
      <c r="DC126" s="55"/>
      <c r="DD126" s="55"/>
      <c r="DE126" s="55"/>
      <c r="DF126" s="55"/>
      <c r="DG126" s="55"/>
      <c r="DH126" s="55"/>
      <c r="DI126" s="55"/>
    </row>
    <row r="127" spans="1:113" x14ac:dyDescent="0.25">
      <c r="A127" s="152">
        <v>1</v>
      </c>
      <c r="B127" s="60" t="s">
        <v>302</v>
      </c>
      <c r="C127" s="80">
        <v>5000</v>
      </c>
      <c r="D127" s="142">
        <v>1151.21</v>
      </c>
      <c r="E127" s="43">
        <v>0</v>
      </c>
      <c r="F127" s="60"/>
      <c r="G127" s="139">
        <f t="shared" ref="G127:G181" si="33">+E127+F127</f>
        <v>0</v>
      </c>
      <c r="H127" s="55">
        <f>22-22</f>
        <v>0</v>
      </c>
      <c r="I127" s="56">
        <f t="shared" ref="I127:I181" si="34">+G127-H127</f>
        <v>0</v>
      </c>
      <c r="J127" s="56">
        <f t="shared" ref="J127:J181" si="35">I127*C127</f>
        <v>0</v>
      </c>
      <c r="K127" s="57">
        <f t="shared" ref="K127:K181" si="36">+D127*I127</f>
        <v>0</v>
      </c>
      <c r="L127"/>
      <c r="M127" s="314">
        <f t="shared" si="32"/>
        <v>0</v>
      </c>
      <c r="N127" s="310"/>
      <c r="O127" s="315"/>
      <c r="P127" s="315"/>
      <c r="Q127" s="315"/>
      <c r="R127" s="315"/>
      <c r="S127" s="55"/>
      <c r="T127" s="55"/>
      <c r="U127" s="55"/>
      <c r="V127" s="55"/>
      <c r="W127" s="55"/>
      <c r="X127" s="55"/>
      <c r="Y127" s="55"/>
      <c r="Z127" s="55"/>
      <c r="AA127" s="55"/>
      <c r="AB127" s="55"/>
      <c r="AC127" s="55"/>
      <c r="AD127" s="55"/>
      <c r="AE127" s="55"/>
      <c r="AF127" s="55"/>
      <c r="AG127" s="55"/>
      <c r="AH127" s="55"/>
      <c r="AI127" s="55"/>
      <c r="AJ127" s="55"/>
      <c r="AK127" s="55"/>
      <c r="AL127" s="55"/>
      <c r="AM127" s="55"/>
      <c r="AN127" s="55"/>
      <c r="AO127" s="55"/>
      <c r="AP127" s="55"/>
      <c r="AQ127" s="55"/>
      <c r="AR127" s="55"/>
      <c r="AS127" s="55"/>
      <c r="AT127" s="55"/>
      <c r="AU127" s="55"/>
      <c r="AV127" s="55"/>
      <c r="AW127" s="55"/>
      <c r="AX127" s="55"/>
      <c r="AY127" s="55"/>
      <c r="AZ127" s="55"/>
      <c r="BA127" s="55"/>
      <c r="BB127" s="55"/>
      <c r="BC127" s="55"/>
      <c r="BD127" s="55"/>
      <c r="BE127" s="55"/>
      <c r="BF127" s="55"/>
      <c r="BG127" s="55"/>
      <c r="BH127" s="55"/>
      <c r="BI127" s="55"/>
      <c r="BJ127" s="55"/>
      <c r="BK127" s="55"/>
      <c r="BL127" s="55"/>
      <c r="BM127" s="55"/>
      <c r="BN127" s="55"/>
      <c r="BO127" s="55"/>
      <c r="BP127" s="55"/>
      <c r="BQ127" s="55"/>
      <c r="BR127" s="55"/>
      <c r="BS127" s="55"/>
      <c r="BT127" s="55"/>
      <c r="BU127" s="55"/>
      <c r="BV127" s="55"/>
      <c r="BW127" s="55"/>
      <c r="BX127" s="55"/>
      <c r="BY127" s="55"/>
      <c r="BZ127" s="55"/>
      <c r="CA127" s="55"/>
      <c r="CB127" s="55"/>
      <c r="CC127" s="55"/>
      <c r="CD127" s="55"/>
      <c r="CE127" s="55"/>
      <c r="CF127" s="55"/>
      <c r="CG127" s="55"/>
      <c r="CH127" s="55"/>
      <c r="CI127" s="55"/>
      <c r="CJ127" s="55"/>
      <c r="CK127" s="55"/>
      <c r="CL127" s="55"/>
      <c r="CM127" s="55"/>
      <c r="CN127" s="55"/>
      <c r="CO127" s="55"/>
      <c r="CP127" s="55"/>
      <c r="CQ127" s="55"/>
      <c r="CR127" s="55"/>
      <c r="CS127" s="55"/>
      <c r="CT127" s="55"/>
      <c r="CU127" s="55"/>
      <c r="CV127" s="55"/>
      <c r="CW127" s="55"/>
      <c r="CX127" s="55"/>
      <c r="CY127" s="55"/>
      <c r="CZ127" s="55"/>
      <c r="DA127" s="55"/>
      <c r="DB127" s="55"/>
      <c r="DC127" s="55"/>
      <c r="DD127" s="55"/>
      <c r="DE127" s="55"/>
      <c r="DF127" s="55"/>
      <c r="DG127" s="55"/>
      <c r="DH127" s="55"/>
      <c r="DI127" s="55"/>
    </row>
    <row r="128" spans="1:113" x14ac:dyDescent="0.25">
      <c r="A128" s="152">
        <v>2</v>
      </c>
      <c r="B128" s="60" t="s">
        <v>303</v>
      </c>
      <c r="C128" s="80">
        <v>5000</v>
      </c>
      <c r="D128" s="142">
        <v>1261.21</v>
      </c>
      <c r="E128" s="43">
        <v>0</v>
      </c>
      <c r="F128" s="60"/>
      <c r="G128" s="139">
        <f t="shared" si="33"/>
        <v>0</v>
      </c>
      <c r="H128" s="55">
        <f>11-11</f>
        <v>0</v>
      </c>
      <c r="I128" s="56">
        <f t="shared" si="34"/>
        <v>0</v>
      </c>
      <c r="J128" s="56">
        <f t="shared" si="35"/>
        <v>0</v>
      </c>
      <c r="K128" s="57">
        <f t="shared" si="36"/>
        <v>0</v>
      </c>
      <c r="L128"/>
      <c r="M128" s="314">
        <f t="shared" si="32"/>
        <v>0</v>
      </c>
      <c r="N128" s="310"/>
      <c r="O128" s="315"/>
      <c r="P128" s="315"/>
      <c r="Q128" s="315"/>
      <c r="R128" s="315"/>
      <c r="S128" s="55"/>
      <c r="T128" s="55"/>
      <c r="U128" s="55"/>
      <c r="V128" s="55"/>
      <c r="W128" s="55"/>
      <c r="X128" s="55"/>
      <c r="Y128" s="55"/>
      <c r="Z128" s="55"/>
      <c r="AA128" s="55"/>
      <c r="AB128" s="55"/>
      <c r="AC128" s="55"/>
      <c r="AD128" s="55"/>
      <c r="AE128" s="55"/>
      <c r="AF128" s="55"/>
      <c r="AG128" s="55"/>
      <c r="AH128" s="55"/>
      <c r="AI128" s="55"/>
      <c r="AJ128" s="55"/>
      <c r="AK128" s="55"/>
      <c r="AL128" s="55"/>
      <c r="AM128" s="55"/>
      <c r="AN128" s="55"/>
      <c r="AO128" s="55"/>
      <c r="AP128" s="55"/>
      <c r="AQ128" s="55"/>
      <c r="AR128" s="55"/>
      <c r="AS128" s="55"/>
      <c r="AT128" s="55"/>
      <c r="AU128" s="55"/>
      <c r="AV128" s="55"/>
      <c r="AW128" s="55"/>
      <c r="AX128" s="55"/>
      <c r="AY128" s="55"/>
      <c r="AZ128" s="55"/>
      <c r="BA128" s="55"/>
      <c r="BB128" s="55"/>
      <c r="BC128" s="55"/>
      <c r="BD128" s="55"/>
      <c r="BE128" s="55"/>
      <c r="BF128" s="55"/>
      <c r="BG128" s="55"/>
      <c r="BH128" s="55"/>
      <c r="BI128" s="55"/>
      <c r="BJ128" s="55"/>
      <c r="BK128" s="55"/>
      <c r="BL128" s="55"/>
      <c r="BM128" s="55"/>
      <c r="BN128" s="55"/>
      <c r="BO128" s="55"/>
      <c r="BP128" s="55"/>
      <c r="BQ128" s="55"/>
      <c r="BR128" s="55"/>
      <c r="BS128" s="55"/>
      <c r="BT128" s="55"/>
      <c r="BU128" s="55"/>
      <c r="BV128" s="55"/>
      <c r="BW128" s="55"/>
      <c r="BX128" s="55"/>
      <c r="BY128" s="55"/>
      <c r="BZ128" s="55"/>
      <c r="CA128" s="55"/>
      <c r="CB128" s="55"/>
      <c r="CC128" s="55"/>
      <c r="CD128" s="55"/>
      <c r="CE128" s="55"/>
      <c r="CF128" s="55"/>
      <c r="CG128" s="55"/>
      <c r="CH128" s="55"/>
      <c r="CI128" s="55"/>
      <c r="CJ128" s="55"/>
      <c r="CK128" s="55"/>
      <c r="CL128" s="55"/>
      <c r="CM128" s="55"/>
      <c r="CN128" s="55"/>
      <c r="CO128" s="55"/>
      <c r="CP128" s="55"/>
      <c r="CQ128" s="55"/>
      <c r="CR128" s="55"/>
      <c r="CS128" s="55"/>
      <c r="CT128" s="55"/>
      <c r="CU128" s="55"/>
      <c r="CV128" s="55"/>
      <c r="CW128" s="55"/>
      <c r="CX128" s="55"/>
      <c r="CY128" s="55"/>
      <c r="CZ128" s="55"/>
      <c r="DA128" s="55"/>
      <c r="DB128" s="55"/>
      <c r="DC128" s="55"/>
      <c r="DD128" s="55"/>
      <c r="DE128" s="55"/>
      <c r="DF128" s="55"/>
      <c r="DG128" s="55"/>
      <c r="DH128" s="55"/>
      <c r="DI128" s="55"/>
    </row>
    <row r="129" spans="1:113" x14ac:dyDescent="0.25">
      <c r="A129" s="152">
        <v>3</v>
      </c>
      <c r="B129" s="60" t="s">
        <v>304</v>
      </c>
      <c r="C129" s="80">
        <v>8000</v>
      </c>
      <c r="D129" s="142">
        <v>1920.45</v>
      </c>
      <c r="E129" s="43">
        <v>157</v>
      </c>
      <c r="F129" s="60"/>
      <c r="G129" s="139">
        <f t="shared" si="33"/>
        <v>157</v>
      </c>
      <c r="H129" s="55"/>
      <c r="I129" s="56">
        <f t="shared" si="34"/>
        <v>157</v>
      </c>
      <c r="J129" s="56">
        <f t="shared" si="35"/>
        <v>1256000</v>
      </c>
      <c r="K129" s="57">
        <f t="shared" si="36"/>
        <v>301510.65000000002</v>
      </c>
      <c r="L129"/>
      <c r="M129" s="314">
        <f t="shared" si="32"/>
        <v>0</v>
      </c>
      <c r="N129" s="310"/>
      <c r="O129" s="315"/>
      <c r="P129" s="315"/>
      <c r="Q129" s="315"/>
      <c r="R129" s="315"/>
      <c r="S129" s="55"/>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c r="AT129" s="55"/>
      <c r="AU129" s="55"/>
      <c r="AV129" s="55"/>
      <c r="AW129" s="55"/>
      <c r="AX129" s="55"/>
      <c r="AY129" s="55"/>
      <c r="AZ129" s="55"/>
      <c r="BA129" s="55"/>
      <c r="BB129" s="55"/>
      <c r="BC129" s="55"/>
      <c r="BD129" s="55"/>
      <c r="BE129" s="55"/>
      <c r="BF129" s="55"/>
      <c r="BG129" s="55"/>
      <c r="BH129" s="55"/>
      <c r="BI129" s="55"/>
      <c r="BJ129" s="55"/>
      <c r="BK129" s="55"/>
      <c r="BL129" s="55"/>
      <c r="BM129" s="55"/>
      <c r="BN129" s="55"/>
      <c r="BO129" s="55"/>
      <c r="BP129" s="55"/>
      <c r="BQ129" s="55"/>
      <c r="BR129" s="55"/>
      <c r="BS129" s="55"/>
      <c r="BT129" s="55"/>
      <c r="BU129" s="55"/>
      <c r="BV129" s="55"/>
      <c r="BW129" s="55"/>
      <c r="BX129" s="55"/>
      <c r="BY129" s="55"/>
      <c r="BZ129" s="55"/>
      <c r="CA129" s="55"/>
      <c r="CB129" s="55"/>
      <c r="CC129" s="55"/>
      <c r="CD129" s="55"/>
      <c r="CE129" s="55"/>
      <c r="CF129" s="55"/>
      <c r="CG129" s="55"/>
      <c r="CH129" s="55"/>
      <c r="CI129" s="55"/>
      <c r="CJ129" s="55"/>
      <c r="CK129" s="55"/>
      <c r="CL129" s="55"/>
      <c r="CM129" s="55"/>
      <c r="CN129" s="55"/>
      <c r="CO129" s="55"/>
      <c r="CP129" s="55"/>
      <c r="CQ129" s="55"/>
      <c r="CR129" s="55"/>
      <c r="CS129" s="55"/>
      <c r="CT129" s="55"/>
      <c r="CU129" s="55"/>
      <c r="CV129" s="55"/>
      <c r="CW129" s="55"/>
      <c r="CX129" s="55"/>
      <c r="CY129" s="55"/>
      <c r="CZ129" s="55"/>
      <c r="DA129" s="55"/>
      <c r="DB129" s="55"/>
      <c r="DC129" s="55"/>
      <c r="DD129" s="55"/>
      <c r="DE129" s="55"/>
      <c r="DF129" s="55"/>
      <c r="DG129" s="55"/>
      <c r="DH129" s="55"/>
      <c r="DI129" s="55"/>
    </row>
    <row r="130" spans="1:113" x14ac:dyDescent="0.25">
      <c r="A130" s="152">
        <v>4</v>
      </c>
      <c r="B130" s="60" t="s">
        <v>305</v>
      </c>
      <c r="C130" s="80">
        <v>7000</v>
      </c>
      <c r="D130" s="142">
        <v>2812.06</v>
      </c>
      <c r="E130" s="43">
        <v>332</v>
      </c>
      <c r="F130" s="60"/>
      <c r="G130" s="139">
        <f t="shared" si="33"/>
        <v>332</v>
      </c>
      <c r="H130" s="55"/>
      <c r="I130" s="56">
        <f t="shared" si="34"/>
        <v>332</v>
      </c>
      <c r="J130" s="56">
        <f t="shared" si="35"/>
        <v>2324000</v>
      </c>
      <c r="K130" s="57">
        <f t="shared" si="36"/>
        <v>933603.91999999993</v>
      </c>
      <c r="L130"/>
      <c r="M130" s="314">
        <f t="shared" si="32"/>
        <v>0</v>
      </c>
      <c r="N130" s="310"/>
      <c r="O130" s="315"/>
      <c r="P130" s="315"/>
      <c r="Q130" s="315"/>
      <c r="R130" s="315"/>
      <c r="S130" s="55"/>
      <c r="T130" s="55"/>
      <c r="U130" s="55"/>
      <c r="V130" s="55"/>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c r="BM130" s="55"/>
      <c r="BN130" s="55"/>
      <c r="BO130" s="55"/>
      <c r="BP130" s="55"/>
      <c r="BQ130" s="55"/>
      <c r="BR130" s="55"/>
      <c r="BS130" s="55"/>
      <c r="BT130" s="55"/>
      <c r="BU130" s="55"/>
      <c r="BV130" s="55"/>
      <c r="BW130" s="55"/>
      <c r="BX130" s="55"/>
      <c r="BY130" s="55"/>
      <c r="BZ130" s="55"/>
      <c r="CA130" s="55"/>
      <c r="CB130" s="55"/>
      <c r="CC130" s="55"/>
      <c r="CD130" s="55"/>
      <c r="CE130" s="55"/>
      <c r="CF130" s="55"/>
      <c r="CG130" s="55"/>
      <c r="CH130" s="55"/>
      <c r="CI130" s="55"/>
      <c r="CJ130" s="55"/>
      <c r="CK130" s="55"/>
      <c r="CL130" s="55"/>
      <c r="CM130" s="55"/>
      <c r="CN130" s="55"/>
      <c r="CO130" s="55"/>
      <c r="CP130" s="55"/>
      <c r="CQ130" s="55"/>
      <c r="CR130" s="55"/>
      <c r="CS130" s="55"/>
      <c r="CT130" s="55"/>
      <c r="CU130" s="55"/>
      <c r="CV130" s="55"/>
      <c r="CW130" s="55"/>
      <c r="CX130" s="55"/>
      <c r="CY130" s="55"/>
      <c r="CZ130" s="55"/>
      <c r="DA130" s="55"/>
      <c r="DB130" s="55"/>
      <c r="DC130" s="55"/>
      <c r="DD130" s="55"/>
      <c r="DE130" s="55"/>
      <c r="DF130" s="55"/>
      <c r="DG130" s="55"/>
      <c r="DH130" s="55"/>
      <c r="DI130" s="55"/>
    </row>
    <row r="131" spans="1:113" x14ac:dyDescent="0.25">
      <c r="A131" s="152">
        <v>5</v>
      </c>
      <c r="B131" s="222" t="s">
        <v>306</v>
      </c>
      <c r="C131" s="80">
        <v>5000</v>
      </c>
      <c r="D131" s="142">
        <v>1151.21</v>
      </c>
      <c r="E131" s="43">
        <v>0</v>
      </c>
      <c r="F131" s="60"/>
      <c r="G131" s="139">
        <f t="shared" si="33"/>
        <v>0</v>
      </c>
      <c r="H131" s="55">
        <f>17-17</f>
        <v>0</v>
      </c>
      <c r="I131" s="56">
        <f t="shared" si="34"/>
        <v>0</v>
      </c>
      <c r="J131" s="56">
        <f t="shared" si="35"/>
        <v>0</v>
      </c>
      <c r="K131" s="57">
        <f t="shared" si="36"/>
        <v>0</v>
      </c>
      <c r="L131"/>
      <c r="M131" s="314">
        <f t="shared" si="32"/>
        <v>0</v>
      </c>
      <c r="N131" s="310"/>
      <c r="O131" s="315"/>
      <c r="P131" s="315"/>
      <c r="Q131" s="315"/>
      <c r="R131" s="315"/>
      <c r="S131" s="55"/>
      <c r="T131" s="55"/>
      <c r="U131" s="55"/>
      <c r="V131" s="55"/>
      <c r="W131" s="55"/>
      <c r="X131" s="55"/>
      <c r="Y131" s="55"/>
      <c r="Z131" s="55"/>
      <c r="AA131" s="55"/>
      <c r="AB131" s="55"/>
      <c r="AC131" s="55"/>
      <c r="AD131" s="55"/>
      <c r="AE131" s="55"/>
      <c r="AF131" s="55"/>
      <c r="AG131" s="55"/>
      <c r="AH131" s="55"/>
      <c r="AI131" s="55"/>
      <c r="AJ131" s="55"/>
      <c r="AK131" s="55"/>
      <c r="AL131" s="55"/>
      <c r="AM131" s="55"/>
      <c r="AN131" s="55"/>
      <c r="AO131" s="55"/>
      <c r="AP131" s="55"/>
      <c r="AQ131" s="55"/>
      <c r="AR131" s="55"/>
      <c r="AS131" s="55"/>
      <c r="AT131" s="55"/>
      <c r="AU131" s="55"/>
      <c r="AV131" s="55"/>
      <c r="AW131" s="55"/>
      <c r="AX131" s="55"/>
      <c r="AY131" s="55"/>
      <c r="AZ131" s="55"/>
      <c r="BA131" s="55"/>
      <c r="BB131" s="55"/>
      <c r="BC131" s="55"/>
      <c r="BD131" s="55"/>
      <c r="BE131" s="55"/>
      <c r="BF131" s="55"/>
      <c r="BG131" s="55"/>
      <c r="BH131" s="55"/>
      <c r="BI131" s="55"/>
      <c r="BJ131" s="55"/>
      <c r="BK131" s="55"/>
      <c r="BL131" s="55"/>
      <c r="BM131" s="55"/>
      <c r="BN131" s="55"/>
      <c r="BO131" s="55"/>
      <c r="BP131" s="55"/>
      <c r="BQ131" s="55"/>
      <c r="BR131" s="55"/>
      <c r="BS131" s="55"/>
      <c r="BT131" s="55"/>
      <c r="BU131" s="55"/>
      <c r="BV131" s="55"/>
      <c r="BW131" s="55"/>
      <c r="BX131" s="55"/>
      <c r="BY131" s="55"/>
      <c r="BZ131" s="55"/>
      <c r="CA131" s="55"/>
      <c r="CB131" s="55"/>
      <c r="CC131" s="55"/>
      <c r="CD131" s="55"/>
      <c r="CE131" s="55"/>
      <c r="CF131" s="55"/>
      <c r="CG131" s="55"/>
      <c r="CH131" s="55"/>
      <c r="CI131" s="55"/>
      <c r="CJ131" s="55"/>
      <c r="CK131" s="55"/>
      <c r="CL131" s="55"/>
      <c r="CM131" s="55"/>
      <c r="CN131" s="55"/>
      <c r="CO131" s="55"/>
      <c r="CP131" s="55"/>
      <c r="CQ131" s="55"/>
      <c r="CR131" s="55"/>
      <c r="CS131" s="55"/>
      <c r="CT131" s="55"/>
      <c r="CU131" s="55"/>
      <c r="CV131" s="55"/>
      <c r="CW131" s="55"/>
      <c r="CX131" s="55"/>
      <c r="CY131" s="55"/>
      <c r="CZ131" s="55"/>
      <c r="DA131" s="55"/>
      <c r="DB131" s="55"/>
      <c r="DC131" s="55"/>
      <c r="DD131" s="55"/>
      <c r="DE131" s="55"/>
      <c r="DF131" s="55"/>
      <c r="DG131" s="55"/>
      <c r="DH131" s="55"/>
      <c r="DI131" s="55"/>
    </row>
    <row r="132" spans="1:113" x14ac:dyDescent="0.25">
      <c r="A132" s="152">
        <v>6</v>
      </c>
      <c r="B132" s="60" t="s">
        <v>307</v>
      </c>
      <c r="C132" s="80">
        <v>12000</v>
      </c>
      <c r="D132" s="142">
        <v>1686.73</v>
      </c>
      <c r="E132" s="43">
        <v>278</v>
      </c>
      <c r="F132" s="60"/>
      <c r="G132" s="139">
        <f t="shared" si="33"/>
        <v>278</v>
      </c>
      <c r="H132" s="55"/>
      <c r="I132" s="56">
        <f t="shared" si="34"/>
        <v>278</v>
      </c>
      <c r="J132" s="56">
        <f t="shared" si="35"/>
        <v>3336000</v>
      </c>
      <c r="K132" s="57">
        <f t="shared" si="36"/>
        <v>468910.94</v>
      </c>
      <c r="L132"/>
      <c r="M132" s="314">
        <f t="shared" si="32"/>
        <v>0</v>
      </c>
      <c r="N132" s="310"/>
      <c r="O132" s="315"/>
      <c r="P132" s="315"/>
      <c r="Q132" s="315"/>
      <c r="R132" s="315"/>
      <c r="S132" s="55"/>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c r="AP132" s="55"/>
      <c r="AQ132" s="55"/>
      <c r="AR132" s="55"/>
      <c r="AS132" s="55"/>
      <c r="AT132" s="55"/>
      <c r="AU132" s="55"/>
      <c r="AV132" s="55"/>
      <c r="AW132" s="55"/>
      <c r="AX132" s="55"/>
      <c r="AY132" s="55"/>
      <c r="AZ132" s="55"/>
      <c r="BA132" s="55"/>
      <c r="BB132" s="55"/>
      <c r="BC132" s="55"/>
      <c r="BD132" s="55"/>
      <c r="BE132" s="55"/>
      <c r="BF132" s="55"/>
      <c r="BG132" s="55"/>
      <c r="BH132" s="55"/>
      <c r="BI132" s="55"/>
      <c r="BJ132" s="55"/>
      <c r="BK132" s="55"/>
      <c r="BL132" s="55"/>
      <c r="BM132" s="55"/>
      <c r="BN132" s="55"/>
      <c r="BO132" s="55"/>
      <c r="BP132" s="55"/>
      <c r="BQ132" s="55"/>
      <c r="BR132" s="55"/>
      <c r="BS132" s="55"/>
      <c r="BT132" s="55"/>
      <c r="BU132" s="55"/>
      <c r="BV132" s="55"/>
      <c r="BW132" s="55"/>
      <c r="BX132" s="55"/>
      <c r="BY132" s="55"/>
      <c r="BZ132" s="55"/>
      <c r="CA132" s="55"/>
      <c r="CB132" s="55"/>
      <c r="CC132" s="55"/>
      <c r="CD132" s="55"/>
      <c r="CE132" s="55"/>
      <c r="CF132" s="55"/>
      <c r="CG132" s="55"/>
      <c r="CH132" s="55"/>
      <c r="CI132" s="55"/>
      <c r="CJ132" s="55"/>
      <c r="CK132" s="55"/>
      <c r="CL132" s="55"/>
      <c r="CM132" s="55"/>
      <c r="CN132" s="55"/>
      <c r="CO132" s="55"/>
      <c r="CP132" s="55"/>
      <c r="CQ132" s="55"/>
      <c r="CR132" s="55"/>
      <c r="CS132" s="55"/>
      <c r="CT132" s="55"/>
      <c r="CU132" s="55"/>
      <c r="CV132" s="55"/>
      <c r="CW132" s="55"/>
      <c r="CX132" s="55"/>
      <c r="CY132" s="55"/>
      <c r="CZ132" s="55"/>
      <c r="DA132" s="55"/>
      <c r="DB132" s="55"/>
      <c r="DC132" s="55"/>
      <c r="DD132" s="55"/>
      <c r="DE132" s="55"/>
      <c r="DF132" s="55"/>
      <c r="DG132" s="55"/>
      <c r="DH132" s="55"/>
      <c r="DI132" s="55"/>
    </row>
    <row r="133" spans="1:113" x14ac:dyDescent="0.25">
      <c r="A133" s="152">
        <v>7</v>
      </c>
      <c r="B133" s="60" t="s">
        <v>308</v>
      </c>
      <c r="C133" s="80">
        <v>5000</v>
      </c>
      <c r="D133" s="142">
        <v>1151.21</v>
      </c>
      <c r="E133" s="43">
        <v>0</v>
      </c>
      <c r="F133" s="60"/>
      <c r="G133" s="139">
        <f t="shared" si="33"/>
        <v>0</v>
      </c>
      <c r="H133" s="55">
        <f>24-24</f>
        <v>0</v>
      </c>
      <c r="I133" s="56">
        <f t="shared" si="34"/>
        <v>0</v>
      </c>
      <c r="J133" s="56">
        <f t="shared" si="35"/>
        <v>0</v>
      </c>
      <c r="K133" s="57">
        <f t="shared" si="36"/>
        <v>0</v>
      </c>
      <c r="L133"/>
      <c r="M133" s="314">
        <f t="shared" si="32"/>
        <v>0</v>
      </c>
      <c r="N133" s="310"/>
      <c r="O133" s="315"/>
      <c r="P133" s="315"/>
      <c r="Q133" s="315"/>
      <c r="R133" s="315"/>
      <c r="S133" s="55"/>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c r="AT133" s="55"/>
      <c r="AU133" s="55"/>
      <c r="AV133" s="55"/>
      <c r="AW133" s="55"/>
      <c r="AX133" s="55"/>
      <c r="AY133" s="55"/>
      <c r="AZ133" s="55"/>
      <c r="BA133" s="55"/>
      <c r="BB133" s="55"/>
      <c r="BC133" s="55"/>
      <c r="BD133" s="55"/>
      <c r="BE133" s="55"/>
      <c r="BF133" s="55"/>
      <c r="BG133" s="55"/>
      <c r="BH133" s="55"/>
      <c r="BI133" s="55"/>
      <c r="BJ133" s="55"/>
      <c r="BK133" s="55"/>
      <c r="BL133" s="55"/>
      <c r="BM133" s="55"/>
      <c r="BN133" s="55"/>
      <c r="BO133" s="55"/>
      <c r="BP133" s="55"/>
      <c r="BQ133" s="55"/>
      <c r="BR133" s="55"/>
      <c r="BS133" s="55"/>
      <c r="BT133" s="55"/>
      <c r="BU133" s="55"/>
      <c r="BV133" s="55"/>
      <c r="BW133" s="55"/>
      <c r="BX133" s="55"/>
      <c r="BY133" s="55"/>
      <c r="BZ133" s="55"/>
      <c r="CA133" s="55"/>
      <c r="CB133" s="55"/>
      <c r="CC133" s="55"/>
      <c r="CD133" s="55"/>
      <c r="CE133" s="55"/>
      <c r="CF133" s="55"/>
      <c r="CG133" s="55"/>
      <c r="CH133" s="55"/>
      <c r="CI133" s="55"/>
      <c r="CJ133" s="55"/>
      <c r="CK133" s="55"/>
      <c r="CL133" s="55"/>
      <c r="CM133" s="55"/>
      <c r="CN133" s="55"/>
      <c r="CO133" s="55"/>
      <c r="CP133" s="55"/>
      <c r="CQ133" s="55"/>
      <c r="CR133" s="55"/>
      <c r="CS133" s="55"/>
      <c r="CT133" s="55"/>
      <c r="CU133" s="55"/>
      <c r="CV133" s="55"/>
      <c r="CW133" s="55"/>
      <c r="CX133" s="55"/>
      <c r="CY133" s="55"/>
      <c r="CZ133" s="55"/>
      <c r="DA133" s="55"/>
      <c r="DB133" s="55"/>
      <c r="DC133" s="55"/>
      <c r="DD133" s="55"/>
      <c r="DE133" s="55"/>
      <c r="DF133" s="55"/>
      <c r="DG133" s="55"/>
      <c r="DH133" s="55"/>
      <c r="DI133" s="55"/>
    </row>
    <row r="134" spans="1:113" x14ac:dyDescent="0.25">
      <c r="A134" s="152">
        <v>8</v>
      </c>
      <c r="B134" s="60" t="s">
        <v>309</v>
      </c>
      <c r="C134" s="80">
        <v>12000</v>
      </c>
      <c r="D134" s="142">
        <v>2457.94</v>
      </c>
      <c r="E134" s="43">
        <v>134</v>
      </c>
      <c r="F134" s="60"/>
      <c r="G134" s="139">
        <f t="shared" si="33"/>
        <v>134</v>
      </c>
      <c r="H134" s="55">
        <f>1-1</f>
        <v>0</v>
      </c>
      <c r="I134" s="56">
        <f t="shared" si="34"/>
        <v>134</v>
      </c>
      <c r="J134" s="56">
        <f t="shared" si="35"/>
        <v>1608000</v>
      </c>
      <c r="K134" s="57">
        <f t="shared" si="36"/>
        <v>329363.96000000002</v>
      </c>
      <c r="L134"/>
      <c r="M134" s="314">
        <f t="shared" si="32"/>
        <v>0</v>
      </c>
      <c r="N134" s="310"/>
      <c r="O134" s="315"/>
      <c r="P134" s="315"/>
      <c r="Q134" s="315"/>
      <c r="R134" s="315"/>
      <c r="S134" s="55"/>
      <c r="T134" s="55"/>
      <c r="U134" s="55"/>
      <c r="V134" s="55"/>
      <c r="W134" s="55"/>
      <c r="X134" s="55"/>
      <c r="Y134" s="55"/>
      <c r="Z134" s="55"/>
      <c r="AA134" s="55"/>
      <c r="AB134" s="55"/>
      <c r="AC134" s="55"/>
      <c r="AD134" s="55"/>
      <c r="AE134" s="55"/>
      <c r="AF134" s="55"/>
      <c r="AG134" s="55"/>
      <c r="AH134" s="55"/>
      <c r="AI134" s="55"/>
      <c r="AJ134" s="55"/>
      <c r="AK134" s="55"/>
      <c r="AL134" s="55"/>
      <c r="AM134" s="55"/>
      <c r="AN134" s="55"/>
      <c r="AO134" s="55"/>
      <c r="AP134" s="55"/>
      <c r="AQ134" s="55"/>
      <c r="AR134" s="55"/>
      <c r="AS134" s="55"/>
      <c r="AT134" s="55"/>
      <c r="AU134" s="55"/>
      <c r="AV134" s="55"/>
      <c r="AW134" s="55"/>
      <c r="AX134" s="55"/>
      <c r="AY134" s="55"/>
      <c r="AZ134" s="55"/>
      <c r="BA134" s="55"/>
      <c r="BB134" s="55"/>
      <c r="BC134" s="55"/>
      <c r="BD134" s="55"/>
      <c r="BE134" s="55"/>
      <c r="BF134" s="55"/>
      <c r="BG134" s="55"/>
      <c r="BH134" s="55"/>
      <c r="BI134" s="55"/>
      <c r="BJ134" s="55"/>
      <c r="BK134" s="55"/>
      <c r="BL134" s="55"/>
      <c r="BM134" s="55"/>
      <c r="BN134" s="55"/>
      <c r="BO134" s="55"/>
      <c r="BP134" s="55"/>
      <c r="BQ134" s="55"/>
      <c r="BR134" s="55"/>
      <c r="BS134" s="55"/>
      <c r="BT134" s="55"/>
      <c r="BU134" s="55"/>
      <c r="BV134" s="55"/>
      <c r="BW134" s="55"/>
      <c r="BX134" s="55"/>
      <c r="BY134" s="55"/>
      <c r="BZ134" s="55"/>
      <c r="CA134" s="55"/>
      <c r="CB134" s="55"/>
      <c r="CC134" s="55"/>
      <c r="CD134" s="55"/>
      <c r="CE134" s="55"/>
      <c r="CF134" s="55"/>
      <c r="CG134" s="55"/>
      <c r="CH134" s="55"/>
      <c r="CI134" s="55"/>
      <c r="CJ134" s="55"/>
      <c r="CK134" s="55"/>
      <c r="CL134" s="55"/>
      <c r="CM134" s="55"/>
      <c r="CN134" s="55"/>
      <c r="CO134" s="55"/>
      <c r="CP134" s="55"/>
      <c r="CQ134" s="55"/>
      <c r="CR134" s="55"/>
      <c r="CS134" s="55"/>
      <c r="CT134" s="55"/>
      <c r="CU134" s="55"/>
      <c r="CV134" s="55"/>
      <c r="CW134" s="55"/>
      <c r="CX134" s="55"/>
      <c r="CY134" s="55"/>
      <c r="CZ134" s="55"/>
      <c r="DA134" s="55"/>
      <c r="DB134" s="55"/>
      <c r="DC134" s="55"/>
      <c r="DD134" s="55"/>
      <c r="DE134" s="55"/>
      <c r="DF134" s="55"/>
      <c r="DG134" s="55"/>
      <c r="DH134" s="55"/>
      <c r="DI134" s="55"/>
    </row>
    <row r="135" spans="1:113" x14ac:dyDescent="0.25">
      <c r="A135" s="152">
        <v>9</v>
      </c>
      <c r="B135" s="60" t="s">
        <v>310</v>
      </c>
      <c r="C135" s="80">
        <v>5000</v>
      </c>
      <c r="D135" s="142">
        <v>1261.21</v>
      </c>
      <c r="E135" s="43">
        <v>46</v>
      </c>
      <c r="F135" s="60"/>
      <c r="G135" s="139">
        <f t="shared" si="33"/>
        <v>46</v>
      </c>
      <c r="H135" s="55"/>
      <c r="I135" s="56">
        <f t="shared" si="34"/>
        <v>46</v>
      </c>
      <c r="J135" s="56">
        <f t="shared" si="35"/>
        <v>230000</v>
      </c>
      <c r="K135" s="57">
        <f t="shared" si="36"/>
        <v>58015.66</v>
      </c>
      <c r="L135"/>
      <c r="M135" s="314">
        <f t="shared" si="32"/>
        <v>0</v>
      </c>
      <c r="N135" s="310"/>
      <c r="O135" s="315"/>
      <c r="P135" s="315"/>
      <c r="Q135" s="315"/>
      <c r="R135" s="315"/>
      <c r="S135" s="55"/>
      <c r="T135" s="55"/>
      <c r="U135" s="55"/>
      <c r="V135" s="55"/>
      <c r="W135" s="55"/>
      <c r="X135" s="55"/>
      <c r="Y135" s="55"/>
      <c r="Z135" s="55"/>
      <c r="AA135" s="55"/>
      <c r="AB135" s="55"/>
      <c r="AC135" s="55"/>
      <c r="AD135" s="55"/>
      <c r="AE135" s="55"/>
      <c r="AF135" s="55"/>
      <c r="AG135" s="55"/>
      <c r="AH135" s="55"/>
      <c r="AI135" s="55"/>
      <c r="AJ135" s="55"/>
      <c r="AK135" s="55"/>
      <c r="AL135" s="55"/>
      <c r="AM135" s="55"/>
      <c r="AN135" s="55"/>
      <c r="AO135" s="55"/>
      <c r="AP135" s="55"/>
      <c r="AQ135" s="55"/>
      <c r="AR135" s="55"/>
      <c r="AS135" s="55"/>
      <c r="AT135" s="55"/>
      <c r="AU135" s="55"/>
      <c r="AV135" s="55"/>
      <c r="AW135" s="55"/>
      <c r="AX135" s="55"/>
      <c r="AY135" s="55"/>
      <c r="AZ135" s="55"/>
      <c r="BA135" s="55"/>
      <c r="BB135" s="55"/>
      <c r="BC135" s="55"/>
      <c r="BD135" s="55"/>
      <c r="BE135" s="55"/>
      <c r="BF135" s="55"/>
      <c r="BG135" s="55"/>
      <c r="BH135" s="55"/>
      <c r="BI135" s="55"/>
      <c r="BJ135" s="55"/>
      <c r="BK135" s="55"/>
      <c r="BL135" s="55"/>
      <c r="BM135" s="55"/>
      <c r="BN135" s="55"/>
      <c r="BO135" s="55"/>
      <c r="BP135" s="55"/>
      <c r="BQ135" s="55"/>
      <c r="BR135" s="55"/>
      <c r="BS135" s="55"/>
      <c r="BT135" s="55"/>
      <c r="BU135" s="55"/>
      <c r="BV135" s="55"/>
      <c r="BW135" s="55"/>
      <c r="BX135" s="55"/>
      <c r="BY135" s="55"/>
      <c r="BZ135" s="55"/>
      <c r="CA135" s="55"/>
      <c r="CB135" s="55"/>
      <c r="CC135" s="55"/>
      <c r="CD135" s="55"/>
      <c r="CE135" s="55"/>
      <c r="CF135" s="55"/>
      <c r="CG135" s="55"/>
      <c r="CH135" s="55"/>
      <c r="CI135" s="55"/>
      <c r="CJ135" s="55"/>
      <c r="CK135" s="55"/>
      <c r="CL135" s="55"/>
      <c r="CM135" s="55"/>
      <c r="CN135" s="55"/>
      <c r="CO135" s="55"/>
      <c r="CP135" s="55"/>
      <c r="CQ135" s="55"/>
      <c r="CR135" s="55"/>
      <c r="CS135" s="55"/>
      <c r="CT135" s="55"/>
      <c r="CU135" s="55"/>
      <c r="CV135" s="55"/>
      <c r="CW135" s="55"/>
      <c r="CX135" s="55"/>
      <c r="CY135" s="55"/>
      <c r="CZ135" s="55"/>
      <c r="DA135" s="55"/>
      <c r="DB135" s="55"/>
      <c r="DC135" s="55"/>
      <c r="DD135" s="55"/>
      <c r="DE135" s="55"/>
      <c r="DF135" s="55"/>
      <c r="DG135" s="55"/>
      <c r="DH135" s="55"/>
      <c r="DI135" s="55"/>
    </row>
    <row r="136" spans="1:113" x14ac:dyDescent="0.25">
      <c r="A136" s="152">
        <v>10</v>
      </c>
      <c r="B136" s="60" t="s">
        <v>311</v>
      </c>
      <c r="C136" s="80">
        <v>12000</v>
      </c>
      <c r="D136" s="142">
        <v>1686.73</v>
      </c>
      <c r="E136" s="43">
        <v>291</v>
      </c>
      <c r="F136" s="60"/>
      <c r="G136" s="139">
        <f t="shared" si="33"/>
        <v>291</v>
      </c>
      <c r="H136" s="55"/>
      <c r="I136" s="56">
        <f t="shared" si="34"/>
        <v>291</v>
      </c>
      <c r="J136" s="56">
        <f t="shared" si="35"/>
        <v>3492000</v>
      </c>
      <c r="K136" s="57">
        <f t="shared" si="36"/>
        <v>490838.43</v>
      </c>
      <c r="L136"/>
      <c r="M136" s="314">
        <f t="shared" si="32"/>
        <v>0</v>
      </c>
      <c r="N136" s="310"/>
      <c r="O136" s="315"/>
      <c r="P136" s="315"/>
      <c r="Q136" s="315"/>
      <c r="R136" s="315"/>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c r="BM136" s="55"/>
      <c r="BN136" s="55"/>
      <c r="BO136" s="55"/>
      <c r="BP136" s="55"/>
      <c r="BQ136" s="55"/>
      <c r="BR136" s="55"/>
      <c r="BS136" s="55"/>
      <c r="BT136" s="55"/>
      <c r="BU136" s="55"/>
      <c r="BV136" s="55"/>
      <c r="BW136" s="55"/>
      <c r="BX136" s="55"/>
      <c r="BY136" s="55"/>
      <c r="BZ136" s="55"/>
      <c r="CA136" s="55"/>
      <c r="CB136" s="55"/>
      <c r="CC136" s="55"/>
      <c r="CD136" s="55"/>
      <c r="CE136" s="55"/>
      <c r="CF136" s="55"/>
      <c r="CG136" s="55"/>
      <c r="CH136" s="55"/>
      <c r="CI136" s="55"/>
      <c r="CJ136" s="55"/>
      <c r="CK136" s="55"/>
      <c r="CL136" s="55"/>
      <c r="CM136" s="55"/>
      <c r="CN136" s="55"/>
      <c r="CO136" s="55"/>
      <c r="CP136" s="55"/>
      <c r="CQ136" s="55"/>
      <c r="CR136" s="55"/>
      <c r="CS136" s="55"/>
      <c r="CT136" s="55"/>
      <c r="CU136" s="55"/>
      <c r="CV136" s="55"/>
      <c r="CW136" s="55"/>
      <c r="CX136" s="55"/>
      <c r="CY136" s="55"/>
      <c r="CZ136" s="55"/>
      <c r="DA136" s="55"/>
      <c r="DB136" s="55"/>
      <c r="DC136" s="55"/>
      <c r="DD136" s="55"/>
      <c r="DE136" s="55"/>
      <c r="DF136" s="55"/>
      <c r="DG136" s="55"/>
      <c r="DH136" s="55"/>
      <c r="DI136" s="55"/>
    </row>
    <row r="137" spans="1:113" x14ac:dyDescent="0.25">
      <c r="A137" s="152">
        <v>11</v>
      </c>
      <c r="B137" s="60" t="s">
        <v>312</v>
      </c>
      <c r="C137" s="80">
        <v>7000</v>
      </c>
      <c r="D137" s="142">
        <v>1407.72</v>
      </c>
      <c r="E137" s="43">
        <v>77</v>
      </c>
      <c r="F137" s="60"/>
      <c r="G137" s="139">
        <f t="shared" si="33"/>
        <v>77</v>
      </c>
      <c r="H137" s="55"/>
      <c r="I137" s="56">
        <f t="shared" si="34"/>
        <v>77</v>
      </c>
      <c r="J137" s="56">
        <f t="shared" si="35"/>
        <v>539000</v>
      </c>
      <c r="K137" s="57">
        <f t="shared" si="36"/>
        <v>108394.44</v>
      </c>
      <c r="L137"/>
      <c r="M137" s="314">
        <f t="shared" si="32"/>
        <v>0</v>
      </c>
      <c r="N137" s="310"/>
      <c r="O137" s="315"/>
      <c r="P137" s="315"/>
      <c r="Q137" s="315"/>
      <c r="R137" s="315"/>
      <c r="S137" s="55"/>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c r="AT137" s="55"/>
      <c r="AU137" s="55"/>
      <c r="AV137" s="55"/>
      <c r="AW137" s="55"/>
      <c r="AX137" s="55"/>
      <c r="AY137" s="55"/>
      <c r="AZ137" s="55"/>
      <c r="BA137" s="55"/>
      <c r="BB137" s="55"/>
      <c r="BC137" s="55"/>
      <c r="BD137" s="55"/>
      <c r="BE137" s="55"/>
      <c r="BF137" s="55"/>
      <c r="BG137" s="55"/>
      <c r="BH137" s="55"/>
      <c r="BI137" s="55"/>
      <c r="BJ137" s="55"/>
      <c r="BK137" s="55"/>
      <c r="BL137" s="55"/>
      <c r="BM137" s="55"/>
      <c r="BN137" s="55"/>
      <c r="BO137" s="55"/>
      <c r="BP137" s="55"/>
      <c r="BQ137" s="55"/>
      <c r="BR137" s="55"/>
      <c r="BS137" s="55"/>
      <c r="BT137" s="55"/>
      <c r="BU137" s="55"/>
      <c r="BV137" s="55"/>
      <c r="BW137" s="55"/>
      <c r="BX137" s="55"/>
      <c r="BY137" s="55"/>
      <c r="BZ137" s="55"/>
      <c r="CA137" s="55"/>
      <c r="CB137" s="55"/>
      <c r="CC137" s="55"/>
      <c r="CD137" s="55"/>
      <c r="CE137" s="55"/>
      <c r="CF137" s="55"/>
      <c r="CG137" s="55"/>
      <c r="CH137" s="55"/>
      <c r="CI137" s="55"/>
      <c r="CJ137" s="55"/>
      <c r="CK137" s="55"/>
      <c r="CL137" s="55"/>
      <c r="CM137" s="55"/>
      <c r="CN137" s="55"/>
      <c r="CO137" s="55"/>
      <c r="CP137" s="55"/>
      <c r="CQ137" s="55"/>
      <c r="CR137" s="55"/>
      <c r="CS137" s="55"/>
      <c r="CT137" s="55"/>
      <c r="CU137" s="55"/>
      <c r="CV137" s="55"/>
      <c r="CW137" s="55"/>
      <c r="CX137" s="55"/>
      <c r="CY137" s="55"/>
      <c r="CZ137" s="55"/>
      <c r="DA137" s="55"/>
      <c r="DB137" s="55"/>
      <c r="DC137" s="55"/>
      <c r="DD137" s="55"/>
      <c r="DE137" s="55"/>
      <c r="DF137" s="55"/>
      <c r="DG137" s="55"/>
      <c r="DH137" s="55"/>
      <c r="DI137" s="55"/>
    </row>
    <row r="138" spans="1:113" x14ac:dyDescent="0.25">
      <c r="A138" s="152">
        <v>12</v>
      </c>
      <c r="B138" s="60" t="s">
        <v>313</v>
      </c>
      <c r="C138" s="80">
        <v>30000</v>
      </c>
      <c r="D138" s="142">
        <v>3099.4</v>
      </c>
      <c r="E138" s="43">
        <v>134</v>
      </c>
      <c r="F138" s="60"/>
      <c r="G138" s="139">
        <f t="shared" si="33"/>
        <v>134</v>
      </c>
      <c r="H138" s="55"/>
      <c r="I138" s="56">
        <f t="shared" si="34"/>
        <v>134</v>
      </c>
      <c r="J138" s="56">
        <f t="shared" si="35"/>
        <v>4020000</v>
      </c>
      <c r="K138" s="57">
        <f t="shared" si="36"/>
        <v>415319.60000000003</v>
      </c>
      <c r="L138"/>
      <c r="M138" s="314">
        <f t="shared" si="32"/>
        <v>0</v>
      </c>
      <c r="N138" s="310"/>
      <c r="O138" s="315"/>
      <c r="P138" s="315"/>
      <c r="Q138" s="315"/>
      <c r="R138" s="315"/>
      <c r="S138" s="55"/>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c r="AW138" s="55"/>
      <c r="AX138" s="55"/>
      <c r="AY138" s="55"/>
      <c r="AZ138" s="55"/>
      <c r="BA138" s="55"/>
      <c r="BB138" s="55"/>
      <c r="BC138" s="55"/>
      <c r="BD138" s="55"/>
      <c r="BE138" s="55"/>
      <c r="BF138" s="55"/>
      <c r="BG138" s="55"/>
      <c r="BH138" s="55"/>
      <c r="BI138" s="55"/>
      <c r="BJ138" s="55"/>
      <c r="BK138" s="55"/>
      <c r="BL138" s="55"/>
      <c r="BM138" s="55"/>
      <c r="BN138" s="55"/>
      <c r="BO138" s="55"/>
      <c r="BP138" s="55"/>
      <c r="BQ138" s="55"/>
      <c r="BR138" s="55"/>
      <c r="BS138" s="55"/>
      <c r="BT138" s="55"/>
      <c r="BU138" s="55"/>
      <c r="BV138" s="55"/>
      <c r="BW138" s="55"/>
      <c r="BX138" s="55"/>
      <c r="BY138" s="55"/>
      <c r="BZ138" s="55"/>
      <c r="CA138" s="55"/>
      <c r="CB138" s="55"/>
      <c r="CC138" s="55"/>
      <c r="CD138" s="55"/>
      <c r="CE138" s="55"/>
      <c r="CF138" s="55"/>
      <c r="CG138" s="55"/>
      <c r="CH138" s="55"/>
      <c r="CI138" s="55"/>
      <c r="CJ138" s="55"/>
      <c r="CK138" s="55"/>
      <c r="CL138" s="55"/>
      <c r="CM138" s="55"/>
      <c r="CN138" s="55"/>
      <c r="CO138" s="55"/>
      <c r="CP138" s="55"/>
      <c r="CQ138" s="55"/>
      <c r="CR138" s="55"/>
      <c r="CS138" s="55"/>
      <c r="CT138" s="55"/>
      <c r="CU138" s="55"/>
      <c r="CV138" s="55"/>
      <c r="CW138" s="55"/>
      <c r="CX138" s="55"/>
      <c r="CY138" s="55"/>
      <c r="CZ138" s="55"/>
      <c r="DA138" s="55"/>
      <c r="DB138" s="55"/>
      <c r="DC138" s="55"/>
      <c r="DD138" s="55"/>
      <c r="DE138" s="55"/>
      <c r="DF138" s="55"/>
      <c r="DG138" s="55"/>
      <c r="DH138" s="55"/>
      <c r="DI138" s="55"/>
    </row>
    <row r="139" spans="1:113" x14ac:dyDescent="0.25">
      <c r="A139" s="152">
        <v>13</v>
      </c>
      <c r="B139" s="60" t="s">
        <v>314</v>
      </c>
      <c r="C139" s="80">
        <v>5000</v>
      </c>
      <c r="D139" s="142">
        <v>1688.76</v>
      </c>
      <c r="E139" s="43">
        <v>143</v>
      </c>
      <c r="F139" s="60">
        <f>22-22</f>
        <v>0</v>
      </c>
      <c r="G139" s="139">
        <f t="shared" si="33"/>
        <v>143</v>
      </c>
      <c r="H139" s="55">
        <f>22-22</f>
        <v>0</v>
      </c>
      <c r="I139" s="56">
        <f t="shared" si="34"/>
        <v>143</v>
      </c>
      <c r="J139" s="56">
        <f t="shared" si="35"/>
        <v>715000</v>
      </c>
      <c r="K139" s="57">
        <f t="shared" si="36"/>
        <v>241492.68</v>
      </c>
      <c r="L139"/>
      <c r="M139" s="314">
        <f t="shared" si="32"/>
        <v>0</v>
      </c>
      <c r="N139" s="310"/>
      <c r="O139" s="315"/>
      <c r="P139" s="315"/>
      <c r="Q139" s="315"/>
      <c r="R139" s="315"/>
      <c r="S139" s="55"/>
      <c r="T139" s="55"/>
      <c r="U139" s="55"/>
      <c r="V139" s="55"/>
      <c r="W139" s="55"/>
      <c r="X139" s="55"/>
      <c r="Y139" s="55"/>
      <c r="Z139" s="55"/>
      <c r="AA139" s="55"/>
      <c r="AB139" s="55"/>
      <c r="AC139" s="55"/>
      <c r="AD139" s="55"/>
      <c r="AE139" s="55"/>
      <c r="AF139" s="55"/>
      <c r="AG139" s="55"/>
      <c r="AH139" s="55"/>
      <c r="AI139" s="55"/>
      <c r="AJ139" s="55"/>
      <c r="AK139" s="55"/>
      <c r="AL139" s="55"/>
      <c r="AM139" s="55"/>
      <c r="AN139" s="55"/>
      <c r="AO139" s="55"/>
      <c r="AP139" s="55"/>
      <c r="AQ139" s="55"/>
      <c r="AR139" s="55"/>
      <c r="AS139" s="55"/>
      <c r="AT139" s="55"/>
      <c r="AU139" s="55"/>
      <c r="AV139" s="55"/>
      <c r="AW139" s="55"/>
      <c r="AX139" s="55"/>
      <c r="AY139" s="55"/>
      <c r="AZ139" s="55"/>
      <c r="BA139" s="55"/>
      <c r="BB139" s="55"/>
      <c r="BC139" s="55"/>
      <c r="BD139" s="55"/>
      <c r="BE139" s="55"/>
      <c r="BF139" s="55"/>
      <c r="BG139" s="55"/>
      <c r="BH139" s="55"/>
      <c r="BI139" s="55"/>
      <c r="BJ139" s="55"/>
      <c r="BK139" s="55"/>
      <c r="BL139" s="55"/>
      <c r="BM139" s="55"/>
      <c r="BN139" s="55"/>
      <c r="BO139" s="55"/>
      <c r="BP139" s="55"/>
      <c r="BQ139" s="55"/>
      <c r="BR139" s="55"/>
      <c r="BS139" s="55"/>
      <c r="BT139" s="55"/>
      <c r="BU139" s="55"/>
      <c r="BV139" s="55"/>
      <c r="BW139" s="55"/>
      <c r="BX139" s="55"/>
      <c r="BY139" s="55"/>
      <c r="BZ139" s="55"/>
      <c r="CA139" s="55"/>
      <c r="CB139" s="55"/>
      <c r="CC139" s="55"/>
      <c r="CD139" s="55"/>
      <c r="CE139" s="55"/>
      <c r="CF139" s="55"/>
      <c r="CG139" s="55"/>
      <c r="CH139" s="55"/>
      <c r="CI139" s="55"/>
      <c r="CJ139" s="55"/>
      <c r="CK139" s="55"/>
      <c r="CL139" s="55"/>
      <c r="CM139" s="55"/>
      <c r="CN139" s="55"/>
      <c r="CO139" s="55"/>
      <c r="CP139" s="55"/>
      <c r="CQ139" s="55"/>
      <c r="CR139" s="55"/>
      <c r="CS139" s="55"/>
      <c r="CT139" s="55"/>
      <c r="CU139" s="55"/>
      <c r="CV139" s="55"/>
      <c r="CW139" s="55"/>
      <c r="CX139" s="55"/>
      <c r="CY139" s="55"/>
      <c r="CZ139" s="55"/>
      <c r="DA139" s="55"/>
      <c r="DB139" s="55"/>
      <c r="DC139" s="55"/>
      <c r="DD139" s="55"/>
      <c r="DE139" s="55"/>
      <c r="DF139" s="55"/>
      <c r="DG139" s="55"/>
      <c r="DH139" s="55"/>
      <c r="DI139" s="55"/>
    </row>
    <row r="140" spans="1:113" x14ac:dyDescent="0.25">
      <c r="A140" s="152">
        <v>14</v>
      </c>
      <c r="B140" s="60" t="s">
        <v>315</v>
      </c>
      <c r="C140" s="80">
        <v>5000</v>
      </c>
      <c r="D140" s="142">
        <v>1496.26</v>
      </c>
      <c r="E140" s="43">
        <v>0</v>
      </c>
      <c r="F140" s="60"/>
      <c r="G140" s="139">
        <f t="shared" si="33"/>
        <v>0</v>
      </c>
      <c r="H140" s="55">
        <f>20-20</f>
        <v>0</v>
      </c>
      <c r="I140" s="56">
        <f t="shared" si="34"/>
        <v>0</v>
      </c>
      <c r="J140" s="56">
        <f t="shared" si="35"/>
        <v>0</v>
      </c>
      <c r="K140" s="57">
        <f t="shared" si="36"/>
        <v>0</v>
      </c>
      <c r="L140"/>
      <c r="M140" s="314">
        <f t="shared" si="32"/>
        <v>0</v>
      </c>
      <c r="N140" s="310"/>
      <c r="O140" s="315"/>
      <c r="P140" s="315"/>
      <c r="Q140" s="315"/>
      <c r="R140" s="315"/>
      <c r="S140" s="55"/>
      <c r="T140" s="55"/>
      <c r="U140" s="55"/>
      <c r="V140" s="55"/>
      <c r="W140" s="55"/>
      <c r="X140" s="55"/>
      <c r="Y140" s="55"/>
      <c r="Z140" s="55"/>
      <c r="AA140" s="55"/>
      <c r="AB140" s="55"/>
      <c r="AC140" s="55"/>
      <c r="AD140" s="55"/>
      <c r="AE140" s="55"/>
      <c r="AF140" s="55"/>
      <c r="AG140" s="55"/>
      <c r="AH140" s="55"/>
      <c r="AI140" s="55"/>
      <c r="AJ140" s="55"/>
      <c r="AK140" s="55"/>
      <c r="AL140" s="55"/>
      <c r="AM140" s="55"/>
      <c r="AN140" s="55"/>
      <c r="AO140" s="55"/>
      <c r="AP140" s="55"/>
      <c r="AQ140" s="55"/>
      <c r="AR140" s="55"/>
      <c r="AS140" s="55"/>
      <c r="AT140" s="55"/>
      <c r="AU140" s="55"/>
      <c r="AV140" s="55"/>
      <c r="AW140" s="55"/>
      <c r="AX140" s="55"/>
      <c r="AY140" s="55"/>
      <c r="AZ140" s="55"/>
      <c r="BA140" s="55"/>
      <c r="BB140" s="55"/>
      <c r="BC140" s="55"/>
      <c r="BD140" s="55"/>
      <c r="BE140" s="55"/>
      <c r="BF140" s="55"/>
      <c r="BG140" s="55"/>
      <c r="BH140" s="55"/>
      <c r="BI140" s="55"/>
      <c r="BJ140" s="55"/>
      <c r="BK140" s="55"/>
      <c r="BL140" s="55"/>
      <c r="BM140" s="55"/>
      <c r="BN140" s="55"/>
      <c r="BO140" s="55"/>
      <c r="BP140" s="55"/>
      <c r="BQ140" s="55"/>
      <c r="BR140" s="55"/>
      <c r="BS140" s="55"/>
      <c r="BT140" s="55"/>
      <c r="BU140" s="55"/>
      <c r="BV140" s="55"/>
      <c r="BW140" s="55"/>
      <c r="BX140" s="55"/>
      <c r="BY140" s="55"/>
      <c r="BZ140" s="55"/>
      <c r="CA140" s="55"/>
      <c r="CB140" s="55"/>
      <c r="CC140" s="55"/>
      <c r="CD140" s="55"/>
      <c r="CE140" s="55"/>
      <c r="CF140" s="55"/>
      <c r="CG140" s="55"/>
      <c r="CH140" s="55"/>
      <c r="CI140" s="55"/>
      <c r="CJ140" s="55"/>
      <c r="CK140" s="55"/>
      <c r="CL140" s="55"/>
      <c r="CM140" s="55"/>
      <c r="CN140" s="55"/>
      <c r="CO140" s="55"/>
      <c r="CP140" s="55"/>
      <c r="CQ140" s="55"/>
      <c r="CR140" s="55"/>
      <c r="CS140" s="55"/>
      <c r="CT140" s="55"/>
      <c r="CU140" s="55"/>
      <c r="CV140" s="55"/>
      <c r="CW140" s="55"/>
      <c r="CX140" s="55"/>
      <c r="CY140" s="55"/>
      <c r="CZ140" s="55"/>
      <c r="DA140" s="55"/>
      <c r="DB140" s="55"/>
      <c r="DC140" s="55"/>
      <c r="DD140" s="55"/>
      <c r="DE140" s="55"/>
      <c r="DF140" s="55"/>
      <c r="DG140" s="55"/>
      <c r="DH140" s="55"/>
      <c r="DI140" s="55"/>
    </row>
    <row r="141" spans="1:113" x14ac:dyDescent="0.25">
      <c r="A141" s="152">
        <v>15</v>
      </c>
      <c r="B141" s="60" t="s">
        <v>316</v>
      </c>
      <c r="C141" s="80">
        <v>8000</v>
      </c>
      <c r="D141" s="142">
        <v>1508.07</v>
      </c>
      <c r="E141" s="43">
        <v>1119</v>
      </c>
      <c r="F141" s="60"/>
      <c r="G141" s="139">
        <f t="shared" si="33"/>
        <v>1119</v>
      </c>
      <c r="H141" s="55"/>
      <c r="I141" s="56">
        <f t="shared" si="34"/>
        <v>1119</v>
      </c>
      <c r="J141" s="56">
        <f t="shared" si="35"/>
        <v>8952000</v>
      </c>
      <c r="K141" s="57">
        <f t="shared" si="36"/>
        <v>1687530.3299999998</v>
      </c>
      <c r="L141"/>
      <c r="M141" s="314">
        <f t="shared" si="32"/>
        <v>0</v>
      </c>
      <c r="N141" s="310"/>
      <c r="O141" s="315"/>
      <c r="P141" s="315"/>
      <c r="Q141" s="315"/>
      <c r="R141" s="315"/>
      <c r="S141" s="55"/>
      <c r="T141" s="55"/>
      <c r="U141" s="55"/>
      <c r="V141" s="55"/>
      <c r="W141" s="55"/>
      <c r="X141" s="55"/>
      <c r="Y141" s="55"/>
      <c r="Z141" s="55"/>
      <c r="AA141" s="55"/>
      <c r="AB141" s="55"/>
      <c r="AC141" s="55"/>
      <c r="AD141" s="55"/>
      <c r="AE141" s="55"/>
      <c r="AF141" s="55"/>
      <c r="AG141" s="55"/>
      <c r="AH141" s="55"/>
      <c r="AI141" s="55"/>
      <c r="AJ141" s="55"/>
      <c r="AK141" s="55"/>
      <c r="AL141" s="55"/>
      <c r="AM141" s="55"/>
      <c r="AN141" s="55"/>
      <c r="AO141" s="55"/>
      <c r="AP141" s="55"/>
      <c r="AQ141" s="55"/>
      <c r="AR141" s="55"/>
      <c r="AS141" s="55"/>
      <c r="AT141" s="55"/>
      <c r="AU141" s="55"/>
      <c r="AV141" s="55"/>
      <c r="AW141" s="55"/>
      <c r="AX141" s="55"/>
      <c r="AY141" s="55"/>
      <c r="AZ141" s="55"/>
      <c r="BA141" s="55"/>
      <c r="BB141" s="55"/>
      <c r="BC141" s="55"/>
      <c r="BD141" s="55"/>
      <c r="BE141" s="55"/>
      <c r="BF141" s="55"/>
      <c r="BG141" s="55"/>
      <c r="BH141" s="55"/>
      <c r="BI141" s="55"/>
      <c r="BJ141" s="55"/>
      <c r="BK141" s="55"/>
      <c r="BL141" s="55"/>
      <c r="BM141" s="55"/>
      <c r="BN141" s="55"/>
      <c r="BO141" s="55"/>
      <c r="BP141" s="55"/>
      <c r="BQ141" s="55"/>
      <c r="BR141" s="55"/>
      <c r="BS141" s="55"/>
      <c r="BT141" s="55"/>
      <c r="BU141" s="55"/>
      <c r="BV141" s="55"/>
      <c r="BW141" s="55"/>
      <c r="BX141" s="55"/>
      <c r="BY141" s="55"/>
      <c r="BZ141" s="55"/>
      <c r="CA141" s="55"/>
      <c r="CB141" s="55"/>
      <c r="CC141" s="55"/>
      <c r="CD141" s="55"/>
      <c r="CE141" s="55"/>
      <c r="CF141" s="55"/>
      <c r="CG141" s="55"/>
      <c r="CH141" s="55"/>
      <c r="CI141" s="55"/>
      <c r="CJ141" s="55"/>
      <c r="CK141" s="55"/>
      <c r="CL141" s="55"/>
      <c r="CM141" s="55"/>
      <c r="CN141" s="55"/>
      <c r="CO141" s="55"/>
      <c r="CP141" s="55"/>
      <c r="CQ141" s="55"/>
      <c r="CR141" s="55"/>
      <c r="CS141" s="55"/>
      <c r="CT141" s="55"/>
      <c r="CU141" s="55"/>
      <c r="CV141" s="55"/>
      <c r="CW141" s="55"/>
      <c r="CX141" s="55"/>
      <c r="CY141" s="55"/>
      <c r="CZ141" s="55"/>
      <c r="DA141" s="55"/>
      <c r="DB141" s="55"/>
      <c r="DC141" s="55"/>
      <c r="DD141" s="55"/>
      <c r="DE141" s="55"/>
      <c r="DF141" s="55"/>
      <c r="DG141" s="55"/>
      <c r="DH141" s="55"/>
      <c r="DI141" s="55"/>
    </row>
    <row r="142" spans="1:113" x14ac:dyDescent="0.25">
      <c r="A142" s="152">
        <v>16</v>
      </c>
      <c r="B142" s="221" t="s">
        <v>317</v>
      </c>
      <c r="C142" s="80">
        <v>5000</v>
      </c>
      <c r="D142" s="142">
        <v>1386.26</v>
      </c>
      <c r="E142" s="43">
        <v>42</v>
      </c>
      <c r="F142" s="60"/>
      <c r="G142" s="139">
        <f t="shared" si="33"/>
        <v>42</v>
      </c>
      <c r="H142" s="55"/>
      <c r="I142" s="56">
        <f t="shared" si="34"/>
        <v>42</v>
      </c>
      <c r="J142" s="56">
        <f t="shared" si="35"/>
        <v>210000</v>
      </c>
      <c r="K142" s="57">
        <f t="shared" si="36"/>
        <v>58222.92</v>
      </c>
      <c r="L142"/>
      <c r="M142" s="314">
        <f t="shared" si="32"/>
        <v>0</v>
      </c>
      <c r="N142" s="310"/>
      <c r="O142" s="315"/>
      <c r="P142" s="315"/>
      <c r="Q142" s="315"/>
      <c r="R142" s="315"/>
      <c r="S142" s="55"/>
      <c r="T142" s="55"/>
      <c r="U142" s="55"/>
      <c r="V142" s="55"/>
      <c r="W142" s="55"/>
      <c r="X142" s="55"/>
      <c r="Y142" s="55"/>
      <c r="Z142" s="55"/>
      <c r="AA142" s="55"/>
      <c r="AB142" s="55"/>
      <c r="AC142" s="55"/>
      <c r="AD142" s="55"/>
      <c r="AE142" s="55"/>
      <c r="AF142" s="55"/>
      <c r="AG142" s="55"/>
      <c r="AH142" s="55"/>
      <c r="AI142" s="55"/>
      <c r="AJ142" s="55"/>
      <c r="AK142" s="55"/>
      <c r="AL142" s="55"/>
      <c r="AM142" s="55"/>
      <c r="AN142" s="55"/>
      <c r="AO142" s="55"/>
      <c r="AP142" s="55"/>
      <c r="AQ142" s="55"/>
      <c r="AR142" s="55"/>
      <c r="AS142" s="55"/>
      <c r="AT142" s="55"/>
      <c r="AU142" s="55"/>
      <c r="AV142" s="55"/>
      <c r="AW142" s="55"/>
      <c r="AX142" s="55"/>
      <c r="AY142" s="55"/>
      <c r="AZ142" s="55"/>
      <c r="BA142" s="55"/>
      <c r="BB142" s="55"/>
      <c r="BC142" s="55"/>
      <c r="BD142" s="55"/>
      <c r="BE142" s="55"/>
      <c r="BF142" s="55"/>
      <c r="BG142" s="55"/>
      <c r="BH142" s="55"/>
      <c r="BI142" s="55"/>
      <c r="BJ142" s="55"/>
      <c r="BK142" s="55"/>
      <c r="BL142" s="55"/>
      <c r="BM142" s="55"/>
      <c r="BN142" s="55"/>
      <c r="BO142" s="55"/>
      <c r="BP142" s="55"/>
      <c r="BQ142" s="55"/>
      <c r="BR142" s="55"/>
      <c r="BS142" s="55"/>
      <c r="BT142" s="55"/>
      <c r="BU142" s="55"/>
      <c r="BV142" s="55"/>
      <c r="BW142" s="55"/>
      <c r="BX142" s="55"/>
      <c r="BY142" s="55"/>
      <c r="BZ142" s="55"/>
      <c r="CA142" s="55"/>
      <c r="CB142" s="55"/>
      <c r="CC142" s="55"/>
      <c r="CD142" s="55"/>
      <c r="CE142" s="55"/>
      <c r="CF142" s="55"/>
      <c r="CG142" s="55"/>
      <c r="CH142" s="55"/>
      <c r="CI142" s="55"/>
      <c r="CJ142" s="55"/>
      <c r="CK142" s="55"/>
      <c r="CL142" s="55"/>
      <c r="CM142" s="55"/>
      <c r="CN142" s="55"/>
      <c r="CO142" s="55"/>
      <c r="CP142" s="55"/>
      <c r="CQ142" s="55"/>
      <c r="CR142" s="55"/>
      <c r="CS142" s="55"/>
      <c r="CT142" s="55"/>
      <c r="CU142" s="55"/>
      <c r="CV142" s="55"/>
      <c r="CW142" s="55"/>
      <c r="CX142" s="55"/>
      <c r="CY142" s="55"/>
      <c r="CZ142" s="55"/>
      <c r="DA142" s="55"/>
      <c r="DB142" s="55"/>
      <c r="DC142" s="55"/>
      <c r="DD142" s="55"/>
      <c r="DE142" s="55"/>
      <c r="DF142" s="55"/>
      <c r="DG142" s="55"/>
      <c r="DH142" s="55"/>
      <c r="DI142" s="55"/>
    </row>
    <row r="143" spans="1:113" x14ac:dyDescent="0.25">
      <c r="A143" s="152">
        <v>17</v>
      </c>
      <c r="B143" s="60" t="s">
        <v>318</v>
      </c>
      <c r="C143" s="80">
        <v>5000</v>
      </c>
      <c r="D143" s="142">
        <v>1345</v>
      </c>
      <c r="E143" s="43">
        <v>133</v>
      </c>
      <c r="F143" s="60">
        <f>30-30</f>
        <v>0</v>
      </c>
      <c r="G143" s="139">
        <f t="shared" si="33"/>
        <v>133</v>
      </c>
      <c r="H143" s="55">
        <f>30-30</f>
        <v>0</v>
      </c>
      <c r="I143" s="56">
        <f t="shared" si="34"/>
        <v>133</v>
      </c>
      <c r="J143" s="56">
        <f t="shared" si="35"/>
        <v>665000</v>
      </c>
      <c r="K143" s="57">
        <f t="shared" si="36"/>
        <v>178885</v>
      </c>
      <c r="L143"/>
      <c r="M143" s="314">
        <f t="shared" si="32"/>
        <v>0</v>
      </c>
      <c r="N143" s="310"/>
      <c r="O143" s="315"/>
      <c r="P143" s="315"/>
      <c r="Q143" s="315"/>
      <c r="R143" s="315"/>
      <c r="S143" s="55"/>
      <c r="T143" s="55"/>
      <c r="U143" s="55"/>
      <c r="V143" s="55"/>
      <c r="W143" s="55"/>
      <c r="X143" s="55"/>
      <c r="Y143" s="55"/>
      <c r="Z143" s="55"/>
      <c r="AA143" s="55"/>
      <c r="AB143" s="55"/>
      <c r="AC143" s="55"/>
      <c r="AD143" s="55"/>
      <c r="AE143" s="55"/>
      <c r="AF143" s="55"/>
      <c r="AG143" s="55"/>
      <c r="AH143" s="55"/>
      <c r="AI143" s="55"/>
      <c r="AJ143" s="55"/>
      <c r="AK143" s="55"/>
      <c r="AL143" s="55"/>
      <c r="AM143" s="55"/>
      <c r="AN143" s="55"/>
      <c r="AO143" s="55"/>
      <c r="AP143" s="55"/>
      <c r="AQ143" s="55"/>
      <c r="AR143" s="55"/>
      <c r="AS143" s="55"/>
      <c r="AT143" s="55"/>
      <c r="AU143" s="55"/>
      <c r="AV143" s="55"/>
      <c r="AW143" s="55"/>
      <c r="AX143" s="55"/>
      <c r="AY143" s="55"/>
      <c r="AZ143" s="55"/>
      <c r="BA143" s="55"/>
      <c r="BB143" s="55"/>
      <c r="BC143" s="55"/>
      <c r="BD143" s="55"/>
      <c r="BE143" s="55"/>
      <c r="BF143" s="55"/>
      <c r="BG143" s="55"/>
      <c r="BH143" s="55"/>
      <c r="BI143" s="55"/>
      <c r="BJ143" s="55"/>
      <c r="BK143" s="55"/>
      <c r="BL143" s="55"/>
      <c r="BM143" s="55"/>
      <c r="BN143" s="55"/>
      <c r="BO143" s="55"/>
      <c r="BP143" s="55"/>
      <c r="BQ143" s="55"/>
      <c r="BR143" s="55"/>
      <c r="BS143" s="55"/>
      <c r="BT143" s="55"/>
      <c r="BU143" s="55"/>
      <c r="BV143" s="55"/>
      <c r="BW143" s="55"/>
      <c r="BX143" s="55"/>
      <c r="BY143" s="55"/>
      <c r="BZ143" s="55"/>
      <c r="CA143" s="55"/>
      <c r="CB143" s="55"/>
      <c r="CC143" s="55"/>
      <c r="CD143" s="55"/>
      <c r="CE143" s="55"/>
      <c r="CF143" s="55"/>
      <c r="CG143" s="55"/>
      <c r="CH143" s="55"/>
      <c r="CI143" s="55"/>
      <c r="CJ143" s="55"/>
      <c r="CK143" s="55"/>
      <c r="CL143" s="55"/>
      <c r="CM143" s="55"/>
      <c r="CN143" s="55"/>
      <c r="CO143" s="55"/>
      <c r="CP143" s="55"/>
      <c r="CQ143" s="55"/>
      <c r="CR143" s="55"/>
      <c r="CS143" s="55"/>
      <c r="CT143" s="55"/>
      <c r="CU143" s="55"/>
      <c r="CV143" s="55"/>
      <c r="CW143" s="55"/>
      <c r="CX143" s="55"/>
      <c r="CY143" s="55"/>
      <c r="CZ143" s="55"/>
      <c r="DA143" s="55"/>
      <c r="DB143" s="55"/>
      <c r="DC143" s="55"/>
      <c r="DD143" s="55"/>
      <c r="DE143" s="55"/>
      <c r="DF143" s="55"/>
      <c r="DG143" s="55"/>
      <c r="DH143" s="55"/>
      <c r="DI143" s="55"/>
    </row>
    <row r="144" spans="1:113" x14ac:dyDescent="0.25">
      <c r="A144" s="152">
        <v>18</v>
      </c>
      <c r="B144" s="221" t="s">
        <v>319</v>
      </c>
      <c r="C144" s="80">
        <v>7000</v>
      </c>
      <c r="D144" s="142">
        <v>1795</v>
      </c>
      <c r="E144" s="43">
        <v>245</v>
      </c>
      <c r="F144" s="60"/>
      <c r="G144" s="139">
        <f t="shared" si="33"/>
        <v>245</v>
      </c>
      <c r="H144" s="55"/>
      <c r="I144" s="56">
        <f t="shared" si="34"/>
        <v>245</v>
      </c>
      <c r="J144" s="56">
        <f t="shared" si="35"/>
        <v>1715000</v>
      </c>
      <c r="K144" s="57">
        <f t="shared" si="36"/>
        <v>439775</v>
      </c>
      <c r="L144"/>
      <c r="M144" s="314">
        <f t="shared" si="32"/>
        <v>0</v>
      </c>
      <c r="N144" s="310"/>
      <c r="O144" s="315"/>
      <c r="P144" s="315"/>
      <c r="Q144" s="315"/>
      <c r="R144" s="315"/>
      <c r="S144" s="55"/>
      <c r="T144" s="55"/>
      <c r="U144" s="55"/>
      <c r="V144" s="55"/>
      <c r="W144" s="55"/>
      <c r="X144" s="55"/>
      <c r="Y144" s="55"/>
      <c r="Z144" s="55"/>
      <c r="AA144" s="55"/>
      <c r="AB144" s="55"/>
      <c r="AC144" s="55"/>
      <c r="AD144" s="55"/>
      <c r="AE144" s="55"/>
      <c r="AF144" s="55"/>
      <c r="AG144" s="55"/>
      <c r="AH144" s="55"/>
      <c r="AI144" s="55"/>
      <c r="AJ144" s="55"/>
      <c r="AK144" s="55"/>
      <c r="AL144" s="55"/>
      <c r="AM144" s="55"/>
      <c r="AN144" s="55"/>
      <c r="AO144" s="55"/>
      <c r="AP144" s="55"/>
      <c r="AQ144" s="55"/>
      <c r="AR144" s="55"/>
      <c r="AS144" s="55"/>
      <c r="AT144" s="55"/>
      <c r="AU144" s="55"/>
      <c r="AV144" s="55"/>
      <c r="AW144" s="55"/>
      <c r="AX144" s="55"/>
      <c r="AY144" s="55"/>
      <c r="AZ144" s="55"/>
      <c r="BA144" s="55"/>
      <c r="BB144" s="55"/>
      <c r="BC144" s="55"/>
      <c r="BD144" s="55"/>
      <c r="BE144" s="55"/>
      <c r="BF144" s="55"/>
      <c r="BG144" s="55"/>
      <c r="BH144" s="55"/>
      <c r="BI144" s="55"/>
      <c r="BJ144" s="55"/>
      <c r="BK144" s="55"/>
      <c r="BL144" s="55"/>
      <c r="BM144" s="55"/>
      <c r="BN144" s="55"/>
      <c r="BO144" s="55"/>
      <c r="BP144" s="55"/>
      <c r="BQ144" s="55"/>
      <c r="BR144" s="55"/>
      <c r="BS144" s="55"/>
      <c r="BT144" s="55"/>
      <c r="BU144" s="55"/>
      <c r="BV144" s="55"/>
      <c r="BW144" s="55"/>
      <c r="BX144" s="55"/>
      <c r="BY144" s="55"/>
      <c r="BZ144" s="55"/>
      <c r="CA144" s="55"/>
      <c r="CB144" s="55"/>
      <c r="CC144" s="55"/>
      <c r="CD144" s="55"/>
      <c r="CE144" s="55"/>
      <c r="CF144" s="55"/>
      <c r="CG144" s="55"/>
      <c r="CH144" s="55"/>
      <c r="CI144" s="55"/>
      <c r="CJ144" s="55"/>
      <c r="CK144" s="55"/>
      <c r="CL144" s="55"/>
      <c r="CM144" s="55"/>
      <c r="CN144" s="55"/>
      <c r="CO144" s="55"/>
      <c r="CP144" s="55"/>
      <c r="CQ144" s="55"/>
      <c r="CR144" s="55"/>
      <c r="CS144" s="55"/>
      <c r="CT144" s="55"/>
      <c r="CU144" s="55"/>
      <c r="CV144" s="55"/>
      <c r="CW144" s="55"/>
      <c r="CX144" s="55"/>
      <c r="CY144" s="55"/>
      <c r="CZ144" s="55"/>
      <c r="DA144" s="55"/>
      <c r="DB144" s="55"/>
      <c r="DC144" s="55"/>
      <c r="DD144" s="55"/>
      <c r="DE144" s="55"/>
      <c r="DF144" s="55"/>
      <c r="DG144" s="55"/>
      <c r="DH144" s="55"/>
      <c r="DI144" s="55"/>
    </row>
    <row r="145" spans="1:113" x14ac:dyDescent="0.25">
      <c r="A145" s="152">
        <v>19</v>
      </c>
      <c r="B145" s="220" t="s">
        <v>320</v>
      </c>
      <c r="C145" s="80">
        <v>5000</v>
      </c>
      <c r="D145" s="142">
        <v>1261.21</v>
      </c>
      <c r="E145" s="43">
        <v>140</v>
      </c>
      <c r="F145" s="60"/>
      <c r="G145" s="139">
        <f t="shared" si="33"/>
        <v>140</v>
      </c>
      <c r="H145" s="55"/>
      <c r="I145" s="56">
        <f t="shared" si="34"/>
        <v>140</v>
      </c>
      <c r="J145" s="56">
        <f t="shared" si="35"/>
        <v>700000</v>
      </c>
      <c r="K145" s="57">
        <f t="shared" si="36"/>
        <v>176569.4</v>
      </c>
      <c r="L145"/>
      <c r="M145" s="314">
        <f t="shared" si="32"/>
        <v>0</v>
      </c>
      <c r="N145" s="310"/>
      <c r="O145" s="315"/>
      <c r="P145" s="315"/>
      <c r="Q145" s="315"/>
      <c r="R145" s="315"/>
      <c r="S145" s="55"/>
      <c r="T145" s="55"/>
      <c r="U145" s="55"/>
      <c r="V145" s="55"/>
      <c r="W145" s="55"/>
      <c r="X145" s="55"/>
      <c r="Y145" s="55"/>
      <c r="Z145" s="55"/>
      <c r="AA145" s="55"/>
      <c r="AB145" s="55"/>
      <c r="AC145" s="55"/>
      <c r="AD145" s="55"/>
      <c r="AE145" s="55"/>
      <c r="AF145" s="55"/>
      <c r="AG145" s="55"/>
      <c r="AH145" s="55"/>
      <c r="AI145" s="55"/>
      <c r="AJ145" s="55"/>
      <c r="AK145" s="55"/>
      <c r="AL145" s="55"/>
      <c r="AM145" s="55"/>
      <c r="AN145" s="55"/>
      <c r="AO145" s="55"/>
      <c r="AP145" s="55"/>
      <c r="AQ145" s="55"/>
      <c r="AR145" s="55"/>
      <c r="AS145" s="55"/>
      <c r="AT145" s="55"/>
      <c r="AU145" s="55"/>
      <c r="AV145" s="55"/>
      <c r="AW145" s="55"/>
      <c r="AX145" s="55"/>
      <c r="AY145" s="55"/>
      <c r="AZ145" s="55"/>
      <c r="BA145" s="55"/>
      <c r="BB145" s="55"/>
      <c r="BC145" s="55"/>
      <c r="BD145" s="55"/>
      <c r="BE145" s="55"/>
      <c r="BF145" s="55"/>
      <c r="BG145" s="55"/>
      <c r="BH145" s="55"/>
      <c r="BI145" s="55"/>
      <c r="BJ145" s="55"/>
      <c r="BK145" s="55"/>
      <c r="BL145" s="55"/>
      <c r="BM145" s="55"/>
      <c r="BN145" s="55"/>
      <c r="BO145" s="55"/>
      <c r="BP145" s="55"/>
      <c r="BQ145" s="55"/>
      <c r="BR145" s="55"/>
      <c r="BS145" s="55"/>
      <c r="BT145" s="55"/>
      <c r="BU145" s="55"/>
      <c r="BV145" s="55"/>
      <c r="BW145" s="55"/>
      <c r="BX145" s="55"/>
      <c r="BY145" s="55"/>
      <c r="BZ145" s="55"/>
      <c r="CA145" s="55"/>
      <c r="CB145" s="55"/>
      <c r="CC145" s="55"/>
      <c r="CD145" s="55"/>
      <c r="CE145" s="55"/>
      <c r="CF145" s="55"/>
      <c r="CG145" s="55"/>
      <c r="CH145" s="55"/>
      <c r="CI145" s="55"/>
      <c r="CJ145" s="55"/>
      <c r="CK145" s="55"/>
      <c r="CL145" s="55"/>
      <c r="CM145" s="55"/>
      <c r="CN145" s="55"/>
      <c r="CO145" s="55"/>
      <c r="CP145" s="55"/>
      <c r="CQ145" s="55"/>
      <c r="CR145" s="55"/>
      <c r="CS145" s="55"/>
      <c r="CT145" s="55"/>
      <c r="CU145" s="55"/>
      <c r="CV145" s="55"/>
      <c r="CW145" s="55"/>
      <c r="CX145" s="55"/>
      <c r="CY145" s="55"/>
      <c r="CZ145" s="55"/>
      <c r="DA145" s="55"/>
      <c r="DB145" s="55"/>
      <c r="DC145" s="55"/>
      <c r="DD145" s="55"/>
      <c r="DE145" s="55"/>
      <c r="DF145" s="55"/>
      <c r="DG145" s="55"/>
      <c r="DH145" s="55"/>
      <c r="DI145" s="55"/>
    </row>
    <row r="146" spans="1:113" x14ac:dyDescent="0.25">
      <c r="A146" s="152">
        <v>20</v>
      </c>
      <c r="B146" s="60" t="s">
        <v>321</v>
      </c>
      <c r="C146" s="80">
        <v>8000</v>
      </c>
      <c r="D146" s="142">
        <v>2060.62</v>
      </c>
      <c r="E146" s="43">
        <v>143</v>
      </c>
      <c r="F146" s="60"/>
      <c r="G146" s="139">
        <f t="shared" si="33"/>
        <v>143</v>
      </c>
      <c r="H146" s="55"/>
      <c r="I146" s="56">
        <f t="shared" si="34"/>
        <v>143</v>
      </c>
      <c r="J146" s="56">
        <f t="shared" si="35"/>
        <v>1144000</v>
      </c>
      <c r="K146" s="57">
        <f t="shared" si="36"/>
        <v>294668.65999999997</v>
      </c>
      <c r="L146"/>
      <c r="M146" s="314">
        <f t="shared" si="32"/>
        <v>0</v>
      </c>
      <c r="N146" s="310"/>
      <c r="O146" s="315"/>
      <c r="P146" s="315"/>
      <c r="Q146" s="315"/>
      <c r="R146" s="315"/>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c r="BM146" s="55"/>
      <c r="BN146" s="55"/>
      <c r="BO146" s="55"/>
      <c r="BP146" s="55"/>
      <c r="BQ146" s="55"/>
      <c r="BR146" s="55"/>
      <c r="BS146" s="55"/>
      <c r="BT146" s="55"/>
      <c r="BU146" s="55"/>
      <c r="BV146" s="55"/>
      <c r="BW146" s="55"/>
      <c r="BX146" s="55"/>
      <c r="BY146" s="55"/>
      <c r="BZ146" s="55"/>
      <c r="CA146" s="55"/>
      <c r="CB146" s="55"/>
      <c r="CC146" s="55"/>
      <c r="CD146" s="55"/>
      <c r="CE146" s="55"/>
      <c r="CF146" s="55"/>
      <c r="CG146" s="55"/>
      <c r="CH146" s="55"/>
      <c r="CI146" s="55"/>
      <c r="CJ146" s="55"/>
      <c r="CK146" s="55"/>
      <c r="CL146" s="55"/>
      <c r="CM146" s="55"/>
      <c r="CN146" s="55"/>
      <c r="CO146" s="55"/>
      <c r="CP146" s="55"/>
      <c r="CQ146" s="55"/>
      <c r="CR146" s="55"/>
      <c r="CS146" s="55"/>
      <c r="CT146" s="55"/>
      <c r="CU146" s="55"/>
      <c r="CV146" s="55"/>
      <c r="CW146" s="55"/>
      <c r="CX146" s="55"/>
      <c r="CY146" s="55"/>
      <c r="CZ146" s="55"/>
      <c r="DA146" s="55"/>
      <c r="DB146" s="55"/>
      <c r="DC146" s="55"/>
      <c r="DD146" s="55"/>
      <c r="DE146" s="55"/>
      <c r="DF146" s="55"/>
      <c r="DG146" s="55"/>
      <c r="DH146" s="55"/>
      <c r="DI146" s="55"/>
    </row>
    <row r="147" spans="1:113" x14ac:dyDescent="0.25">
      <c r="A147" s="152">
        <v>21</v>
      </c>
      <c r="B147" s="60" t="s">
        <v>322</v>
      </c>
      <c r="C147" s="80">
        <v>8000</v>
      </c>
      <c r="D147" s="142">
        <v>1684.62</v>
      </c>
      <c r="E147" s="43">
        <v>154</v>
      </c>
      <c r="F147" s="60"/>
      <c r="G147" s="139">
        <f t="shared" si="33"/>
        <v>154</v>
      </c>
      <c r="H147" s="55"/>
      <c r="I147" s="56">
        <f t="shared" si="34"/>
        <v>154</v>
      </c>
      <c r="J147" s="56">
        <f t="shared" si="35"/>
        <v>1232000</v>
      </c>
      <c r="K147" s="57">
        <f t="shared" si="36"/>
        <v>259431.47999999998</v>
      </c>
      <c r="L147"/>
      <c r="M147" s="314">
        <f t="shared" si="32"/>
        <v>0</v>
      </c>
      <c r="N147" s="310"/>
      <c r="O147" s="315"/>
      <c r="P147" s="315"/>
      <c r="Q147" s="315"/>
      <c r="R147" s="315"/>
      <c r="S147" s="5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c r="BM147" s="55"/>
      <c r="BN147" s="55"/>
      <c r="BO147" s="55"/>
      <c r="BP147" s="55"/>
      <c r="BQ147" s="55"/>
      <c r="BR147" s="55"/>
      <c r="BS147" s="55"/>
      <c r="BT147" s="55"/>
      <c r="BU147" s="55"/>
      <c r="BV147" s="55"/>
      <c r="BW147" s="55"/>
      <c r="BX147" s="55"/>
      <c r="BY147" s="55"/>
      <c r="BZ147" s="55"/>
      <c r="CA147" s="55"/>
      <c r="CB147" s="55"/>
      <c r="CC147" s="55"/>
      <c r="CD147" s="55"/>
      <c r="CE147" s="55"/>
      <c r="CF147" s="55"/>
      <c r="CG147" s="55"/>
      <c r="CH147" s="55"/>
      <c r="CI147" s="55"/>
      <c r="CJ147" s="55"/>
      <c r="CK147" s="55"/>
      <c r="CL147" s="55"/>
      <c r="CM147" s="55"/>
      <c r="CN147" s="55"/>
      <c r="CO147" s="55"/>
      <c r="CP147" s="55"/>
      <c r="CQ147" s="55"/>
      <c r="CR147" s="55"/>
      <c r="CS147" s="55"/>
      <c r="CT147" s="55"/>
      <c r="CU147" s="55"/>
      <c r="CV147" s="55"/>
      <c r="CW147" s="55"/>
      <c r="CX147" s="55"/>
      <c r="CY147" s="55"/>
      <c r="CZ147" s="55"/>
      <c r="DA147" s="55"/>
      <c r="DB147" s="55"/>
      <c r="DC147" s="55"/>
      <c r="DD147" s="55"/>
      <c r="DE147" s="55"/>
      <c r="DF147" s="55"/>
      <c r="DG147" s="55"/>
      <c r="DH147" s="55"/>
      <c r="DI147" s="55"/>
    </row>
    <row r="148" spans="1:113" x14ac:dyDescent="0.25">
      <c r="A148" s="152">
        <v>22</v>
      </c>
      <c r="B148" s="60" t="s">
        <v>323</v>
      </c>
      <c r="C148" s="80">
        <v>5000</v>
      </c>
      <c r="D148" s="142">
        <v>1261.21</v>
      </c>
      <c r="E148" s="43">
        <v>0</v>
      </c>
      <c r="F148" s="60"/>
      <c r="G148" s="139">
        <f t="shared" si="33"/>
        <v>0</v>
      </c>
      <c r="H148" s="55">
        <f>14-14</f>
        <v>0</v>
      </c>
      <c r="I148" s="56">
        <f t="shared" si="34"/>
        <v>0</v>
      </c>
      <c r="J148" s="56">
        <f t="shared" si="35"/>
        <v>0</v>
      </c>
      <c r="K148" s="57">
        <f t="shared" si="36"/>
        <v>0</v>
      </c>
      <c r="L148"/>
      <c r="M148" s="314">
        <f t="shared" si="32"/>
        <v>0</v>
      </c>
      <c r="N148" s="310"/>
      <c r="O148" s="315"/>
      <c r="P148" s="315"/>
      <c r="Q148" s="315"/>
      <c r="R148" s="315"/>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c r="BM148" s="55"/>
      <c r="BN148" s="55"/>
      <c r="BO148" s="55"/>
      <c r="BP148" s="55"/>
      <c r="BQ148" s="55"/>
      <c r="BR148" s="55"/>
      <c r="BS148" s="55"/>
      <c r="BT148" s="55"/>
      <c r="BU148" s="55"/>
      <c r="BV148" s="55"/>
      <c r="BW148" s="55"/>
      <c r="BX148" s="55"/>
      <c r="BY148" s="55"/>
      <c r="BZ148" s="55"/>
      <c r="CA148" s="55"/>
      <c r="CB148" s="55"/>
      <c r="CC148" s="55"/>
      <c r="CD148" s="55"/>
      <c r="CE148" s="55"/>
      <c r="CF148" s="55"/>
      <c r="CG148" s="55"/>
      <c r="CH148" s="55"/>
      <c r="CI148" s="55"/>
      <c r="CJ148" s="55"/>
      <c r="CK148" s="55"/>
      <c r="CL148" s="55"/>
      <c r="CM148" s="55"/>
      <c r="CN148" s="55"/>
      <c r="CO148" s="55"/>
      <c r="CP148" s="55"/>
      <c r="CQ148" s="55"/>
      <c r="CR148" s="55"/>
      <c r="CS148" s="55"/>
      <c r="CT148" s="55"/>
      <c r="CU148" s="55"/>
      <c r="CV148" s="55"/>
      <c r="CW148" s="55"/>
      <c r="CX148" s="55"/>
      <c r="CY148" s="55"/>
      <c r="CZ148" s="55"/>
      <c r="DA148" s="55"/>
      <c r="DB148" s="55"/>
      <c r="DC148" s="55"/>
      <c r="DD148" s="55"/>
      <c r="DE148" s="55"/>
      <c r="DF148" s="55"/>
      <c r="DG148" s="55"/>
      <c r="DH148" s="55"/>
      <c r="DI148" s="55"/>
    </row>
    <row r="149" spans="1:113" x14ac:dyDescent="0.25">
      <c r="A149" s="152">
        <v>23</v>
      </c>
      <c r="B149" s="221" t="s">
        <v>324</v>
      </c>
      <c r="C149" s="80">
        <v>4500</v>
      </c>
      <c r="D149" s="142">
        <v>1602.87</v>
      </c>
      <c r="E149" s="43">
        <v>497</v>
      </c>
      <c r="F149" s="60"/>
      <c r="G149" s="139">
        <f t="shared" si="33"/>
        <v>497</v>
      </c>
      <c r="H149" s="55"/>
      <c r="I149" s="56">
        <f t="shared" si="34"/>
        <v>497</v>
      </c>
      <c r="J149" s="56">
        <f t="shared" si="35"/>
        <v>2236500</v>
      </c>
      <c r="K149" s="57">
        <f t="shared" si="36"/>
        <v>796626.3899999999</v>
      </c>
      <c r="L149"/>
      <c r="M149" s="314">
        <f t="shared" si="32"/>
        <v>0</v>
      </c>
      <c r="N149" s="310"/>
      <c r="O149" s="315"/>
      <c r="P149" s="315"/>
      <c r="Q149" s="315"/>
      <c r="R149" s="315"/>
      <c r="S149" s="5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c r="BM149" s="55"/>
      <c r="BN149" s="55"/>
      <c r="BO149" s="55"/>
      <c r="BP149" s="55"/>
      <c r="BQ149" s="55"/>
      <c r="BR149" s="55"/>
      <c r="BS149" s="55"/>
      <c r="BT149" s="55"/>
      <c r="BU149" s="55"/>
      <c r="BV149" s="55"/>
      <c r="BW149" s="55"/>
      <c r="BX149" s="55"/>
      <c r="BY149" s="55"/>
      <c r="BZ149" s="55"/>
      <c r="CA149" s="55"/>
      <c r="CB149" s="55"/>
      <c r="CC149" s="55"/>
      <c r="CD149" s="55"/>
      <c r="CE149" s="55"/>
      <c r="CF149" s="55"/>
      <c r="CG149" s="55"/>
      <c r="CH149" s="55"/>
      <c r="CI149" s="55"/>
      <c r="CJ149" s="55"/>
      <c r="CK149" s="55"/>
      <c r="CL149" s="55"/>
      <c r="CM149" s="55"/>
      <c r="CN149" s="55"/>
      <c r="CO149" s="55"/>
      <c r="CP149" s="55"/>
      <c r="CQ149" s="55"/>
      <c r="CR149" s="55"/>
      <c r="CS149" s="55"/>
      <c r="CT149" s="55"/>
      <c r="CU149" s="55"/>
      <c r="CV149" s="55"/>
      <c r="CW149" s="55"/>
      <c r="CX149" s="55"/>
      <c r="CY149" s="55"/>
      <c r="CZ149" s="55"/>
      <c r="DA149" s="55"/>
      <c r="DB149" s="55"/>
      <c r="DC149" s="55"/>
      <c r="DD149" s="55"/>
      <c r="DE149" s="55"/>
      <c r="DF149" s="55"/>
      <c r="DG149" s="55"/>
      <c r="DH149" s="55"/>
      <c r="DI149" s="55"/>
    </row>
    <row r="150" spans="1:113" x14ac:dyDescent="0.25">
      <c r="A150" s="152">
        <v>24</v>
      </c>
      <c r="B150" s="221" t="s">
        <v>325</v>
      </c>
      <c r="C150" s="80">
        <v>4500</v>
      </c>
      <c r="D150" s="142">
        <v>1602.87</v>
      </c>
      <c r="E150" s="43">
        <v>497</v>
      </c>
      <c r="F150" s="60"/>
      <c r="G150" s="139">
        <f t="shared" si="33"/>
        <v>497</v>
      </c>
      <c r="H150" s="55"/>
      <c r="I150" s="56">
        <f t="shared" si="34"/>
        <v>497</v>
      </c>
      <c r="J150" s="56">
        <f t="shared" si="35"/>
        <v>2236500</v>
      </c>
      <c r="K150" s="57">
        <f t="shared" si="36"/>
        <v>796626.3899999999</v>
      </c>
      <c r="L150"/>
      <c r="M150" s="314">
        <f t="shared" si="32"/>
        <v>0</v>
      </c>
      <c r="N150" s="310"/>
      <c r="O150" s="315"/>
      <c r="P150" s="315"/>
      <c r="Q150" s="315"/>
      <c r="R150" s="315"/>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c r="BP150" s="55"/>
      <c r="BQ150" s="55"/>
      <c r="BR150" s="55"/>
      <c r="BS150" s="55"/>
      <c r="BT150" s="55"/>
      <c r="BU150" s="55"/>
      <c r="BV150" s="55"/>
      <c r="BW150" s="55"/>
      <c r="BX150" s="55"/>
      <c r="BY150" s="55"/>
      <c r="BZ150" s="55"/>
      <c r="CA150" s="55"/>
      <c r="CB150" s="55"/>
      <c r="CC150" s="55"/>
      <c r="CD150" s="55"/>
      <c r="CE150" s="55"/>
      <c r="CF150" s="55"/>
      <c r="CG150" s="55"/>
      <c r="CH150" s="55"/>
      <c r="CI150" s="55"/>
      <c r="CJ150" s="55"/>
      <c r="CK150" s="55"/>
      <c r="CL150" s="55"/>
      <c r="CM150" s="55"/>
      <c r="CN150" s="55"/>
      <c r="CO150" s="55"/>
      <c r="CP150" s="55"/>
      <c r="CQ150" s="55"/>
      <c r="CR150" s="55"/>
      <c r="CS150" s="55"/>
      <c r="CT150" s="55"/>
      <c r="CU150" s="55"/>
      <c r="CV150" s="55"/>
      <c r="CW150" s="55"/>
      <c r="CX150" s="55"/>
      <c r="CY150" s="55"/>
      <c r="CZ150" s="55"/>
      <c r="DA150" s="55"/>
      <c r="DB150" s="55"/>
      <c r="DC150" s="55"/>
      <c r="DD150" s="55"/>
      <c r="DE150" s="55"/>
      <c r="DF150" s="55"/>
      <c r="DG150" s="55"/>
      <c r="DH150" s="55"/>
      <c r="DI150" s="55"/>
    </row>
    <row r="151" spans="1:113" x14ac:dyDescent="0.25">
      <c r="A151" s="152">
        <v>25</v>
      </c>
      <c r="B151" s="221" t="s">
        <v>326</v>
      </c>
      <c r="C151" s="80">
        <v>4500</v>
      </c>
      <c r="D151" s="142">
        <v>1602.87</v>
      </c>
      <c r="E151" s="43">
        <v>497</v>
      </c>
      <c r="F151" s="60"/>
      <c r="G151" s="139">
        <f t="shared" si="33"/>
        <v>497</v>
      </c>
      <c r="H151" s="55"/>
      <c r="I151" s="56">
        <f t="shared" si="34"/>
        <v>497</v>
      </c>
      <c r="J151" s="56">
        <f t="shared" si="35"/>
        <v>2236500</v>
      </c>
      <c r="K151" s="57">
        <f t="shared" si="36"/>
        <v>796626.3899999999</v>
      </c>
      <c r="L151"/>
      <c r="M151" s="314">
        <f t="shared" si="32"/>
        <v>0</v>
      </c>
      <c r="N151" s="310"/>
      <c r="O151" s="315"/>
      <c r="P151" s="315"/>
      <c r="Q151" s="315"/>
      <c r="R151" s="315"/>
      <c r="S151" s="5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c r="BM151" s="55"/>
      <c r="BN151" s="55"/>
      <c r="BO151" s="55"/>
      <c r="BP151" s="55"/>
      <c r="BQ151" s="55"/>
      <c r="BR151" s="55"/>
      <c r="BS151" s="55"/>
      <c r="BT151" s="55"/>
      <c r="BU151" s="55"/>
      <c r="BV151" s="55"/>
      <c r="BW151" s="55"/>
      <c r="BX151" s="55"/>
      <c r="BY151" s="55"/>
      <c r="BZ151" s="55"/>
      <c r="CA151" s="55"/>
      <c r="CB151" s="55"/>
      <c r="CC151" s="55"/>
      <c r="CD151" s="55"/>
      <c r="CE151" s="55"/>
      <c r="CF151" s="55"/>
      <c r="CG151" s="55"/>
      <c r="CH151" s="55"/>
      <c r="CI151" s="55"/>
      <c r="CJ151" s="55"/>
      <c r="CK151" s="55"/>
      <c r="CL151" s="55"/>
      <c r="CM151" s="55"/>
      <c r="CN151" s="55"/>
      <c r="CO151" s="55"/>
      <c r="CP151" s="55"/>
      <c r="CQ151" s="55"/>
      <c r="CR151" s="55"/>
      <c r="CS151" s="55"/>
      <c r="CT151" s="55"/>
      <c r="CU151" s="55"/>
      <c r="CV151" s="55"/>
      <c r="CW151" s="55"/>
      <c r="CX151" s="55"/>
      <c r="CY151" s="55"/>
      <c r="CZ151" s="55"/>
      <c r="DA151" s="55"/>
      <c r="DB151" s="55"/>
      <c r="DC151" s="55"/>
      <c r="DD151" s="55"/>
      <c r="DE151" s="55"/>
      <c r="DF151" s="55"/>
      <c r="DG151" s="55"/>
      <c r="DH151" s="55"/>
      <c r="DI151" s="55"/>
    </row>
    <row r="152" spans="1:113" x14ac:dyDescent="0.25">
      <c r="A152" s="152">
        <v>26</v>
      </c>
      <c r="B152" s="221" t="s">
        <v>327</v>
      </c>
      <c r="C152" s="80">
        <v>4500</v>
      </c>
      <c r="D152" s="142">
        <v>1602.87</v>
      </c>
      <c r="E152" s="43">
        <v>497</v>
      </c>
      <c r="F152" s="60"/>
      <c r="G152" s="139">
        <f t="shared" si="33"/>
        <v>497</v>
      </c>
      <c r="H152" s="55"/>
      <c r="I152" s="56">
        <f t="shared" si="34"/>
        <v>497</v>
      </c>
      <c r="J152" s="56">
        <f t="shared" si="35"/>
        <v>2236500</v>
      </c>
      <c r="K152" s="57">
        <f t="shared" si="36"/>
        <v>796626.3899999999</v>
      </c>
      <c r="L152"/>
      <c r="M152" s="314">
        <f t="shared" si="32"/>
        <v>0</v>
      </c>
      <c r="N152" s="310"/>
      <c r="O152" s="315"/>
      <c r="P152" s="315"/>
      <c r="Q152" s="315"/>
      <c r="R152" s="31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5"/>
      <c r="AS152" s="55"/>
      <c r="AT152" s="55"/>
      <c r="AU152" s="55"/>
      <c r="AV152" s="55"/>
      <c r="AW152" s="55"/>
      <c r="AX152" s="55"/>
      <c r="AY152" s="55"/>
      <c r="AZ152" s="55"/>
      <c r="BA152" s="55"/>
      <c r="BB152" s="55"/>
      <c r="BC152" s="55"/>
      <c r="BD152" s="55"/>
      <c r="BE152" s="55"/>
      <c r="BF152" s="55"/>
      <c r="BG152" s="55"/>
      <c r="BH152" s="55"/>
      <c r="BI152" s="55"/>
      <c r="BJ152" s="55"/>
      <c r="BK152" s="55"/>
      <c r="BL152" s="55"/>
      <c r="BM152" s="55"/>
      <c r="BN152" s="55"/>
      <c r="BO152" s="55"/>
      <c r="BP152" s="55"/>
      <c r="BQ152" s="55"/>
      <c r="BR152" s="55"/>
      <c r="BS152" s="55"/>
      <c r="BT152" s="55"/>
      <c r="BU152" s="55"/>
      <c r="BV152" s="55"/>
      <c r="BW152" s="55"/>
      <c r="BX152" s="55"/>
      <c r="BY152" s="55"/>
      <c r="BZ152" s="55"/>
      <c r="CA152" s="55"/>
      <c r="CB152" s="55"/>
      <c r="CC152" s="55"/>
      <c r="CD152" s="55"/>
      <c r="CE152" s="55"/>
      <c r="CF152" s="55"/>
      <c r="CG152" s="55"/>
      <c r="CH152" s="55"/>
      <c r="CI152" s="55"/>
      <c r="CJ152" s="55"/>
      <c r="CK152" s="55"/>
      <c r="CL152" s="55"/>
      <c r="CM152" s="55"/>
      <c r="CN152" s="55"/>
      <c r="CO152" s="55"/>
      <c r="CP152" s="55"/>
      <c r="CQ152" s="55"/>
      <c r="CR152" s="55"/>
      <c r="CS152" s="55"/>
      <c r="CT152" s="55"/>
      <c r="CU152" s="55"/>
      <c r="CV152" s="55"/>
      <c r="CW152" s="55"/>
      <c r="CX152" s="55"/>
      <c r="CY152" s="55"/>
      <c r="CZ152" s="55"/>
      <c r="DA152" s="55"/>
      <c r="DB152" s="55"/>
      <c r="DC152" s="55"/>
      <c r="DD152" s="55"/>
      <c r="DE152" s="55"/>
      <c r="DF152" s="55"/>
      <c r="DG152" s="55"/>
      <c r="DH152" s="55"/>
      <c r="DI152" s="55"/>
    </row>
    <row r="153" spans="1:113" x14ac:dyDescent="0.25">
      <c r="A153" s="152">
        <v>27</v>
      </c>
      <c r="B153" s="221" t="s">
        <v>328</v>
      </c>
      <c r="C153" s="80">
        <v>4500</v>
      </c>
      <c r="D153" s="142">
        <v>1602.87</v>
      </c>
      <c r="E153" s="43">
        <v>497</v>
      </c>
      <c r="F153" s="60"/>
      <c r="G153" s="139">
        <f t="shared" si="33"/>
        <v>497</v>
      </c>
      <c r="H153" s="55"/>
      <c r="I153" s="56">
        <f t="shared" si="34"/>
        <v>497</v>
      </c>
      <c r="J153" s="56">
        <f t="shared" si="35"/>
        <v>2236500</v>
      </c>
      <c r="K153" s="57">
        <f t="shared" si="36"/>
        <v>796626.3899999999</v>
      </c>
      <c r="L153"/>
      <c r="M153" s="314">
        <f t="shared" si="32"/>
        <v>0</v>
      </c>
      <c r="N153" s="310"/>
      <c r="O153" s="315"/>
      <c r="P153" s="315"/>
      <c r="Q153" s="315"/>
      <c r="R153" s="315"/>
      <c r="S153" s="55"/>
      <c r="T153" s="55"/>
      <c r="U153" s="55"/>
      <c r="V153" s="55"/>
      <c r="W153" s="55"/>
      <c r="X153" s="55"/>
      <c r="Y153" s="55"/>
      <c r="Z153" s="55"/>
      <c r="AA153" s="55"/>
      <c r="AB153" s="55"/>
      <c r="AC153" s="55"/>
      <c r="AD153" s="55"/>
      <c r="AE153" s="55"/>
      <c r="AF153" s="55"/>
      <c r="AG153" s="55"/>
      <c r="AH153" s="55"/>
      <c r="AI153" s="55"/>
      <c r="AJ153" s="55"/>
      <c r="AK153" s="55"/>
      <c r="AL153" s="55"/>
      <c r="AM153" s="55"/>
      <c r="AN153" s="55"/>
      <c r="AO153" s="55"/>
      <c r="AP153" s="55"/>
      <c r="AQ153" s="55"/>
      <c r="AR153" s="55"/>
      <c r="AS153" s="55"/>
      <c r="AT153" s="55"/>
      <c r="AU153" s="55"/>
      <c r="AV153" s="55"/>
      <c r="AW153" s="55"/>
      <c r="AX153" s="55"/>
      <c r="AY153" s="55"/>
      <c r="AZ153" s="55"/>
      <c r="BA153" s="55"/>
      <c r="BB153" s="55"/>
      <c r="BC153" s="55"/>
      <c r="BD153" s="55"/>
      <c r="BE153" s="55"/>
      <c r="BF153" s="55"/>
      <c r="BG153" s="55"/>
      <c r="BH153" s="55"/>
      <c r="BI153" s="55"/>
      <c r="BJ153" s="55"/>
      <c r="BK153" s="55"/>
      <c r="BL153" s="55"/>
      <c r="BM153" s="55"/>
      <c r="BN153" s="55"/>
      <c r="BO153" s="55"/>
      <c r="BP153" s="55"/>
      <c r="BQ153" s="55"/>
      <c r="BR153" s="55"/>
      <c r="BS153" s="55"/>
      <c r="BT153" s="55"/>
      <c r="BU153" s="55"/>
      <c r="BV153" s="55"/>
      <c r="BW153" s="55"/>
      <c r="BX153" s="55"/>
      <c r="BY153" s="55"/>
      <c r="BZ153" s="55"/>
      <c r="CA153" s="55"/>
      <c r="CB153" s="55"/>
      <c r="CC153" s="55"/>
      <c r="CD153" s="55"/>
      <c r="CE153" s="55"/>
      <c r="CF153" s="55"/>
      <c r="CG153" s="55"/>
      <c r="CH153" s="55"/>
      <c r="CI153" s="55"/>
      <c r="CJ153" s="55"/>
      <c r="CK153" s="55"/>
      <c r="CL153" s="55"/>
      <c r="CM153" s="55"/>
      <c r="CN153" s="55"/>
      <c r="CO153" s="55"/>
      <c r="CP153" s="55"/>
      <c r="CQ153" s="55"/>
      <c r="CR153" s="55"/>
      <c r="CS153" s="55"/>
      <c r="CT153" s="55"/>
      <c r="CU153" s="55"/>
      <c r="CV153" s="55"/>
      <c r="CW153" s="55"/>
      <c r="CX153" s="55"/>
      <c r="CY153" s="55"/>
      <c r="CZ153" s="55"/>
      <c r="DA153" s="55"/>
      <c r="DB153" s="55"/>
      <c r="DC153" s="55"/>
      <c r="DD153" s="55"/>
      <c r="DE153" s="55"/>
      <c r="DF153" s="55"/>
      <c r="DG153" s="55"/>
      <c r="DH153" s="55"/>
      <c r="DI153" s="55"/>
    </row>
    <row r="154" spans="1:113" x14ac:dyDescent="0.25">
      <c r="A154" s="152">
        <v>28</v>
      </c>
      <c r="B154" s="221" t="s">
        <v>329</v>
      </c>
      <c r="C154" s="80">
        <v>4500</v>
      </c>
      <c r="D154" s="142">
        <v>1602.87</v>
      </c>
      <c r="E154" s="43">
        <v>497</v>
      </c>
      <c r="F154" s="60"/>
      <c r="G154" s="139">
        <f t="shared" si="33"/>
        <v>497</v>
      </c>
      <c r="H154" s="55"/>
      <c r="I154" s="56">
        <f t="shared" si="34"/>
        <v>497</v>
      </c>
      <c r="J154" s="56">
        <f t="shared" si="35"/>
        <v>2236500</v>
      </c>
      <c r="K154" s="57">
        <f t="shared" si="36"/>
        <v>796626.3899999999</v>
      </c>
      <c r="L154"/>
      <c r="M154" s="314">
        <f t="shared" si="32"/>
        <v>0</v>
      </c>
      <c r="N154" s="310"/>
      <c r="O154" s="315"/>
      <c r="P154" s="315"/>
      <c r="Q154" s="315"/>
      <c r="R154" s="315"/>
      <c r="S154" s="55"/>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c r="AT154" s="55"/>
      <c r="AU154" s="55"/>
      <c r="AV154" s="55"/>
      <c r="AW154" s="55"/>
      <c r="AX154" s="55"/>
      <c r="AY154" s="55"/>
      <c r="AZ154" s="55"/>
      <c r="BA154" s="55"/>
      <c r="BB154" s="55"/>
      <c r="BC154" s="55"/>
      <c r="BD154" s="55"/>
      <c r="BE154" s="55"/>
      <c r="BF154" s="55"/>
      <c r="BG154" s="55"/>
      <c r="BH154" s="55"/>
      <c r="BI154" s="55"/>
      <c r="BJ154" s="55"/>
      <c r="BK154" s="55"/>
      <c r="BL154" s="55"/>
      <c r="BM154" s="55"/>
      <c r="BN154" s="55"/>
      <c r="BO154" s="55"/>
      <c r="BP154" s="55"/>
      <c r="BQ154" s="55"/>
      <c r="BR154" s="55"/>
      <c r="BS154" s="55"/>
      <c r="BT154" s="55"/>
      <c r="BU154" s="55"/>
      <c r="BV154" s="55"/>
      <c r="BW154" s="55"/>
      <c r="BX154" s="55"/>
      <c r="BY154" s="55"/>
      <c r="BZ154" s="55"/>
      <c r="CA154" s="55"/>
      <c r="CB154" s="55"/>
      <c r="CC154" s="55"/>
      <c r="CD154" s="55"/>
      <c r="CE154" s="55"/>
      <c r="CF154" s="55"/>
      <c r="CG154" s="55"/>
      <c r="CH154" s="55"/>
      <c r="CI154" s="55"/>
      <c r="CJ154" s="55"/>
      <c r="CK154" s="55"/>
      <c r="CL154" s="55"/>
      <c r="CM154" s="55"/>
      <c r="CN154" s="55"/>
      <c r="CO154" s="55"/>
      <c r="CP154" s="55"/>
      <c r="CQ154" s="55"/>
      <c r="CR154" s="55"/>
      <c r="CS154" s="55"/>
      <c r="CT154" s="55"/>
      <c r="CU154" s="55"/>
      <c r="CV154" s="55"/>
      <c r="CW154" s="55"/>
      <c r="CX154" s="55"/>
      <c r="CY154" s="55"/>
      <c r="CZ154" s="55"/>
      <c r="DA154" s="55"/>
      <c r="DB154" s="55"/>
      <c r="DC154" s="55"/>
      <c r="DD154" s="55"/>
      <c r="DE154" s="55"/>
      <c r="DF154" s="55"/>
      <c r="DG154" s="55"/>
      <c r="DH154" s="55"/>
      <c r="DI154" s="55"/>
    </row>
    <row r="155" spans="1:113" x14ac:dyDescent="0.25">
      <c r="A155" s="152">
        <v>29</v>
      </c>
      <c r="B155" s="221" t="s">
        <v>330</v>
      </c>
      <c r="C155" s="80">
        <v>4500</v>
      </c>
      <c r="D155" s="142">
        <v>1602.87</v>
      </c>
      <c r="E155" s="43">
        <v>497</v>
      </c>
      <c r="F155" s="60"/>
      <c r="G155" s="139">
        <f t="shared" si="33"/>
        <v>497</v>
      </c>
      <c r="H155" s="55"/>
      <c r="I155" s="56">
        <f t="shared" si="34"/>
        <v>497</v>
      </c>
      <c r="J155" s="56">
        <f t="shared" si="35"/>
        <v>2236500</v>
      </c>
      <c r="K155" s="57">
        <f t="shared" si="36"/>
        <v>796626.3899999999</v>
      </c>
      <c r="L155"/>
      <c r="M155" s="314">
        <f t="shared" si="32"/>
        <v>0</v>
      </c>
      <c r="N155" s="310"/>
      <c r="O155" s="315"/>
      <c r="P155" s="315"/>
      <c r="Q155" s="315"/>
      <c r="R155" s="315"/>
      <c r="S155" s="55"/>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c r="AS155" s="55"/>
      <c r="AT155" s="55"/>
      <c r="AU155" s="55"/>
      <c r="AV155" s="55"/>
      <c r="AW155" s="55"/>
      <c r="AX155" s="55"/>
      <c r="AY155" s="55"/>
      <c r="AZ155" s="55"/>
      <c r="BA155" s="55"/>
      <c r="BB155" s="55"/>
      <c r="BC155" s="55"/>
      <c r="BD155" s="55"/>
      <c r="BE155" s="55"/>
      <c r="BF155" s="55"/>
      <c r="BG155" s="55"/>
      <c r="BH155" s="55"/>
      <c r="BI155" s="55"/>
      <c r="BJ155" s="55"/>
      <c r="BK155" s="55"/>
      <c r="BL155" s="55"/>
      <c r="BM155" s="55"/>
      <c r="BN155" s="55"/>
      <c r="BO155" s="55"/>
      <c r="BP155" s="55"/>
      <c r="BQ155" s="55"/>
      <c r="BR155" s="55"/>
      <c r="BS155" s="55"/>
      <c r="BT155" s="55"/>
      <c r="BU155" s="55"/>
      <c r="BV155" s="55"/>
      <c r="BW155" s="55"/>
      <c r="BX155" s="55"/>
      <c r="BY155" s="55"/>
      <c r="BZ155" s="55"/>
      <c r="CA155" s="55"/>
      <c r="CB155" s="55"/>
      <c r="CC155" s="55"/>
      <c r="CD155" s="55"/>
      <c r="CE155" s="55"/>
      <c r="CF155" s="55"/>
      <c r="CG155" s="55"/>
      <c r="CH155" s="55"/>
      <c r="CI155" s="55"/>
      <c r="CJ155" s="55"/>
      <c r="CK155" s="55"/>
      <c r="CL155" s="55"/>
      <c r="CM155" s="55"/>
      <c r="CN155" s="55"/>
      <c r="CO155" s="55"/>
      <c r="CP155" s="55"/>
      <c r="CQ155" s="55"/>
      <c r="CR155" s="55"/>
      <c r="CS155" s="55"/>
      <c r="CT155" s="55"/>
      <c r="CU155" s="55"/>
      <c r="CV155" s="55"/>
      <c r="CW155" s="55"/>
      <c r="CX155" s="55"/>
      <c r="CY155" s="55"/>
      <c r="CZ155" s="55"/>
      <c r="DA155" s="55"/>
      <c r="DB155" s="55"/>
      <c r="DC155" s="55"/>
      <c r="DD155" s="55"/>
      <c r="DE155" s="55"/>
      <c r="DF155" s="55"/>
      <c r="DG155" s="55"/>
      <c r="DH155" s="55"/>
      <c r="DI155" s="55"/>
    </row>
    <row r="156" spans="1:113" x14ac:dyDescent="0.25">
      <c r="A156" s="152">
        <v>30</v>
      </c>
      <c r="B156" s="221" t="s">
        <v>331</v>
      </c>
      <c r="C156" s="80">
        <v>4500</v>
      </c>
      <c r="D156" s="142">
        <v>1602.87</v>
      </c>
      <c r="E156" s="43">
        <v>497</v>
      </c>
      <c r="F156" s="60"/>
      <c r="G156" s="139">
        <f t="shared" si="33"/>
        <v>497</v>
      </c>
      <c r="H156" s="55"/>
      <c r="I156" s="56">
        <f t="shared" si="34"/>
        <v>497</v>
      </c>
      <c r="J156" s="56">
        <f t="shared" si="35"/>
        <v>2236500</v>
      </c>
      <c r="K156" s="57">
        <f t="shared" si="36"/>
        <v>796626.3899999999</v>
      </c>
      <c r="L156"/>
      <c r="M156" s="314">
        <f t="shared" si="32"/>
        <v>0</v>
      </c>
      <c r="N156" s="310"/>
      <c r="O156" s="315"/>
      <c r="P156" s="315"/>
      <c r="Q156" s="315"/>
      <c r="R156" s="315"/>
      <c r="S156" s="55"/>
      <c r="T156" s="55"/>
      <c r="U156" s="55"/>
      <c r="V156" s="55"/>
      <c r="W156" s="55"/>
      <c r="X156" s="55"/>
      <c r="Y156" s="55"/>
      <c r="Z156" s="55"/>
      <c r="AA156" s="55"/>
      <c r="AB156" s="55"/>
      <c r="AC156" s="55"/>
      <c r="AD156" s="55"/>
      <c r="AE156" s="55"/>
      <c r="AF156" s="55"/>
      <c r="AG156" s="55"/>
      <c r="AH156" s="55"/>
      <c r="AI156" s="55"/>
      <c r="AJ156" s="55"/>
      <c r="AK156" s="55"/>
      <c r="AL156" s="55"/>
      <c r="AM156" s="55"/>
      <c r="AN156" s="55"/>
      <c r="AO156" s="55"/>
      <c r="AP156" s="55"/>
      <c r="AQ156" s="55"/>
      <c r="AR156" s="55"/>
      <c r="AS156" s="55"/>
      <c r="AT156" s="55"/>
      <c r="AU156" s="55"/>
      <c r="AV156" s="55"/>
      <c r="AW156" s="55"/>
      <c r="AX156" s="55"/>
      <c r="AY156" s="55"/>
      <c r="AZ156" s="55"/>
      <c r="BA156" s="55"/>
      <c r="BB156" s="55"/>
      <c r="BC156" s="55"/>
      <c r="BD156" s="55"/>
      <c r="BE156" s="55"/>
      <c r="BF156" s="55"/>
      <c r="BG156" s="55"/>
      <c r="BH156" s="55"/>
      <c r="BI156" s="55"/>
      <c r="BJ156" s="55"/>
      <c r="BK156" s="55"/>
      <c r="BL156" s="55"/>
      <c r="BM156" s="55"/>
      <c r="BN156" s="55"/>
      <c r="BO156" s="55"/>
      <c r="BP156" s="55"/>
      <c r="BQ156" s="55"/>
      <c r="BR156" s="55"/>
      <c r="BS156" s="55"/>
      <c r="BT156" s="55"/>
      <c r="BU156" s="55"/>
      <c r="BV156" s="55"/>
      <c r="BW156" s="55"/>
      <c r="BX156" s="55"/>
      <c r="BY156" s="55"/>
      <c r="BZ156" s="55"/>
      <c r="CA156" s="55"/>
      <c r="CB156" s="55"/>
      <c r="CC156" s="55"/>
      <c r="CD156" s="55"/>
      <c r="CE156" s="55"/>
      <c r="CF156" s="55"/>
      <c r="CG156" s="55"/>
      <c r="CH156" s="55"/>
      <c r="CI156" s="55"/>
      <c r="CJ156" s="55"/>
      <c r="CK156" s="55"/>
      <c r="CL156" s="55"/>
      <c r="CM156" s="55"/>
      <c r="CN156" s="55"/>
      <c r="CO156" s="55"/>
      <c r="CP156" s="55"/>
      <c r="CQ156" s="55"/>
      <c r="CR156" s="55"/>
      <c r="CS156" s="55"/>
      <c r="CT156" s="55"/>
      <c r="CU156" s="55"/>
      <c r="CV156" s="55"/>
      <c r="CW156" s="55"/>
      <c r="CX156" s="55"/>
      <c r="CY156" s="55"/>
      <c r="CZ156" s="55"/>
      <c r="DA156" s="55"/>
      <c r="DB156" s="55"/>
      <c r="DC156" s="55"/>
      <c r="DD156" s="55"/>
      <c r="DE156" s="55"/>
      <c r="DF156" s="55"/>
      <c r="DG156" s="55"/>
      <c r="DH156" s="55"/>
      <c r="DI156" s="55"/>
    </row>
    <row r="157" spans="1:113" x14ac:dyDescent="0.25">
      <c r="A157" s="152">
        <v>31</v>
      </c>
      <c r="B157" s="221" t="s">
        <v>332</v>
      </c>
      <c r="C157" s="80">
        <v>4500</v>
      </c>
      <c r="D157" s="142">
        <v>1602.87</v>
      </c>
      <c r="E157" s="43">
        <v>497</v>
      </c>
      <c r="F157" s="60"/>
      <c r="G157" s="139">
        <f t="shared" si="33"/>
        <v>497</v>
      </c>
      <c r="H157" s="55"/>
      <c r="I157" s="56">
        <f t="shared" si="34"/>
        <v>497</v>
      </c>
      <c r="J157" s="56">
        <f t="shared" si="35"/>
        <v>2236500</v>
      </c>
      <c r="K157" s="57">
        <f t="shared" si="36"/>
        <v>796626.3899999999</v>
      </c>
      <c r="L157"/>
      <c r="M157" s="314">
        <f t="shared" si="32"/>
        <v>0</v>
      </c>
      <c r="N157" s="310"/>
      <c r="O157" s="315"/>
      <c r="P157" s="315"/>
      <c r="Q157" s="315"/>
      <c r="R157" s="315"/>
      <c r="S157" s="55"/>
      <c r="T157" s="55"/>
      <c r="U157" s="55"/>
      <c r="V157" s="55"/>
      <c r="W157" s="55"/>
      <c r="X157" s="55"/>
      <c r="Y157" s="55"/>
      <c r="Z157" s="55"/>
      <c r="AA157" s="55"/>
      <c r="AB157" s="55"/>
      <c r="AC157" s="55"/>
      <c r="AD157" s="55"/>
      <c r="AE157" s="55"/>
      <c r="AF157" s="55"/>
      <c r="AG157" s="55"/>
      <c r="AH157" s="55"/>
      <c r="AI157" s="55"/>
      <c r="AJ157" s="55"/>
      <c r="AK157" s="55"/>
      <c r="AL157" s="55"/>
      <c r="AM157" s="55"/>
      <c r="AN157" s="55"/>
      <c r="AO157" s="55"/>
      <c r="AP157" s="55"/>
      <c r="AQ157" s="55"/>
      <c r="AR157" s="55"/>
      <c r="AS157" s="55"/>
      <c r="AT157" s="55"/>
      <c r="AU157" s="55"/>
      <c r="AV157" s="55"/>
      <c r="AW157" s="55"/>
      <c r="AX157" s="55"/>
      <c r="AY157" s="55"/>
      <c r="AZ157" s="55"/>
      <c r="BA157" s="55"/>
      <c r="BB157" s="55"/>
      <c r="BC157" s="55"/>
      <c r="BD157" s="55"/>
      <c r="BE157" s="55"/>
      <c r="BF157" s="55"/>
      <c r="BG157" s="55"/>
      <c r="BH157" s="55"/>
      <c r="BI157" s="55"/>
      <c r="BJ157" s="55"/>
      <c r="BK157" s="55"/>
      <c r="BL157" s="55"/>
      <c r="BM157" s="55"/>
      <c r="BN157" s="55"/>
      <c r="BO157" s="55"/>
      <c r="BP157" s="55"/>
      <c r="BQ157" s="55"/>
      <c r="BR157" s="55"/>
      <c r="BS157" s="55"/>
      <c r="BT157" s="55"/>
      <c r="BU157" s="55"/>
      <c r="BV157" s="55"/>
      <c r="BW157" s="55"/>
      <c r="BX157" s="55"/>
      <c r="BY157" s="55"/>
      <c r="BZ157" s="55"/>
      <c r="CA157" s="55"/>
      <c r="CB157" s="55"/>
      <c r="CC157" s="55"/>
      <c r="CD157" s="55"/>
      <c r="CE157" s="55"/>
      <c r="CF157" s="55"/>
      <c r="CG157" s="55"/>
      <c r="CH157" s="55"/>
      <c r="CI157" s="55"/>
      <c r="CJ157" s="55"/>
      <c r="CK157" s="55"/>
      <c r="CL157" s="55"/>
      <c r="CM157" s="55"/>
      <c r="CN157" s="55"/>
      <c r="CO157" s="55"/>
      <c r="CP157" s="55"/>
      <c r="CQ157" s="55"/>
      <c r="CR157" s="55"/>
      <c r="CS157" s="55"/>
      <c r="CT157" s="55"/>
      <c r="CU157" s="55"/>
      <c r="CV157" s="55"/>
      <c r="CW157" s="55"/>
      <c r="CX157" s="55"/>
      <c r="CY157" s="55"/>
      <c r="CZ157" s="55"/>
      <c r="DA157" s="55"/>
      <c r="DB157" s="55"/>
      <c r="DC157" s="55"/>
      <c r="DD157" s="55"/>
      <c r="DE157" s="55"/>
      <c r="DF157" s="55"/>
      <c r="DG157" s="55"/>
      <c r="DH157" s="55"/>
      <c r="DI157" s="55"/>
    </row>
    <row r="158" spans="1:113" x14ac:dyDescent="0.25">
      <c r="A158" s="152">
        <v>32</v>
      </c>
      <c r="B158" s="221" t="s">
        <v>333</v>
      </c>
      <c r="C158" s="80">
        <v>4500</v>
      </c>
      <c r="D158" s="142">
        <v>1602.87</v>
      </c>
      <c r="E158" s="43">
        <v>497</v>
      </c>
      <c r="F158" s="60"/>
      <c r="G158" s="139">
        <f t="shared" si="33"/>
        <v>497</v>
      </c>
      <c r="H158" s="55"/>
      <c r="I158" s="56">
        <f t="shared" si="34"/>
        <v>497</v>
      </c>
      <c r="J158" s="56">
        <f t="shared" si="35"/>
        <v>2236500</v>
      </c>
      <c r="K158" s="57">
        <f t="shared" si="36"/>
        <v>796626.3899999999</v>
      </c>
      <c r="L158"/>
      <c r="M158" s="314">
        <f t="shared" si="32"/>
        <v>0</v>
      </c>
      <c r="N158" s="310"/>
      <c r="O158" s="315"/>
      <c r="P158" s="315"/>
      <c r="Q158" s="315"/>
      <c r="R158" s="315"/>
      <c r="S158" s="55"/>
      <c r="T158" s="55"/>
      <c r="U158" s="55"/>
      <c r="V158" s="55"/>
      <c r="W158" s="55"/>
      <c r="X158" s="55"/>
      <c r="Y158" s="55"/>
      <c r="Z158" s="55"/>
      <c r="AA158" s="55"/>
      <c r="AB158" s="55"/>
      <c r="AC158" s="55"/>
      <c r="AD158" s="55"/>
      <c r="AE158" s="55"/>
      <c r="AF158" s="55"/>
      <c r="AG158" s="55"/>
      <c r="AH158" s="55"/>
      <c r="AI158" s="55"/>
      <c r="AJ158" s="55"/>
      <c r="AK158" s="55"/>
      <c r="AL158" s="55"/>
      <c r="AM158" s="55"/>
      <c r="AN158" s="55"/>
      <c r="AO158" s="55"/>
      <c r="AP158" s="55"/>
      <c r="AQ158" s="55"/>
      <c r="AR158" s="55"/>
      <c r="AS158" s="55"/>
      <c r="AT158" s="55"/>
      <c r="AU158" s="55"/>
      <c r="AV158" s="55"/>
      <c r="AW158" s="55"/>
      <c r="AX158" s="55"/>
      <c r="AY158" s="55"/>
      <c r="AZ158" s="55"/>
      <c r="BA158" s="55"/>
      <c r="BB158" s="55"/>
      <c r="BC158" s="55"/>
      <c r="BD158" s="55"/>
      <c r="BE158" s="55"/>
      <c r="BF158" s="55"/>
      <c r="BG158" s="55"/>
      <c r="BH158" s="55"/>
      <c r="BI158" s="55"/>
      <c r="BJ158" s="55"/>
      <c r="BK158" s="55"/>
      <c r="BL158" s="55"/>
      <c r="BM158" s="55"/>
      <c r="BN158" s="55"/>
      <c r="BO158" s="55"/>
      <c r="BP158" s="55"/>
      <c r="BQ158" s="55"/>
      <c r="BR158" s="55"/>
      <c r="BS158" s="55"/>
      <c r="BT158" s="55"/>
      <c r="BU158" s="55"/>
      <c r="BV158" s="55"/>
      <c r="BW158" s="55"/>
      <c r="BX158" s="55"/>
      <c r="BY158" s="55"/>
      <c r="BZ158" s="55"/>
      <c r="CA158" s="55"/>
      <c r="CB158" s="55"/>
      <c r="CC158" s="55"/>
      <c r="CD158" s="55"/>
      <c r="CE158" s="55"/>
      <c r="CF158" s="55"/>
      <c r="CG158" s="55"/>
      <c r="CH158" s="55"/>
      <c r="CI158" s="55"/>
      <c r="CJ158" s="55"/>
      <c r="CK158" s="55"/>
      <c r="CL158" s="55"/>
      <c r="CM158" s="55"/>
      <c r="CN158" s="55"/>
      <c r="CO158" s="55"/>
      <c r="CP158" s="55"/>
      <c r="CQ158" s="55"/>
      <c r="CR158" s="55"/>
      <c r="CS158" s="55"/>
      <c r="CT158" s="55"/>
      <c r="CU158" s="55"/>
      <c r="CV158" s="55"/>
      <c r="CW158" s="55"/>
      <c r="CX158" s="55"/>
      <c r="CY158" s="55"/>
      <c r="CZ158" s="55"/>
      <c r="DA158" s="55"/>
      <c r="DB158" s="55"/>
      <c r="DC158" s="55"/>
      <c r="DD158" s="55"/>
      <c r="DE158" s="55"/>
      <c r="DF158" s="55"/>
      <c r="DG158" s="55"/>
      <c r="DH158" s="55"/>
      <c r="DI158" s="55"/>
    </row>
    <row r="159" spans="1:113" x14ac:dyDescent="0.25">
      <c r="A159" s="152">
        <v>33</v>
      </c>
      <c r="B159" s="221" t="s">
        <v>334</v>
      </c>
      <c r="C159" s="80">
        <v>4500</v>
      </c>
      <c r="D159" s="142">
        <v>1602.87</v>
      </c>
      <c r="E159" s="43">
        <v>497</v>
      </c>
      <c r="F159" s="60"/>
      <c r="G159" s="139">
        <f t="shared" si="33"/>
        <v>497</v>
      </c>
      <c r="H159" s="55"/>
      <c r="I159" s="56">
        <f t="shared" si="34"/>
        <v>497</v>
      </c>
      <c r="J159" s="56">
        <f t="shared" si="35"/>
        <v>2236500</v>
      </c>
      <c r="K159" s="57">
        <f t="shared" si="36"/>
        <v>796626.3899999999</v>
      </c>
      <c r="L159"/>
      <c r="M159" s="314">
        <f t="shared" si="32"/>
        <v>0</v>
      </c>
      <c r="N159" s="310"/>
      <c r="O159" s="315"/>
      <c r="P159" s="315"/>
      <c r="Q159" s="315"/>
      <c r="R159" s="315"/>
      <c r="S159" s="55"/>
      <c r="T159" s="55"/>
      <c r="U159" s="55"/>
      <c r="V159" s="55"/>
      <c r="W159" s="55"/>
      <c r="X159" s="55"/>
      <c r="Y159" s="55"/>
      <c r="Z159" s="55"/>
      <c r="AA159" s="55"/>
      <c r="AB159" s="55"/>
      <c r="AC159" s="55"/>
      <c r="AD159" s="55"/>
      <c r="AE159" s="55"/>
      <c r="AF159" s="55"/>
      <c r="AG159" s="55"/>
      <c r="AH159" s="55"/>
      <c r="AI159" s="55"/>
      <c r="AJ159" s="55"/>
      <c r="AK159" s="55"/>
      <c r="AL159" s="55"/>
      <c r="AM159" s="55"/>
      <c r="AN159" s="55"/>
      <c r="AO159" s="55"/>
      <c r="AP159" s="55"/>
      <c r="AQ159" s="55"/>
      <c r="AR159" s="55"/>
      <c r="AS159" s="55"/>
      <c r="AT159" s="55"/>
      <c r="AU159" s="55"/>
      <c r="AV159" s="55"/>
      <c r="AW159" s="55"/>
      <c r="AX159" s="55"/>
      <c r="AY159" s="55"/>
      <c r="AZ159" s="55"/>
      <c r="BA159" s="55"/>
      <c r="BB159" s="55"/>
      <c r="BC159" s="55"/>
      <c r="BD159" s="55"/>
      <c r="BE159" s="55"/>
      <c r="BF159" s="55"/>
      <c r="BG159" s="55"/>
      <c r="BH159" s="55"/>
      <c r="BI159" s="55"/>
      <c r="BJ159" s="55"/>
      <c r="BK159" s="55"/>
      <c r="BL159" s="55"/>
      <c r="BM159" s="55"/>
      <c r="BN159" s="55"/>
      <c r="BO159" s="55"/>
      <c r="BP159" s="55"/>
      <c r="BQ159" s="55"/>
      <c r="BR159" s="55"/>
      <c r="BS159" s="55"/>
      <c r="BT159" s="55"/>
      <c r="BU159" s="55"/>
      <c r="BV159" s="55"/>
      <c r="BW159" s="55"/>
      <c r="BX159" s="55"/>
      <c r="BY159" s="55"/>
      <c r="BZ159" s="55"/>
      <c r="CA159" s="55"/>
      <c r="CB159" s="55"/>
      <c r="CC159" s="55"/>
      <c r="CD159" s="55"/>
      <c r="CE159" s="55"/>
      <c r="CF159" s="55"/>
      <c r="CG159" s="55"/>
      <c r="CH159" s="55"/>
      <c r="CI159" s="55"/>
      <c r="CJ159" s="55"/>
      <c r="CK159" s="55"/>
      <c r="CL159" s="55"/>
      <c r="CM159" s="55"/>
      <c r="CN159" s="55"/>
      <c r="CO159" s="55"/>
      <c r="CP159" s="55"/>
      <c r="CQ159" s="55"/>
      <c r="CR159" s="55"/>
      <c r="CS159" s="55"/>
      <c r="CT159" s="55"/>
      <c r="CU159" s="55"/>
      <c r="CV159" s="55"/>
      <c r="CW159" s="55"/>
      <c r="CX159" s="55"/>
      <c r="CY159" s="55"/>
      <c r="CZ159" s="55"/>
      <c r="DA159" s="55"/>
      <c r="DB159" s="55"/>
      <c r="DC159" s="55"/>
      <c r="DD159" s="55"/>
      <c r="DE159" s="55"/>
      <c r="DF159" s="55"/>
      <c r="DG159" s="55"/>
      <c r="DH159" s="55"/>
      <c r="DI159" s="55"/>
    </row>
    <row r="160" spans="1:113" x14ac:dyDescent="0.25">
      <c r="A160" s="152">
        <v>34</v>
      </c>
      <c r="B160" s="60" t="s">
        <v>335</v>
      </c>
      <c r="C160" s="80">
        <v>5000</v>
      </c>
      <c r="D160" s="142">
        <v>1261.21</v>
      </c>
      <c r="E160" s="43">
        <v>0</v>
      </c>
      <c r="F160" s="60"/>
      <c r="G160" s="139">
        <f t="shared" si="33"/>
        <v>0</v>
      </c>
      <c r="H160" s="55">
        <f>48-48</f>
        <v>0</v>
      </c>
      <c r="I160" s="56">
        <f t="shared" si="34"/>
        <v>0</v>
      </c>
      <c r="J160" s="56">
        <f t="shared" si="35"/>
        <v>0</v>
      </c>
      <c r="K160" s="57">
        <f t="shared" si="36"/>
        <v>0</v>
      </c>
      <c r="L160"/>
      <c r="M160" s="314">
        <f t="shared" si="32"/>
        <v>0</v>
      </c>
      <c r="N160" s="310"/>
      <c r="O160" s="315"/>
      <c r="P160" s="315"/>
      <c r="Q160" s="315"/>
      <c r="R160" s="315"/>
      <c r="S160" s="55"/>
      <c r="T160" s="55"/>
      <c r="U160" s="55"/>
      <c r="V160" s="55"/>
      <c r="W160" s="55"/>
      <c r="X160" s="55"/>
      <c r="Y160" s="55"/>
      <c r="Z160" s="55"/>
      <c r="AA160" s="55"/>
      <c r="AB160" s="55"/>
      <c r="AC160" s="55"/>
      <c r="AD160" s="55"/>
      <c r="AE160" s="55"/>
      <c r="AF160" s="55"/>
      <c r="AG160" s="55"/>
      <c r="AH160" s="55"/>
      <c r="AI160" s="55"/>
      <c r="AJ160" s="55"/>
      <c r="AK160" s="55"/>
      <c r="AL160" s="55"/>
      <c r="AM160" s="55"/>
      <c r="AN160" s="55"/>
      <c r="AO160" s="55"/>
      <c r="AP160" s="55"/>
      <c r="AQ160" s="55"/>
      <c r="AR160" s="55"/>
      <c r="AS160" s="55"/>
      <c r="AT160" s="55"/>
      <c r="AU160" s="55"/>
      <c r="AV160" s="55"/>
      <c r="AW160" s="55"/>
      <c r="AX160" s="55"/>
      <c r="AY160" s="55"/>
      <c r="AZ160" s="55"/>
      <c r="BA160" s="55"/>
      <c r="BB160" s="55"/>
      <c r="BC160" s="55"/>
      <c r="BD160" s="55"/>
      <c r="BE160" s="55"/>
      <c r="BF160" s="55"/>
      <c r="BG160" s="55"/>
      <c r="BH160" s="55"/>
      <c r="BI160" s="55"/>
      <c r="BJ160" s="55"/>
      <c r="BK160" s="55"/>
      <c r="BL160" s="55"/>
      <c r="BM160" s="55"/>
      <c r="BN160" s="55"/>
      <c r="BO160" s="55"/>
      <c r="BP160" s="55"/>
      <c r="BQ160" s="55"/>
      <c r="BR160" s="55"/>
      <c r="BS160" s="55"/>
      <c r="BT160" s="55"/>
      <c r="BU160" s="55"/>
      <c r="BV160" s="55"/>
      <c r="BW160" s="55"/>
      <c r="BX160" s="55"/>
      <c r="BY160" s="55"/>
      <c r="BZ160" s="55"/>
      <c r="CA160" s="55"/>
      <c r="CB160" s="55"/>
      <c r="CC160" s="55"/>
      <c r="CD160" s="55"/>
      <c r="CE160" s="55"/>
      <c r="CF160" s="55"/>
      <c r="CG160" s="55"/>
      <c r="CH160" s="55"/>
      <c r="CI160" s="55"/>
      <c r="CJ160" s="55"/>
      <c r="CK160" s="55"/>
      <c r="CL160" s="55"/>
      <c r="CM160" s="55"/>
      <c r="CN160" s="55"/>
      <c r="CO160" s="55"/>
      <c r="CP160" s="55"/>
      <c r="CQ160" s="55"/>
      <c r="CR160" s="55"/>
      <c r="CS160" s="55"/>
      <c r="CT160" s="55"/>
      <c r="CU160" s="55"/>
      <c r="CV160" s="55"/>
      <c r="CW160" s="55"/>
      <c r="CX160" s="55"/>
      <c r="CY160" s="55"/>
      <c r="CZ160" s="55"/>
      <c r="DA160" s="55"/>
      <c r="DB160" s="55"/>
      <c r="DC160" s="55"/>
      <c r="DD160" s="55"/>
      <c r="DE160" s="55"/>
      <c r="DF160" s="55"/>
      <c r="DG160" s="55"/>
      <c r="DH160" s="55"/>
      <c r="DI160" s="55"/>
    </row>
    <row r="161" spans="1:113" x14ac:dyDescent="0.25">
      <c r="A161" s="152">
        <v>35</v>
      </c>
      <c r="B161" s="221" t="s">
        <v>336</v>
      </c>
      <c r="C161" s="80">
        <v>2500</v>
      </c>
      <c r="D161" s="142">
        <v>626.58000000000004</v>
      </c>
      <c r="E161" s="43">
        <v>432</v>
      </c>
      <c r="F161" s="60"/>
      <c r="G161" s="139">
        <f t="shared" si="33"/>
        <v>432</v>
      </c>
      <c r="H161" s="55"/>
      <c r="I161" s="56">
        <f t="shared" si="34"/>
        <v>432</v>
      </c>
      <c r="J161" s="56">
        <f t="shared" si="35"/>
        <v>1080000</v>
      </c>
      <c r="K161" s="57">
        <f t="shared" si="36"/>
        <v>270682.56</v>
      </c>
      <c r="L161"/>
      <c r="M161" s="314">
        <f t="shared" si="32"/>
        <v>0</v>
      </c>
      <c r="N161" s="310"/>
      <c r="O161" s="315"/>
      <c r="P161" s="315"/>
      <c r="Q161" s="315"/>
      <c r="R161" s="315"/>
      <c r="S161" s="55"/>
      <c r="T161" s="55"/>
      <c r="U161" s="55"/>
      <c r="V161" s="55"/>
      <c r="W161" s="55"/>
      <c r="X161" s="55"/>
      <c r="Y161" s="55"/>
      <c r="Z161" s="55"/>
      <c r="AA161" s="55"/>
      <c r="AB161" s="55"/>
      <c r="AC161" s="55"/>
      <c r="AD161" s="55"/>
      <c r="AE161" s="55"/>
      <c r="AF161" s="55"/>
      <c r="AG161" s="55"/>
      <c r="AH161" s="55"/>
      <c r="AI161" s="55"/>
      <c r="AJ161" s="55"/>
      <c r="AK161" s="55"/>
      <c r="AL161" s="55"/>
      <c r="AM161" s="55"/>
      <c r="AN161" s="55"/>
      <c r="AO161" s="55"/>
      <c r="AP161" s="55"/>
      <c r="AQ161" s="55"/>
      <c r="AR161" s="55"/>
      <c r="AS161" s="55"/>
      <c r="AT161" s="55"/>
      <c r="AU161" s="55"/>
      <c r="AV161" s="55"/>
      <c r="AW161" s="55"/>
      <c r="AX161" s="55"/>
      <c r="AY161" s="55"/>
      <c r="AZ161" s="55"/>
      <c r="BA161" s="55"/>
      <c r="BB161" s="55"/>
      <c r="BC161" s="55"/>
      <c r="BD161" s="55"/>
      <c r="BE161" s="55"/>
      <c r="BF161" s="55"/>
      <c r="BG161" s="55"/>
      <c r="BH161" s="55"/>
      <c r="BI161" s="55"/>
      <c r="BJ161" s="55"/>
      <c r="BK161" s="55"/>
      <c r="BL161" s="55"/>
      <c r="BM161" s="55"/>
      <c r="BN161" s="55"/>
      <c r="BO161" s="55"/>
      <c r="BP161" s="55"/>
      <c r="BQ161" s="55"/>
      <c r="BR161" s="55"/>
      <c r="BS161" s="55"/>
      <c r="BT161" s="55"/>
      <c r="BU161" s="55"/>
      <c r="BV161" s="55"/>
      <c r="BW161" s="55"/>
      <c r="BX161" s="55"/>
      <c r="BY161" s="55"/>
      <c r="BZ161" s="55"/>
      <c r="CA161" s="55"/>
      <c r="CB161" s="55"/>
      <c r="CC161" s="55"/>
      <c r="CD161" s="55"/>
      <c r="CE161" s="55"/>
      <c r="CF161" s="55"/>
      <c r="CG161" s="55"/>
      <c r="CH161" s="55"/>
      <c r="CI161" s="55"/>
      <c r="CJ161" s="55"/>
      <c r="CK161" s="55"/>
      <c r="CL161" s="55"/>
      <c r="CM161" s="55"/>
      <c r="CN161" s="55"/>
      <c r="CO161" s="55"/>
      <c r="CP161" s="55"/>
      <c r="CQ161" s="55"/>
      <c r="CR161" s="55"/>
      <c r="CS161" s="55"/>
      <c r="CT161" s="55"/>
      <c r="CU161" s="55"/>
      <c r="CV161" s="55"/>
      <c r="CW161" s="55"/>
      <c r="CX161" s="55"/>
      <c r="CY161" s="55"/>
      <c r="CZ161" s="55"/>
      <c r="DA161" s="55"/>
      <c r="DB161" s="55"/>
      <c r="DC161" s="55"/>
      <c r="DD161" s="55"/>
      <c r="DE161" s="55"/>
      <c r="DF161" s="55"/>
      <c r="DG161" s="55"/>
      <c r="DH161" s="55"/>
      <c r="DI161" s="55"/>
    </row>
    <row r="162" spans="1:113" x14ac:dyDescent="0.25">
      <c r="A162" s="152">
        <v>36</v>
      </c>
      <c r="B162" s="221" t="s">
        <v>337</v>
      </c>
      <c r="C162" s="80">
        <v>2500</v>
      </c>
      <c r="D162" s="142">
        <v>626.58000000000004</v>
      </c>
      <c r="E162" s="43">
        <v>432</v>
      </c>
      <c r="F162" s="60"/>
      <c r="G162" s="139">
        <f t="shared" si="33"/>
        <v>432</v>
      </c>
      <c r="H162" s="55"/>
      <c r="I162" s="56">
        <f t="shared" si="34"/>
        <v>432</v>
      </c>
      <c r="J162" s="56">
        <f t="shared" si="35"/>
        <v>1080000</v>
      </c>
      <c r="K162" s="57">
        <f t="shared" si="36"/>
        <v>270682.56</v>
      </c>
      <c r="L162"/>
      <c r="M162" s="314">
        <f t="shared" si="32"/>
        <v>0</v>
      </c>
      <c r="N162" s="310"/>
      <c r="O162" s="315"/>
      <c r="P162" s="315"/>
      <c r="Q162" s="315"/>
      <c r="R162" s="315"/>
      <c r="S162" s="55"/>
      <c r="T162" s="55"/>
      <c r="U162" s="55"/>
      <c r="V162" s="55"/>
      <c r="W162" s="55"/>
      <c r="X162" s="55"/>
      <c r="Y162" s="55"/>
      <c r="Z162" s="55"/>
      <c r="AA162" s="55"/>
      <c r="AB162" s="55"/>
      <c r="AC162" s="55"/>
      <c r="AD162" s="55"/>
      <c r="AE162" s="55"/>
      <c r="AF162" s="55"/>
      <c r="AG162" s="55"/>
      <c r="AH162" s="55"/>
      <c r="AI162" s="55"/>
      <c r="AJ162" s="55"/>
      <c r="AK162" s="55"/>
      <c r="AL162" s="55"/>
      <c r="AM162" s="55"/>
      <c r="AN162" s="55"/>
      <c r="AO162" s="55"/>
      <c r="AP162" s="55"/>
      <c r="AQ162" s="55"/>
      <c r="AR162" s="55"/>
      <c r="AS162" s="55"/>
      <c r="AT162" s="55"/>
      <c r="AU162" s="55"/>
      <c r="AV162" s="55"/>
      <c r="AW162" s="55"/>
      <c r="AX162" s="55"/>
      <c r="AY162" s="55"/>
      <c r="AZ162" s="55"/>
      <c r="BA162" s="55"/>
      <c r="BB162" s="55"/>
      <c r="BC162" s="55"/>
      <c r="BD162" s="55"/>
      <c r="BE162" s="55"/>
      <c r="BF162" s="55"/>
      <c r="BG162" s="55"/>
      <c r="BH162" s="55"/>
      <c r="BI162" s="55"/>
      <c r="BJ162" s="55"/>
      <c r="BK162" s="55"/>
      <c r="BL162" s="55"/>
      <c r="BM162" s="55"/>
      <c r="BN162" s="55"/>
      <c r="BO162" s="55"/>
      <c r="BP162" s="55"/>
      <c r="BQ162" s="55"/>
      <c r="BR162" s="55"/>
      <c r="BS162" s="55"/>
      <c r="BT162" s="55"/>
      <c r="BU162" s="55"/>
      <c r="BV162" s="55"/>
      <c r="BW162" s="55"/>
      <c r="BX162" s="55"/>
      <c r="BY162" s="55"/>
      <c r="BZ162" s="55"/>
      <c r="CA162" s="55"/>
      <c r="CB162" s="55"/>
      <c r="CC162" s="55"/>
      <c r="CD162" s="55"/>
      <c r="CE162" s="55"/>
      <c r="CF162" s="55"/>
      <c r="CG162" s="55"/>
      <c r="CH162" s="55"/>
      <c r="CI162" s="55"/>
      <c r="CJ162" s="55"/>
      <c r="CK162" s="55"/>
      <c r="CL162" s="55"/>
      <c r="CM162" s="55"/>
      <c r="CN162" s="55"/>
      <c r="CO162" s="55"/>
      <c r="CP162" s="55"/>
      <c r="CQ162" s="55"/>
      <c r="CR162" s="55"/>
      <c r="CS162" s="55"/>
      <c r="CT162" s="55"/>
      <c r="CU162" s="55"/>
      <c r="CV162" s="55"/>
      <c r="CW162" s="55"/>
      <c r="CX162" s="55"/>
      <c r="CY162" s="55"/>
      <c r="CZ162" s="55"/>
      <c r="DA162" s="55"/>
      <c r="DB162" s="55"/>
      <c r="DC162" s="55"/>
      <c r="DD162" s="55"/>
      <c r="DE162" s="55"/>
      <c r="DF162" s="55"/>
      <c r="DG162" s="55"/>
      <c r="DH162" s="55"/>
      <c r="DI162" s="55"/>
    </row>
    <row r="163" spans="1:113" x14ac:dyDescent="0.25">
      <c r="A163" s="152">
        <v>37</v>
      </c>
      <c r="B163" s="221" t="s">
        <v>338</v>
      </c>
      <c r="C163" s="80">
        <v>2500</v>
      </c>
      <c r="D163" s="142">
        <v>626.58000000000004</v>
      </c>
      <c r="E163" s="43">
        <v>432</v>
      </c>
      <c r="F163" s="60"/>
      <c r="G163" s="139">
        <f t="shared" si="33"/>
        <v>432</v>
      </c>
      <c r="H163" s="55"/>
      <c r="I163" s="56">
        <f t="shared" si="34"/>
        <v>432</v>
      </c>
      <c r="J163" s="56">
        <f t="shared" si="35"/>
        <v>1080000</v>
      </c>
      <c r="K163" s="57">
        <f t="shared" si="36"/>
        <v>270682.56</v>
      </c>
      <c r="L163"/>
      <c r="M163" s="314">
        <f t="shared" si="32"/>
        <v>0</v>
      </c>
      <c r="N163" s="310"/>
      <c r="O163" s="315"/>
      <c r="P163" s="315"/>
      <c r="Q163" s="315"/>
      <c r="R163" s="315"/>
      <c r="S163" s="55"/>
      <c r="T163" s="55"/>
      <c r="U163" s="55"/>
      <c r="V163" s="55"/>
      <c r="W163" s="55"/>
      <c r="X163" s="55"/>
      <c r="Y163" s="55"/>
      <c r="Z163" s="55"/>
      <c r="AA163" s="55"/>
      <c r="AB163" s="55"/>
      <c r="AC163" s="55"/>
      <c r="AD163" s="55"/>
      <c r="AE163" s="55"/>
      <c r="AF163" s="55"/>
      <c r="AG163" s="55"/>
      <c r="AH163" s="55"/>
      <c r="AI163" s="55"/>
      <c r="AJ163" s="55"/>
      <c r="AK163" s="55"/>
      <c r="AL163" s="55"/>
      <c r="AM163" s="55"/>
      <c r="AN163" s="55"/>
      <c r="AO163" s="55"/>
      <c r="AP163" s="55"/>
      <c r="AQ163" s="55"/>
      <c r="AR163" s="55"/>
      <c r="AS163" s="55"/>
      <c r="AT163" s="55"/>
      <c r="AU163" s="55"/>
      <c r="AV163" s="55"/>
      <c r="AW163" s="55"/>
      <c r="AX163" s="55"/>
      <c r="AY163" s="55"/>
      <c r="AZ163" s="55"/>
      <c r="BA163" s="55"/>
      <c r="BB163" s="55"/>
      <c r="BC163" s="55"/>
      <c r="BD163" s="55"/>
      <c r="BE163" s="55"/>
      <c r="BF163" s="55"/>
      <c r="BG163" s="55"/>
      <c r="BH163" s="55"/>
      <c r="BI163" s="55"/>
      <c r="BJ163" s="55"/>
      <c r="BK163" s="55"/>
      <c r="BL163" s="55"/>
      <c r="BM163" s="55"/>
      <c r="BN163" s="55"/>
      <c r="BO163" s="55"/>
      <c r="BP163" s="55"/>
      <c r="BQ163" s="55"/>
      <c r="BR163" s="55"/>
      <c r="BS163" s="55"/>
      <c r="BT163" s="55"/>
      <c r="BU163" s="55"/>
      <c r="BV163" s="55"/>
      <c r="BW163" s="55"/>
      <c r="BX163" s="55"/>
      <c r="BY163" s="55"/>
      <c r="BZ163" s="55"/>
      <c r="CA163" s="55"/>
      <c r="CB163" s="55"/>
      <c r="CC163" s="55"/>
      <c r="CD163" s="55"/>
      <c r="CE163" s="55"/>
      <c r="CF163" s="55"/>
      <c r="CG163" s="55"/>
      <c r="CH163" s="55"/>
      <c r="CI163" s="55"/>
      <c r="CJ163" s="55"/>
      <c r="CK163" s="55"/>
      <c r="CL163" s="55"/>
      <c r="CM163" s="55"/>
      <c r="CN163" s="55"/>
      <c r="CO163" s="55"/>
      <c r="CP163" s="55"/>
      <c r="CQ163" s="55"/>
      <c r="CR163" s="55"/>
      <c r="CS163" s="55"/>
      <c r="CT163" s="55"/>
      <c r="CU163" s="55"/>
      <c r="CV163" s="55"/>
      <c r="CW163" s="55"/>
      <c r="CX163" s="55"/>
      <c r="CY163" s="55"/>
      <c r="CZ163" s="55"/>
      <c r="DA163" s="55"/>
      <c r="DB163" s="55"/>
      <c r="DC163" s="55"/>
      <c r="DD163" s="55"/>
      <c r="DE163" s="55"/>
      <c r="DF163" s="55"/>
      <c r="DG163" s="55"/>
      <c r="DH163" s="55"/>
      <c r="DI163" s="55"/>
    </row>
    <row r="164" spans="1:113" x14ac:dyDescent="0.25">
      <c r="A164" s="152">
        <v>38</v>
      </c>
      <c r="B164" s="221" t="s">
        <v>339</v>
      </c>
      <c r="C164" s="80">
        <v>2500</v>
      </c>
      <c r="D164" s="142">
        <v>626.58000000000004</v>
      </c>
      <c r="E164" s="43">
        <v>432</v>
      </c>
      <c r="F164" s="60"/>
      <c r="G164" s="139">
        <f t="shared" si="33"/>
        <v>432</v>
      </c>
      <c r="H164" s="55"/>
      <c r="I164" s="56">
        <f t="shared" si="34"/>
        <v>432</v>
      </c>
      <c r="J164" s="56">
        <f t="shared" si="35"/>
        <v>1080000</v>
      </c>
      <c r="K164" s="57">
        <f t="shared" si="36"/>
        <v>270682.56</v>
      </c>
      <c r="L164"/>
      <c r="M164" s="314">
        <f t="shared" si="32"/>
        <v>0</v>
      </c>
      <c r="N164" s="310"/>
      <c r="O164" s="315"/>
      <c r="P164" s="315"/>
      <c r="Q164" s="315"/>
      <c r="R164" s="315"/>
      <c r="S164" s="55"/>
      <c r="T164" s="55"/>
      <c r="U164" s="55"/>
      <c r="V164" s="55"/>
      <c r="W164" s="55"/>
      <c r="X164" s="55"/>
      <c r="Y164" s="55"/>
      <c r="Z164" s="55"/>
      <c r="AA164" s="55"/>
      <c r="AB164" s="55"/>
      <c r="AC164" s="55"/>
      <c r="AD164" s="55"/>
      <c r="AE164" s="55"/>
      <c r="AF164" s="55"/>
      <c r="AG164" s="55"/>
      <c r="AH164" s="55"/>
      <c r="AI164" s="55"/>
      <c r="AJ164" s="55"/>
      <c r="AK164" s="55"/>
      <c r="AL164" s="55"/>
      <c r="AM164" s="55"/>
      <c r="AN164" s="55"/>
      <c r="AO164" s="55"/>
      <c r="AP164" s="55"/>
      <c r="AQ164" s="55"/>
      <c r="AR164" s="55"/>
      <c r="AS164" s="55"/>
      <c r="AT164" s="55"/>
      <c r="AU164" s="55"/>
      <c r="AV164" s="55"/>
      <c r="AW164" s="55"/>
      <c r="AX164" s="55"/>
      <c r="AY164" s="55"/>
      <c r="AZ164" s="55"/>
      <c r="BA164" s="55"/>
      <c r="BB164" s="55"/>
      <c r="BC164" s="55"/>
      <c r="BD164" s="55"/>
      <c r="BE164" s="55"/>
      <c r="BF164" s="55"/>
      <c r="BG164" s="55"/>
      <c r="BH164" s="55"/>
      <c r="BI164" s="55"/>
      <c r="BJ164" s="55"/>
      <c r="BK164" s="55"/>
      <c r="BL164" s="55"/>
      <c r="BM164" s="55"/>
      <c r="BN164" s="55"/>
      <c r="BO164" s="55"/>
      <c r="BP164" s="55"/>
      <c r="BQ164" s="55"/>
      <c r="BR164" s="55"/>
      <c r="BS164" s="55"/>
      <c r="BT164" s="55"/>
      <c r="BU164" s="55"/>
      <c r="BV164" s="55"/>
      <c r="BW164" s="55"/>
      <c r="BX164" s="55"/>
      <c r="BY164" s="55"/>
      <c r="BZ164" s="55"/>
      <c r="CA164" s="55"/>
      <c r="CB164" s="55"/>
      <c r="CC164" s="55"/>
      <c r="CD164" s="55"/>
      <c r="CE164" s="55"/>
      <c r="CF164" s="55"/>
      <c r="CG164" s="55"/>
      <c r="CH164" s="55"/>
      <c r="CI164" s="55"/>
      <c r="CJ164" s="55"/>
      <c r="CK164" s="55"/>
      <c r="CL164" s="55"/>
      <c r="CM164" s="55"/>
      <c r="CN164" s="55"/>
      <c r="CO164" s="55"/>
      <c r="CP164" s="55"/>
      <c r="CQ164" s="55"/>
      <c r="CR164" s="55"/>
      <c r="CS164" s="55"/>
      <c r="CT164" s="55"/>
      <c r="CU164" s="55"/>
      <c r="CV164" s="55"/>
      <c r="CW164" s="55"/>
      <c r="CX164" s="55"/>
      <c r="CY164" s="55"/>
      <c r="CZ164" s="55"/>
      <c r="DA164" s="55"/>
      <c r="DB164" s="55"/>
      <c r="DC164" s="55"/>
      <c r="DD164" s="55"/>
      <c r="DE164" s="55"/>
      <c r="DF164" s="55"/>
      <c r="DG164" s="55"/>
      <c r="DH164" s="55"/>
      <c r="DI164" s="55"/>
    </row>
    <row r="165" spans="1:113" x14ac:dyDescent="0.25">
      <c r="A165" s="152">
        <v>39</v>
      </c>
      <c r="B165" s="221" t="s">
        <v>340</v>
      </c>
      <c r="C165" s="80">
        <v>2500</v>
      </c>
      <c r="D165" s="142">
        <v>626.58000000000004</v>
      </c>
      <c r="E165" s="43">
        <v>432</v>
      </c>
      <c r="F165" s="60"/>
      <c r="G165" s="139">
        <f t="shared" si="33"/>
        <v>432</v>
      </c>
      <c r="H165" s="55"/>
      <c r="I165" s="56">
        <f t="shared" si="34"/>
        <v>432</v>
      </c>
      <c r="J165" s="56">
        <f t="shared" si="35"/>
        <v>1080000</v>
      </c>
      <c r="K165" s="57">
        <f t="shared" si="36"/>
        <v>270682.56</v>
      </c>
      <c r="L165"/>
      <c r="M165" s="314">
        <f t="shared" si="32"/>
        <v>0</v>
      </c>
      <c r="N165" s="310"/>
      <c r="O165" s="315"/>
      <c r="P165" s="315"/>
      <c r="Q165" s="315"/>
      <c r="R165" s="315"/>
      <c r="S165" s="55"/>
      <c r="T165" s="55"/>
      <c r="U165" s="55"/>
      <c r="V165" s="55"/>
      <c r="W165" s="55"/>
      <c r="X165" s="55"/>
      <c r="Y165" s="55"/>
      <c r="Z165" s="55"/>
      <c r="AA165" s="55"/>
      <c r="AB165" s="55"/>
      <c r="AC165" s="55"/>
      <c r="AD165" s="55"/>
      <c r="AE165" s="55"/>
      <c r="AF165" s="55"/>
      <c r="AG165" s="55"/>
      <c r="AH165" s="55"/>
      <c r="AI165" s="55"/>
      <c r="AJ165" s="55"/>
      <c r="AK165" s="55"/>
      <c r="AL165" s="55"/>
      <c r="AM165" s="55"/>
      <c r="AN165" s="55"/>
      <c r="AO165" s="55"/>
      <c r="AP165" s="55"/>
      <c r="AQ165" s="55"/>
      <c r="AR165" s="55"/>
      <c r="AS165" s="55"/>
      <c r="AT165" s="55"/>
      <c r="AU165" s="55"/>
      <c r="AV165" s="55"/>
      <c r="AW165" s="55"/>
      <c r="AX165" s="55"/>
      <c r="AY165" s="55"/>
      <c r="AZ165" s="55"/>
      <c r="BA165" s="55"/>
      <c r="BB165" s="55"/>
      <c r="BC165" s="55"/>
      <c r="BD165" s="55"/>
      <c r="BE165" s="55"/>
      <c r="BF165" s="55"/>
      <c r="BG165" s="55"/>
      <c r="BH165" s="55"/>
      <c r="BI165" s="55"/>
      <c r="BJ165" s="55"/>
      <c r="BK165" s="55"/>
      <c r="BL165" s="55"/>
      <c r="BM165" s="55"/>
      <c r="BN165" s="55"/>
      <c r="BO165" s="55"/>
      <c r="BP165" s="55"/>
      <c r="BQ165" s="55"/>
      <c r="BR165" s="55"/>
      <c r="BS165" s="55"/>
      <c r="BT165" s="55"/>
      <c r="BU165" s="55"/>
      <c r="BV165" s="55"/>
      <c r="BW165" s="55"/>
      <c r="BX165" s="55"/>
      <c r="BY165" s="55"/>
      <c r="BZ165" s="55"/>
      <c r="CA165" s="55"/>
      <c r="CB165" s="55"/>
      <c r="CC165" s="55"/>
      <c r="CD165" s="55"/>
      <c r="CE165" s="55"/>
      <c r="CF165" s="55"/>
      <c r="CG165" s="55"/>
      <c r="CH165" s="55"/>
      <c r="CI165" s="55"/>
      <c r="CJ165" s="55"/>
      <c r="CK165" s="55"/>
      <c r="CL165" s="55"/>
      <c r="CM165" s="55"/>
      <c r="CN165" s="55"/>
      <c r="CO165" s="55"/>
      <c r="CP165" s="55"/>
      <c r="CQ165" s="55"/>
      <c r="CR165" s="55"/>
      <c r="CS165" s="55"/>
      <c r="CT165" s="55"/>
      <c r="CU165" s="55"/>
      <c r="CV165" s="55"/>
      <c r="CW165" s="55"/>
      <c r="CX165" s="55"/>
      <c r="CY165" s="55"/>
      <c r="CZ165" s="55"/>
      <c r="DA165" s="55"/>
      <c r="DB165" s="55"/>
      <c r="DC165" s="55"/>
      <c r="DD165" s="55"/>
      <c r="DE165" s="55"/>
      <c r="DF165" s="55"/>
      <c r="DG165" s="55"/>
      <c r="DH165" s="55"/>
      <c r="DI165" s="55"/>
    </row>
    <row r="166" spans="1:113" x14ac:dyDescent="0.25">
      <c r="A166" s="152">
        <v>40</v>
      </c>
      <c r="B166" s="221" t="s">
        <v>341</v>
      </c>
      <c r="C166" s="80">
        <v>2500</v>
      </c>
      <c r="D166" s="142">
        <v>626.58000000000004</v>
      </c>
      <c r="E166" s="43">
        <v>432</v>
      </c>
      <c r="F166" s="60"/>
      <c r="G166" s="139">
        <f t="shared" si="33"/>
        <v>432</v>
      </c>
      <c r="H166" s="55"/>
      <c r="I166" s="56">
        <f t="shared" si="34"/>
        <v>432</v>
      </c>
      <c r="J166" s="56">
        <f t="shared" si="35"/>
        <v>1080000</v>
      </c>
      <c r="K166" s="57">
        <f t="shared" si="36"/>
        <v>270682.56</v>
      </c>
      <c r="L166"/>
      <c r="M166" s="314">
        <f t="shared" si="32"/>
        <v>0</v>
      </c>
      <c r="N166" s="310"/>
      <c r="O166" s="315"/>
      <c r="P166" s="315"/>
      <c r="Q166" s="315"/>
      <c r="R166" s="315"/>
      <c r="S166" s="55"/>
      <c r="T166" s="55"/>
      <c r="U166" s="55"/>
      <c r="V166" s="55"/>
      <c r="W166" s="55"/>
      <c r="X166" s="55"/>
      <c r="Y166" s="55"/>
      <c r="Z166" s="55"/>
      <c r="AA166" s="55"/>
      <c r="AB166" s="55"/>
      <c r="AC166" s="55"/>
      <c r="AD166" s="55"/>
      <c r="AE166" s="55"/>
      <c r="AF166" s="55"/>
      <c r="AG166" s="55"/>
      <c r="AH166" s="55"/>
      <c r="AI166" s="55"/>
      <c r="AJ166" s="55"/>
      <c r="AK166" s="55"/>
      <c r="AL166" s="55"/>
      <c r="AM166" s="55"/>
      <c r="AN166" s="55"/>
      <c r="AO166" s="55"/>
      <c r="AP166" s="55"/>
      <c r="AQ166" s="55"/>
      <c r="AR166" s="55"/>
      <c r="AS166" s="55"/>
      <c r="AT166" s="55"/>
      <c r="AU166" s="55"/>
      <c r="AV166" s="55"/>
      <c r="AW166" s="55"/>
      <c r="AX166" s="55"/>
      <c r="AY166" s="55"/>
      <c r="AZ166" s="55"/>
      <c r="BA166" s="55"/>
      <c r="BB166" s="55"/>
      <c r="BC166" s="55"/>
      <c r="BD166" s="55"/>
      <c r="BE166" s="55"/>
      <c r="BF166" s="55"/>
      <c r="BG166" s="55"/>
      <c r="BH166" s="55"/>
      <c r="BI166" s="55"/>
      <c r="BJ166" s="55"/>
      <c r="BK166" s="55"/>
      <c r="BL166" s="55"/>
      <c r="BM166" s="55"/>
      <c r="BN166" s="55"/>
      <c r="BO166" s="55"/>
      <c r="BP166" s="55"/>
      <c r="BQ166" s="55"/>
      <c r="BR166" s="55"/>
      <c r="BS166" s="55"/>
      <c r="BT166" s="55"/>
      <c r="BU166" s="55"/>
      <c r="BV166" s="55"/>
      <c r="BW166" s="55"/>
      <c r="BX166" s="55"/>
      <c r="BY166" s="55"/>
      <c r="BZ166" s="55"/>
      <c r="CA166" s="55"/>
      <c r="CB166" s="55"/>
      <c r="CC166" s="55"/>
      <c r="CD166" s="55"/>
      <c r="CE166" s="55"/>
      <c r="CF166" s="55"/>
      <c r="CG166" s="55"/>
      <c r="CH166" s="55"/>
      <c r="CI166" s="55"/>
      <c r="CJ166" s="55"/>
      <c r="CK166" s="55"/>
      <c r="CL166" s="55"/>
      <c r="CM166" s="55"/>
      <c r="CN166" s="55"/>
      <c r="CO166" s="55"/>
      <c r="CP166" s="55"/>
      <c r="CQ166" s="55"/>
      <c r="CR166" s="55"/>
      <c r="CS166" s="55"/>
      <c r="CT166" s="55"/>
      <c r="CU166" s="55"/>
      <c r="CV166" s="55"/>
      <c r="CW166" s="55"/>
      <c r="CX166" s="55"/>
      <c r="CY166" s="55"/>
      <c r="CZ166" s="55"/>
      <c r="DA166" s="55"/>
      <c r="DB166" s="55"/>
      <c r="DC166" s="55"/>
      <c r="DD166" s="55"/>
      <c r="DE166" s="55"/>
      <c r="DF166" s="55"/>
      <c r="DG166" s="55"/>
      <c r="DH166" s="55"/>
      <c r="DI166" s="55"/>
    </row>
    <row r="167" spans="1:113" x14ac:dyDescent="0.25">
      <c r="A167" s="152">
        <v>41</v>
      </c>
      <c r="B167" s="221" t="s">
        <v>342</v>
      </c>
      <c r="C167" s="80">
        <v>2500</v>
      </c>
      <c r="D167" s="142">
        <v>626.58000000000004</v>
      </c>
      <c r="E167" s="43">
        <v>432</v>
      </c>
      <c r="F167" s="60"/>
      <c r="G167" s="139">
        <f t="shared" si="33"/>
        <v>432</v>
      </c>
      <c r="H167" s="55"/>
      <c r="I167" s="56">
        <f t="shared" si="34"/>
        <v>432</v>
      </c>
      <c r="J167" s="56">
        <f t="shared" si="35"/>
        <v>1080000</v>
      </c>
      <c r="K167" s="57">
        <f t="shared" si="36"/>
        <v>270682.56</v>
      </c>
      <c r="L167"/>
      <c r="M167" s="314">
        <f t="shared" si="32"/>
        <v>0</v>
      </c>
      <c r="N167" s="310"/>
      <c r="O167" s="315"/>
      <c r="P167" s="315"/>
      <c r="Q167" s="315"/>
      <c r="R167" s="315"/>
      <c r="S167" s="55"/>
      <c r="T167" s="55"/>
      <c r="U167" s="55"/>
      <c r="V167" s="55"/>
      <c r="W167" s="55"/>
      <c r="X167" s="55"/>
      <c r="Y167" s="55"/>
      <c r="Z167" s="55"/>
      <c r="AA167" s="55"/>
      <c r="AB167" s="55"/>
      <c r="AC167" s="55"/>
      <c r="AD167" s="55"/>
      <c r="AE167" s="55"/>
      <c r="AF167" s="55"/>
      <c r="AG167" s="55"/>
      <c r="AH167" s="55"/>
      <c r="AI167" s="55"/>
      <c r="AJ167" s="55"/>
      <c r="AK167" s="55"/>
      <c r="AL167" s="55"/>
      <c r="AM167" s="55"/>
      <c r="AN167" s="55"/>
      <c r="AO167" s="55"/>
      <c r="AP167" s="55"/>
      <c r="AQ167" s="55"/>
      <c r="AR167" s="55"/>
      <c r="AS167" s="55"/>
      <c r="AT167" s="55"/>
      <c r="AU167" s="55"/>
      <c r="AV167" s="55"/>
      <c r="AW167" s="55"/>
      <c r="AX167" s="55"/>
      <c r="AY167" s="55"/>
      <c r="AZ167" s="55"/>
      <c r="BA167" s="55"/>
      <c r="BB167" s="55"/>
      <c r="BC167" s="55"/>
      <c r="BD167" s="55"/>
      <c r="BE167" s="55"/>
      <c r="BF167" s="55"/>
      <c r="BG167" s="55"/>
      <c r="BH167" s="55"/>
      <c r="BI167" s="55"/>
      <c r="BJ167" s="55"/>
      <c r="BK167" s="55"/>
      <c r="BL167" s="55"/>
      <c r="BM167" s="55"/>
      <c r="BN167" s="55"/>
      <c r="BO167" s="55"/>
      <c r="BP167" s="55"/>
      <c r="BQ167" s="55"/>
      <c r="BR167" s="55"/>
      <c r="BS167" s="55"/>
      <c r="BT167" s="55"/>
      <c r="BU167" s="55"/>
      <c r="BV167" s="55"/>
      <c r="BW167" s="55"/>
      <c r="BX167" s="55"/>
      <c r="BY167" s="55"/>
      <c r="BZ167" s="55"/>
      <c r="CA167" s="55"/>
      <c r="CB167" s="55"/>
      <c r="CC167" s="55"/>
      <c r="CD167" s="55"/>
      <c r="CE167" s="55"/>
      <c r="CF167" s="55"/>
      <c r="CG167" s="55"/>
      <c r="CH167" s="55"/>
      <c r="CI167" s="55"/>
      <c r="CJ167" s="55"/>
      <c r="CK167" s="55"/>
      <c r="CL167" s="55"/>
      <c r="CM167" s="55"/>
      <c r="CN167" s="55"/>
      <c r="CO167" s="55"/>
      <c r="CP167" s="55"/>
      <c r="CQ167" s="55"/>
      <c r="CR167" s="55"/>
      <c r="CS167" s="55"/>
      <c r="CT167" s="55"/>
      <c r="CU167" s="55"/>
      <c r="CV167" s="55"/>
      <c r="CW167" s="55"/>
      <c r="CX167" s="55"/>
      <c r="CY167" s="55"/>
      <c r="CZ167" s="55"/>
      <c r="DA167" s="55"/>
      <c r="DB167" s="55"/>
      <c r="DC167" s="55"/>
      <c r="DD167" s="55"/>
      <c r="DE167" s="55"/>
      <c r="DF167" s="55"/>
      <c r="DG167" s="55"/>
      <c r="DH167" s="55"/>
      <c r="DI167" s="55"/>
    </row>
    <row r="168" spans="1:113" x14ac:dyDescent="0.25">
      <c r="A168" s="152">
        <v>42</v>
      </c>
      <c r="B168" s="221" t="s">
        <v>343</v>
      </c>
      <c r="C168" s="80">
        <v>2500</v>
      </c>
      <c r="D168" s="142">
        <v>626.58000000000004</v>
      </c>
      <c r="E168" s="43">
        <v>432</v>
      </c>
      <c r="F168" s="60"/>
      <c r="G168" s="139">
        <f t="shared" si="33"/>
        <v>432</v>
      </c>
      <c r="H168" s="55"/>
      <c r="I168" s="56">
        <f t="shared" si="34"/>
        <v>432</v>
      </c>
      <c r="J168" s="56">
        <f t="shared" si="35"/>
        <v>1080000</v>
      </c>
      <c r="K168" s="57">
        <f t="shared" si="36"/>
        <v>270682.56</v>
      </c>
      <c r="L168"/>
      <c r="M168" s="314">
        <f t="shared" si="32"/>
        <v>0</v>
      </c>
      <c r="N168" s="310"/>
      <c r="O168" s="315"/>
      <c r="P168" s="315"/>
      <c r="Q168" s="315"/>
      <c r="R168" s="315"/>
      <c r="S168" s="55"/>
      <c r="T168" s="55"/>
      <c r="U168" s="55"/>
      <c r="V168" s="55"/>
      <c r="W168" s="55"/>
      <c r="X168" s="55"/>
      <c r="Y168" s="55"/>
      <c r="Z168" s="55"/>
      <c r="AA168" s="55"/>
      <c r="AB168" s="55"/>
      <c r="AC168" s="55"/>
      <c r="AD168" s="55"/>
      <c r="AE168" s="55"/>
      <c r="AF168" s="55"/>
      <c r="AG168" s="55"/>
      <c r="AH168" s="55"/>
      <c r="AI168" s="55"/>
      <c r="AJ168" s="55"/>
      <c r="AK168" s="55"/>
      <c r="AL168" s="55"/>
      <c r="AM168" s="55"/>
      <c r="AN168" s="55"/>
      <c r="AO168" s="55"/>
      <c r="AP168" s="55"/>
      <c r="AQ168" s="55"/>
      <c r="AR168" s="55"/>
      <c r="AS168" s="55"/>
      <c r="AT168" s="55"/>
      <c r="AU168" s="55"/>
      <c r="AV168" s="55"/>
      <c r="AW168" s="55"/>
      <c r="AX168" s="55"/>
      <c r="AY168" s="55"/>
      <c r="AZ168" s="55"/>
      <c r="BA168" s="55"/>
      <c r="BB168" s="55"/>
      <c r="BC168" s="55"/>
      <c r="BD168" s="55"/>
      <c r="BE168" s="55"/>
      <c r="BF168" s="55"/>
      <c r="BG168" s="55"/>
      <c r="BH168" s="55"/>
      <c r="BI168" s="55"/>
      <c r="BJ168" s="55"/>
      <c r="BK168" s="55"/>
      <c r="BL168" s="55"/>
      <c r="BM168" s="55"/>
      <c r="BN168" s="55"/>
      <c r="BO168" s="55"/>
      <c r="BP168" s="55"/>
      <c r="BQ168" s="55"/>
      <c r="BR168" s="55"/>
      <c r="BS168" s="55"/>
      <c r="BT168" s="55"/>
      <c r="BU168" s="55"/>
      <c r="BV168" s="55"/>
      <c r="BW168" s="55"/>
      <c r="BX168" s="55"/>
      <c r="BY168" s="55"/>
      <c r="BZ168" s="55"/>
      <c r="CA168" s="55"/>
      <c r="CB168" s="55"/>
      <c r="CC168" s="55"/>
      <c r="CD168" s="55"/>
      <c r="CE168" s="55"/>
      <c r="CF168" s="55"/>
      <c r="CG168" s="55"/>
      <c r="CH168" s="55"/>
      <c r="CI168" s="55"/>
      <c r="CJ168" s="55"/>
      <c r="CK168" s="55"/>
      <c r="CL168" s="55"/>
      <c r="CM168" s="55"/>
      <c r="CN168" s="55"/>
      <c r="CO168" s="55"/>
      <c r="CP168" s="55"/>
      <c r="CQ168" s="55"/>
      <c r="CR168" s="55"/>
      <c r="CS168" s="55"/>
      <c r="CT168" s="55"/>
      <c r="CU168" s="55"/>
      <c r="CV168" s="55"/>
      <c r="CW168" s="55"/>
      <c r="CX168" s="55"/>
      <c r="CY168" s="55"/>
      <c r="CZ168" s="55"/>
      <c r="DA168" s="55"/>
      <c r="DB168" s="55"/>
      <c r="DC168" s="55"/>
      <c r="DD168" s="55"/>
      <c r="DE168" s="55"/>
      <c r="DF168" s="55"/>
      <c r="DG168" s="55"/>
      <c r="DH168" s="55"/>
      <c r="DI168" s="55"/>
    </row>
    <row r="169" spans="1:113" x14ac:dyDescent="0.25">
      <c r="A169" s="152">
        <v>43</v>
      </c>
      <c r="B169" s="221" t="s">
        <v>344</v>
      </c>
      <c r="C169" s="80">
        <v>2500</v>
      </c>
      <c r="D169" s="142">
        <v>626.58000000000004</v>
      </c>
      <c r="E169" s="43">
        <v>432</v>
      </c>
      <c r="F169" s="60"/>
      <c r="G169" s="139">
        <f t="shared" si="33"/>
        <v>432</v>
      </c>
      <c r="H169" s="55"/>
      <c r="I169" s="56">
        <f t="shared" si="34"/>
        <v>432</v>
      </c>
      <c r="J169" s="56">
        <f t="shared" si="35"/>
        <v>1080000</v>
      </c>
      <c r="K169" s="57">
        <f t="shared" si="36"/>
        <v>270682.56</v>
      </c>
      <c r="L169"/>
      <c r="M169" s="314">
        <f t="shared" si="32"/>
        <v>0</v>
      </c>
      <c r="N169" s="310"/>
      <c r="O169" s="315"/>
      <c r="P169" s="315"/>
      <c r="Q169" s="315"/>
      <c r="R169" s="31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5"/>
      <c r="AP169" s="55"/>
      <c r="AQ169" s="55"/>
      <c r="AR169" s="55"/>
      <c r="AS169" s="55"/>
      <c r="AT169" s="55"/>
      <c r="AU169" s="55"/>
      <c r="AV169" s="55"/>
      <c r="AW169" s="55"/>
      <c r="AX169" s="55"/>
      <c r="AY169" s="55"/>
      <c r="AZ169" s="55"/>
      <c r="BA169" s="55"/>
      <c r="BB169" s="55"/>
      <c r="BC169" s="55"/>
      <c r="BD169" s="55"/>
      <c r="BE169" s="55"/>
      <c r="BF169" s="55"/>
      <c r="BG169" s="55"/>
      <c r="BH169" s="55"/>
      <c r="BI169" s="55"/>
      <c r="BJ169" s="55"/>
      <c r="BK169" s="55"/>
      <c r="BL169" s="55"/>
      <c r="BM169" s="55"/>
      <c r="BN169" s="55"/>
      <c r="BO169" s="55"/>
      <c r="BP169" s="55"/>
      <c r="BQ169" s="55"/>
      <c r="BR169" s="55"/>
      <c r="BS169" s="55"/>
      <c r="BT169" s="55"/>
      <c r="BU169" s="55"/>
      <c r="BV169" s="55"/>
      <c r="BW169" s="55"/>
      <c r="BX169" s="55"/>
      <c r="BY169" s="55"/>
      <c r="BZ169" s="55"/>
      <c r="CA169" s="55"/>
      <c r="CB169" s="55"/>
      <c r="CC169" s="55"/>
      <c r="CD169" s="55"/>
      <c r="CE169" s="55"/>
      <c r="CF169" s="55"/>
      <c r="CG169" s="55"/>
      <c r="CH169" s="55"/>
      <c r="CI169" s="55"/>
      <c r="CJ169" s="55"/>
      <c r="CK169" s="55"/>
      <c r="CL169" s="55"/>
      <c r="CM169" s="55"/>
      <c r="CN169" s="55"/>
      <c r="CO169" s="55"/>
      <c r="CP169" s="55"/>
      <c r="CQ169" s="55"/>
      <c r="CR169" s="55"/>
      <c r="CS169" s="55"/>
      <c r="CT169" s="55"/>
      <c r="CU169" s="55"/>
      <c r="CV169" s="55"/>
      <c r="CW169" s="55"/>
      <c r="CX169" s="55"/>
      <c r="CY169" s="55"/>
      <c r="CZ169" s="55"/>
      <c r="DA169" s="55"/>
      <c r="DB169" s="55"/>
      <c r="DC169" s="55"/>
      <c r="DD169" s="55"/>
      <c r="DE169" s="55"/>
      <c r="DF169" s="55"/>
      <c r="DG169" s="55"/>
      <c r="DH169" s="55"/>
      <c r="DI169" s="55"/>
    </row>
    <row r="170" spans="1:113" x14ac:dyDescent="0.25">
      <c r="A170" s="152">
        <v>44</v>
      </c>
      <c r="B170" s="221" t="s">
        <v>345</v>
      </c>
      <c r="C170" s="80">
        <v>2500</v>
      </c>
      <c r="D170" s="142">
        <v>626.58000000000004</v>
      </c>
      <c r="E170" s="43">
        <v>432</v>
      </c>
      <c r="F170" s="60"/>
      <c r="G170" s="139">
        <f t="shared" si="33"/>
        <v>432</v>
      </c>
      <c r="H170" s="55"/>
      <c r="I170" s="56">
        <f t="shared" si="34"/>
        <v>432</v>
      </c>
      <c r="J170" s="56">
        <f t="shared" si="35"/>
        <v>1080000</v>
      </c>
      <c r="K170" s="57">
        <f t="shared" si="36"/>
        <v>270682.56</v>
      </c>
      <c r="L170"/>
      <c r="M170" s="314">
        <f t="shared" si="32"/>
        <v>0</v>
      </c>
      <c r="N170" s="310"/>
      <c r="O170" s="315"/>
      <c r="P170" s="315"/>
      <c r="Q170" s="315"/>
      <c r="R170" s="315"/>
      <c r="S170" s="55"/>
      <c r="T170" s="55"/>
      <c r="U170" s="55"/>
      <c r="V170" s="55"/>
      <c r="W170" s="55"/>
      <c r="X170" s="55"/>
      <c r="Y170" s="55"/>
      <c r="Z170" s="55"/>
      <c r="AA170" s="55"/>
      <c r="AB170" s="55"/>
      <c r="AC170" s="55"/>
      <c r="AD170" s="55"/>
      <c r="AE170" s="55"/>
      <c r="AF170" s="55"/>
      <c r="AG170" s="55"/>
      <c r="AH170" s="55"/>
      <c r="AI170" s="55"/>
      <c r="AJ170" s="55"/>
      <c r="AK170" s="55"/>
      <c r="AL170" s="55"/>
      <c r="AM170" s="55"/>
      <c r="AN170" s="55"/>
      <c r="AO170" s="55"/>
      <c r="AP170" s="55"/>
      <c r="AQ170" s="55"/>
      <c r="AR170" s="55"/>
      <c r="AS170" s="55"/>
      <c r="AT170" s="55"/>
      <c r="AU170" s="55"/>
      <c r="AV170" s="55"/>
      <c r="AW170" s="55"/>
      <c r="AX170" s="55"/>
      <c r="AY170" s="55"/>
      <c r="AZ170" s="55"/>
      <c r="BA170" s="55"/>
      <c r="BB170" s="55"/>
      <c r="BC170" s="55"/>
      <c r="BD170" s="55"/>
      <c r="BE170" s="55"/>
      <c r="BF170" s="55"/>
      <c r="BG170" s="55"/>
      <c r="BH170" s="55"/>
      <c r="BI170" s="55"/>
      <c r="BJ170" s="55"/>
      <c r="BK170" s="55"/>
      <c r="BL170" s="55"/>
      <c r="BM170" s="55"/>
      <c r="BN170" s="55"/>
      <c r="BO170" s="55"/>
      <c r="BP170" s="55"/>
      <c r="BQ170" s="55"/>
      <c r="BR170" s="55"/>
      <c r="BS170" s="55"/>
      <c r="BT170" s="55"/>
      <c r="BU170" s="55"/>
      <c r="BV170" s="55"/>
      <c r="BW170" s="55"/>
      <c r="BX170" s="55"/>
      <c r="BY170" s="55"/>
      <c r="BZ170" s="55"/>
      <c r="CA170" s="55"/>
      <c r="CB170" s="55"/>
      <c r="CC170" s="55"/>
      <c r="CD170" s="55"/>
      <c r="CE170" s="55"/>
      <c r="CF170" s="55"/>
      <c r="CG170" s="55"/>
      <c r="CH170" s="55"/>
      <c r="CI170" s="55"/>
      <c r="CJ170" s="55"/>
      <c r="CK170" s="55"/>
      <c r="CL170" s="55"/>
      <c r="CM170" s="55"/>
      <c r="CN170" s="55"/>
      <c r="CO170" s="55"/>
      <c r="CP170" s="55"/>
      <c r="CQ170" s="55"/>
      <c r="CR170" s="55"/>
      <c r="CS170" s="55"/>
      <c r="CT170" s="55"/>
      <c r="CU170" s="55"/>
      <c r="CV170" s="55"/>
      <c r="CW170" s="55"/>
      <c r="CX170" s="55"/>
      <c r="CY170" s="55"/>
      <c r="CZ170" s="55"/>
      <c r="DA170" s="55"/>
      <c r="DB170" s="55"/>
      <c r="DC170" s="55"/>
      <c r="DD170" s="55"/>
      <c r="DE170" s="55"/>
      <c r="DF170" s="55"/>
      <c r="DG170" s="55"/>
      <c r="DH170" s="55"/>
      <c r="DI170" s="55"/>
    </row>
    <row r="171" spans="1:113" x14ac:dyDescent="0.25">
      <c r="A171" s="152">
        <v>45</v>
      </c>
      <c r="B171" s="221" t="s">
        <v>346</v>
      </c>
      <c r="C171" s="80">
        <v>2500</v>
      </c>
      <c r="D171" s="142">
        <v>626.58000000000004</v>
      </c>
      <c r="E171" s="43">
        <v>432</v>
      </c>
      <c r="F171" s="60"/>
      <c r="G171" s="139">
        <f t="shared" si="33"/>
        <v>432</v>
      </c>
      <c r="H171" s="55"/>
      <c r="I171" s="56">
        <f t="shared" si="34"/>
        <v>432</v>
      </c>
      <c r="J171" s="56">
        <f t="shared" si="35"/>
        <v>1080000</v>
      </c>
      <c r="K171" s="57">
        <f t="shared" si="36"/>
        <v>270682.56</v>
      </c>
      <c r="L171"/>
      <c r="M171" s="314">
        <f t="shared" si="32"/>
        <v>0</v>
      </c>
      <c r="N171" s="310"/>
      <c r="O171" s="315"/>
      <c r="P171" s="315"/>
      <c r="Q171" s="315"/>
      <c r="R171" s="315"/>
      <c r="S171" s="55"/>
      <c r="T171" s="55"/>
      <c r="U171" s="55"/>
      <c r="V171" s="55"/>
      <c r="W171" s="55"/>
      <c r="X171" s="55"/>
      <c r="Y171" s="55"/>
      <c r="Z171" s="55"/>
      <c r="AA171" s="55"/>
      <c r="AB171" s="55"/>
      <c r="AC171" s="55"/>
      <c r="AD171" s="55"/>
      <c r="AE171" s="55"/>
      <c r="AF171" s="55"/>
      <c r="AG171" s="55"/>
      <c r="AH171" s="55"/>
      <c r="AI171" s="55"/>
      <c r="AJ171" s="55"/>
      <c r="AK171" s="55"/>
      <c r="AL171" s="55"/>
      <c r="AM171" s="55"/>
      <c r="AN171" s="55"/>
      <c r="AO171" s="55"/>
      <c r="AP171" s="55"/>
      <c r="AQ171" s="55"/>
      <c r="AR171" s="55"/>
      <c r="AS171" s="55"/>
      <c r="AT171" s="55"/>
      <c r="AU171" s="55"/>
      <c r="AV171" s="55"/>
      <c r="AW171" s="55"/>
      <c r="AX171" s="55"/>
      <c r="AY171" s="55"/>
      <c r="AZ171" s="55"/>
      <c r="BA171" s="55"/>
      <c r="BB171" s="55"/>
      <c r="BC171" s="55"/>
      <c r="BD171" s="55"/>
      <c r="BE171" s="55"/>
      <c r="BF171" s="55"/>
      <c r="BG171" s="55"/>
      <c r="BH171" s="55"/>
      <c r="BI171" s="55"/>
      <c r="BJ171" s="55"/>
      <c r="BK171" s="55"/>
      <c r="BL171" s="55"/>
      <c r="BM171" s="55"/>
      <c r="BN171" s="55"/>
      <c r="BO171" s="55"/>
      <c r="BP171" s="55"/>
      <c r="BQ171" s="55"/>
      <c r="BR171" s="55"/>
      <c r="BS171" s="55"/>
      <c r="BT171" s="55"/>
      <c r="BU171" s="55"/>
      <c r="BV171" s="55"/>
      <c r="BW171" s="55"/>
      <c r="BX171" s="55"/>
      <c r="BY171" s="55"/>
      <c r="BZ171" s="55"/>
      <c r="CA171" s="55"/>
      <c r="CB171" s="55"/>
      <c r="CC171" s="55"/>
      <c r="CD171" s="55"/>
      <c r="CE171" s="55"/>
      <c r="CF171" s="55"/>
      <c r="CG171" s="55"/>
      <c r="CH171" s="55"/>
      <c r="CI171" s="55"/>
      <c r="CJ171" s="55"/>
      <c r="CK171" s="55"/>
      <c r="CL171" s="55"/>
      <c r="CM171" s="55"/>
      <c r="CN171" s="55"/>
      <c r="CO171" s="55"/>
      <c r="CP171" s="55"/>
      <c r="CQ171" s="55"/>
      <c r="CR171" s="55"/>
      <c r="CS171" s="55"/>
      <c r="CT171" s="55"/>
      <c r="CU171" s="55"/>
      <c r="CV171" s="55"/>
      <c r="CW171" s="55"/>
      <c r="CX171" s="55"/>
      <c r="CY171" s="55"/>
      <c r="CZ171" s="55"/>
      <c r="DA171" s="55"/>
      <c r="DB171" s="55"/>
      <c r="DC171" s="55"/>
      <c r="DD171" s="55"/>
      <c r="DE171" s="55"/>
      <c r="DF171" s="55"/>
      <c r="DG171" s="55"/>
      <c r="DH171" s="55"/>
      <c r="DI171" s="55"/>
    </row>
    <row r="172" spans="1:113" x14ac:dyDescent="0.25">
      <c r="A172" s="152">
        <v>46</v>
      </c>
      <c r="B172" s="220" t="s">
        <v>347</v>
      </c>
      <c r="C172" s="80">
        <v>5000</v>
      </c>
      <c r="D172" s="142">
        <v>1386.26</v>
      </c>
      <c r="E172" s="43">
        <v>34</v>
      </c>
      <c r="F172" s="60"/>
      <c r="G172" s="139">
        <f t="shared" si="33"/>
        <v>34</v>
      </c>
      <c r="H172" s="55"/>
      <c r="I172" s="56">
        <f t="shared" si="34"/>
        <v>34</v>
      </c>
      <c r="J172" s="56">
        <f t="shared" si="35"/>
        <v>170000</v>
      </c>
      <c r="K172" s="57">
        <f t="shared" si="36"/>
        <v>47132.84</v>
      </c>
      <c r="L172"/>
      <c r="M172" s="314">
        <f t="shared" si="32"/>
        <v>0</v>
      </c>
      <c r="N172" s="310"/>
      <c r="O172" s="315"/>
      <c r="P172" s="315"/>
      <c r="Q172" s="315"/>
      <c r="R172" s="315"/>
      <c r="S172" s="55"/>
      <c r="T172" s="55"/>
      <c r="U172" s="55"/>
      <c r="V172" s="55"/>
      <c r="W172" s="55"/>
      <c r="X172" s="55"/>
      <c r="Y172" s="55"/>
      <c r="Z172" s="55"/>
      <c r="AA172" s="55"/>
      <c r="AB172" s="55"/>
      <c r="AC172" s="55"/>
      <c r="AD172" s="55"/>
      <c r="AE172" s="55"/>
      <c r="AF172" s="55"/>
      <c r="AG172" s="55"/>
      <c r="AH172" s="55"/>
      <c r="AI172" s="55"/>
      <c r="AJ172" s="55"/>
      <c r="AK172" s="55"/>
      <c r="AL172" s="55"/>
      <c r="AM172" s="55"/>
      <c r="AN172" s="55"/>
      <c r="AO172" s="55"/>
      <c r="AP172" s="55"/>
      <c r="AQ172" s="55"/>
      <c r="AR172" s="55"/>
      <c r="AS172" s="55"/>
      <c r="AT172" s="55"/>
      <c r="AU172" s="55"/>
      <c r="AV172" s="55"/>
      <c r="AW172" s="55"/>
      <c r="AX172" s="55"/>
      <c r="AY172" s="55"/>
      <c r="AZ172" s="55"/>
      <c r="BA172" s="55"/>
      <c r="BB172" s="55"/>
      <c r="BC172" s="55"/>
      <c r="BD172" s="55"/>
      <c r="BE172" s="55"/>
      <c r="BF172" s="55"/>
      <c r="BG172" s="55"/>
      <c r="BH172" s="55"/>
      <c r="BI172" s="55"/>
      <c r="BJ172" s="55"/>
      <c r="BK172" s="55"/>
      <c r="BL172" s="55"/>
      <c r="BM172" s="55"/>
      <c r="BN172" s="55"/>
      <c r="BO172" s="55"/>
      <c r="BP172" s="55"/>
      <c r="BQ172" s="55"/>
      <c r="BR172" s="55"/>
      <c r="BS172" s="55"/>
      <c r="BT172" s="55"/>
      <c r="BU172" s="55"/>
      <c r="BV172" s="55"/>
      <c r="BW172" s="55"/>
      <c r="BX172" s="55"/>
      <c r="BY172" s="55"/>
      <c r="BZ172" s="55"/>
      <c r="CA172" s="55"/>
      <c r="CB172" s="55"/>
      <c r="CC172" s="55"/>
      <c r="CD172" s="55"/>
      <c r="CE172" s="55"/>
      <c r="CF172" s="55"/>
      <c r="CG172" s="55"/>
      <c r="CH172" s="55"/>
      <c r="CI172" s="55"/>
      <c r="CJ172" s="55"/>
      <c r="CK172" s="55"/>
      <c r="CL172" s="55"/>
      <c r="CM172" s="55"/>
      <c r="CN172" s="55"/>
      <c r="CO172" s="55"/>
      <c r="CP172" s="55"/>
      <c r="CQ172" s="55"/>
      <c r="CR172" s="55"/>
      <c r="CS172" s="55"/>
      <c r="CT172" s="55"/>
      <c r="CU172" s="55"/>
      <c r="CV172" s="55"/>
      <c r="CW172" s="55"/>
      <c r="CX172" s="55"/>
      <c r="CY172" s="55"/>
      <c r="CZ172" s="55"/>
      <c r="DA172" s="55"/>
      <c r="DB172" s="55"/>
      <c r="DC172" s="55"/>
      <c r="DD172" s="55"/>
      <c r="DE172" s="55"/>
      <c r="DF172" s="55"/>
      <c r="DG172" s="55"/>
      <c r="DH172" s="55"/>
      <c r="DI172" s="55"/>
    </row>
    <row r="173" spans="1:113" x14ac:dyDescent="0.25">
      <c r="A173" s="152">
        <v>47</v>
      </c>
      <c r="B173" s="60" t="s">
        <v>348</v>
      </c>
      <c r="C173" s="80">
        <v>12000</v>
      </c>
      <c r="D173" s="142">
        <v>1645.84</v>
      </c>
      <c r="E173" s="43">
        <v>170</v>
      </c>
      <c r="F173" s="60"/>
      <c r="G173" s="139">
        <f t="shared" si="33"/>
        <v>170</v>
      </c>
      <c r="H173" s="55"/>
      <c r="I173" s="56">
        <f t="shared" si="34"/>
        <v>170</v>
      </c>
      <c r="J173" s="56">
        <f t="shared" si="35"/>
        <v>2040000</v>
      </c>
      <c r="K173" s="57">
        <f t="shared" si="36"/>
        <v>279792.8</v>
      </c>
      <c r="L173"/>
      <c r="M173" s="314">
        <f t="shared" si="32"/>
        <v>0</v>
      </c>
      <c r="N173" s="310"/>
      <c r="O173" s="315"/>
      <c r="P173" s="315"/>
      <c r="Q173" s="315"/>
      <c r="R173" s="315"/>
      <c r="S173" s="55"/>
      <c r="T173" s="55"/>
      <c r="U173" s="55"/>
      <c r="V173" s="55"/>
      <c r="W173" s="55"/>
      <c r="X173" s="55"/>
      <c r="Y173" s="55"/>
      <c r="Z173" s="55"/>
      <c r="AA173" s="55"/>
      <c r="AB173" s="55"/>
      <c r="AC173" s="55"/>
      <c r="AD173" s="55"/>
      <c r="AE173" s="55"/>
      <c r="AF173" s="55"/>
      <c r="AG173" s="55"/>
      <c r="AH173" s="55"/>
      <c r="AI173" s="55"/>
      <c r="AJ173" s="55"/>
      <c r="AK173" s="55"/>
      <c r="AL173" s="55"/>
      <c r="AM173" s="55"/>
      <c r="AN173" s="55"/>
      <c r="AO173" s="55"/>
      <c r="AP173" s="55"/>
      <c r="AQ173" s="55"/>
      <c r="AR173" s="55"/>
      <c r="AS173" s="55"/>
      <c r="AT173" s="55"/>
      <c r="AU173" s="55"/>
      <c r="AV173" s="55"/>
      <c r="AW173" s="55"/>
      <c r="AX173" s="55"/>
      <c r="AY173" s="55"/>
      <c r="AZ173" s="55"/>
      <c r="BA173" s="55"/>
      <c r="BB173" s="55"/>
      <c r="BC173" s="55"/>
      <c r="BD173" s="55"/>
      <c r="BE173" s="55"/>
      <c r="BF173" s="55"/>
      <c r="BG173" s="55"/>
      <c r="BH173" s="55"/>
      <c r="BI173" s="55"/>
      <c r="BJ173" s="55"/>
      <c r="BK173" s="55"/>
      <c r="BL173" s="55"/>
      <c r="BM173" s="55"/>
      <c r="BN173" s="55"/>
      <c r="BO173" s="55"/>
      <c r="BP173" s="55"/>
      <c r="BQ173" s="55"/>
      <c r="BR173" s="55"/>
      <c r="BS173" s="55"/>
      <c r="BT173" s="55"/>
      <c r="BU173" s="55"/>
      <c r="BV173" s="55"/>
      <c r="BW173" s="55"/>
      <c r="BX173" s="55"/>
      <c r="BY173" s="55"/>
      <c r="BZ173" s="55"/>
      <c r="CA173" s="55"/>
      <c r="CB173" s="55"/>
      <c r="CC173" s="55"/>
      <c r="CD173" s="55"/>
      <c r="CE173" s="55"/>
      <c r="CF173" s="55"/>
      <c r="CG173" s="55"/>
      <c r="CH173" s="55"/>
      <c r="CI173" s="55"/>
      <c r="CJ173" s="55"/>
      <c r="CK173" s="55"/>
      <c r="CL173" s="55"/>
      <c r="CM173" s="55"/>
      <c r="CN173" s="55"/>
      <c r="CO173" s="55"/>
      <c r="CP173" s="55"/>
      <c r="CQ173" s="55"/>
      <c r="CR173" s="55"/>
      <c r="CS173" s="55"/>
      <c r="CT173" s="55"/>
      <c r="CU173" s="55"/>
      <c r="CV173" s="55"/>
      <c r="CW173" s="55"/>
      <c r="CX173" s="55"/>
      <c r="CY173" s="55"/>
      <c r="CZ173" s="55"/>
      <c r="DA173" s="55"/>
      <c r="DB173" s="55"/>
      <c r="DC173" s="55"/>
      <c r="DD173" s="55"/>
      <c r="DE173" s="55"/>
      <c r="DF173" s="55"/>
      <c r="DG173" s="55"/>
      <c r="DH173" s="55"/>
      <c r="DI173" s="55"/>
    </row>
    <row r="174" spans="1:113" x14ac:dyDescent="0.25">
      <c r="A174" s="152">
        <v>48</v>
      </c>
      <c r="B174" s="60" t="s">
        <v>349</v>
      </c>
      <c r="C174" s="80">
        <v>12000</v>
      </c>
      <c r="D174" s="142">
        <v>1595</v>
      </c>
      <c r="E174" s="43">
        <v>207</v>
      </c>
      <c r="F174" s="60"/>
      <c r="G174" s="139">
        <f t="shared" si="33"/>
        <v>207</v>
      </c>
      <c r="H174" s="55"/>
      <c r="I174" s="56">
        <f t="shared" si="34"/>
        <v>207</v>
      </c>
      <c r="J174" s="56">
        <f t="shared" si="35"/>
        <v>2484000</v>
      </c>
      <c r="K174" s="57">
        <f t="shared" si="36"/>
        <v>330165</v>
      </c>
      <c r="L174"/>
      <c r="M174" s="314">
        <f t="shared" si="32"/>
        <v>0</v>
      </c>
      <c r="N174" s="310"/>
      <c r="O174" s="315"/>
      <c r="P174" s="315"/>
      <c r="Q174" s="315"/>
      <c r="R174" s="315"/>
      <c r="S174" s="55"/>
      <c r="T174" s="55"/>
      <c r="U174" s="55"/>
      <c r="V174" s="55"/>
      <c r="W174" s="55"/>
      <c r="X174" s="55"/>
      <c r="Y174" s="55"/>
      <c r="Z174" s="55"/>
      <c r="AA174" s="55"/>
      <c r="AB174" s="55"/>
      <c r="AC174" s="55"/>
      <c r="AD174" s="55"/>
      <c r="AE174" s="55"/>
      <c r="AF174" s="55"/>
      <c r="AG174" s="55"/>
      <c r="AH174" s="55"/>
      <c r="AI174" s="55"/>
      <c r="AJ174" s="55"/>
      <c r="AK174" s="55"/>
      <c r="AL174" s="55"/>
      <c r="AM174" s="55"/>
      <c r="AN174" s="55"/>
      <c r="AO174" s="55"/>
      <c r="AP174" s="55"/>
      <c r="AQ174" s="55"/>
      <c r="AR174" s="55"/>
      <c r="AS174" s="55"/>
      <c r="AT174" s="55"/>
      <c r="AU174" s="55"/>
      <c r="AV174" s="55"/>
      <c r="AW174" s="55"/>
      <c r="AX174" s="55"/>
      <c r="AY174" s="55"/>
      <c r="AZ174" s="55"/>
      <c r="BA174" s="55"/>
      <c r="BB174" s="55"/>
      <c r="BC174" s="55"/>
      <c r="BD174" s="55"/>
      <c r="BE174" s="55"/>
      <c r="BF174" s="55"/>
      <c r="BG174" s="55"/>
      <c r="BH174" s="55"/>
      <c r="BI174" s="55"/>
      <c r="BJ174" s="55"/>
      <c r="BK174" s="55"/>
      <c r="BL174" s="55"/>
      <c r="BM174" s="55"/>
      <c r="BN174" s="55"/>
      <c r="BO174" s="55"/>
      <c r="BP174" s="55"/>
      <c r="BQ174" s="55"/>
      <c r="BR174" s="55"/>
      <c r="BS174" s="55"/>
      <c r="BT174" s="55"/>
      <c r="BU174" s="55"/>
      <c r="BV174" s="55"/>
      <c r="BW174" s="55"/>
      <c r="BX174" s="55"/>
      <c r="BY174" s="55"/>
      <c r="BZ174" s="55"/>
      <c r="CA174" s="55"/>
      <c r="CB174" s="55"/>
      <c r="CC174" s="55"/>
      <c r="CD174" s="55"/>
      <c r="CE174" s="55"/>
      <c r="CF174" s="55"/>
      <c r="CG174" s="55"/>
      <c r="CH174" s="55"/>
      <c r="CI174" s="55"/>
      <c r="CJ174" s="55"/>
      <c r="CK174" s="55"/>
      <c r="CL174" s="55"/>
      <c r="CM174" s="55"/>
      <c r="CN174" s="55"/>
      <c r="CO174" s="55"/>
      <c r="CP174" s="55"/>
      <c r="CQ174" s="55"/>
      <c r="CR174" s="55"/>
      <c r="CS174" s="55"/>
      <c r="CT174" s="55"/>
      <c r="CU174" s="55"/>
      <c r="CV174" s="55"/>
      <c r="CW174" s="55"/>
      <c r="CX174" s="55"/>
      <c r="CY174" s="55"/>
      <c r="CZ174" s="55"/>
      <c r="DA174" s="55"/>
      <c r="DB174" s="55"/>
      <c r="DC174" s="55"/>
      <c r="DD174" s="55"/>
      <c r="DE174" s="55"/>
      <c r="DF174" s="55"/>
      <c r="DG174" s="55"/>
      <c r="DH174" s="55"/>
      <c r="DI174" s="55"/>
    </row>
    <row r="175" spans="1:113" x14ac:dyDescent="0.25">
      <c r="A175" s="152">
        <v>49</v>
      </c>
      <c r="B175" s="60" t="s">
        <v>350</v>
      </c>
      <c r="C175" s="80">
        <v>2000</v>
      </c>
      <c r="D175" s="142">
        <v>1127.5</v>
      </c>
      <c r="E175" s="43">
        <v>176</v>
      </c>
      <c r="F175" s="60"/>
      <c r="G175" s="139">
        <f t="shared" si="33"/>
        <v>176</v>
      </c>
      <c r="H175" s="55"/>
      <c r="I175" s="56">
        <f t="shared" si="34"/>
        <v>176</v>
      </c>
      <c r="J175" s="56">
        <f t="shared" si="35"/>
        <v>352000</v>
      </c>
      <c r="K175" s="57">
        <f t="shared" si="36"/>
        <v>198440</v>
      </c>
      <c r="L175"/>
      <c r="M175" s="314">
        <f t="shared" si="32"/>
        <v>0</v>
      </c>
      <c r="N175" s="310"/>
      <c r="O175" s="315"/>
      <c r="P175" s="315"/>
      <c r="Q175" s="315"/>
      <c r="R175" s="315"/>
      <c r="S175" s="55"/>
      <c r="T175" s="55"/>
      <c r="U175" s="55"/>
      <c r="V175" s="55"/>
      <c r="W175" s="55"/>
      <c r="X175" s="55"/>
      <c r="Y175" s="55"/>
      <c r="Z175" s="55"/>
      <c r="AA175" s="55"/>
      <c r="AB175" s="55"/>
      <c r="AC175" s="55"/>
      <c r="AD175" s="55"/>
      <c r="AE175" s="55"/>
      <c r="AF175" s="55"/>
      <c r="AG175" s="55"/>
      <c r="AH175" s="55"/>
      <c r="AI175" s="55"/>
      <c r="AJ175" s="55"/>
      <c r="AK175" s="55"/>
      <c r="AL175" s="55"/>
      <c r="AM175" s="55"/>
      <c r="AN175" s="55"/>
      <c r="AO175" s="55"/>
      <c r="AP175" s="55"/>
      <c r="AQ175" s="55"/>
      <c r="AR175" s="55"/>
      <c r="AS175" s="55"/>
      <c r="AT175" s="55"/>
      <c r="AU175" s="55"/>
      <c r="AV175" s="55"/>
      <c r="AW175" s="55"/>
      <c r="AX175" s="55"/>
      <c r="AY175" s="55"/>
      <c r="AZ175" s="55"/>
      <c r="BA175" s="55"/>
      <c r="BB175" s="55"/>
      <c r="BC175" s="55"/>
      <c r="BD175" s="55"/>
      <c r="BE175" s="55"/>
      <c r="BF175" s="55"/>
      <c r="BG175" s="55"/>
      <c r="BH175" s="55"/>
      <c r="BI175" s="55"/>
      <c r="BJ175" s="55"/>
      <c r="BK175" s="55"/>
      <c r="BL175" s="55"/>
      <c r="BM175" s="55"/>
      <c r="BN175" s="55"/>
      <c r="BO175" s="55"/>
      <c r="BP175" s="55"/>
      <c r="BQ175" s="55"/>
      <c r="BR175" s="55"/>
      <c r="BS175" s="55"/>
      <c r="BT175" s="55"/>
      <c r="BU175" s="55"/>
      <c r="BV175" s="55"/>
      <c r="BW175" s="55"/>
      <c r="BX175" s="55"/>
      <c r="BY175" s="55"/>
      <c r="BZ175" s="55"/>
      <c r="CA175" s="55"/>
      <c r="CB175" s="55"/>
      <c r="CC175" s="55"/>
      <c r="CD175" s="55"/>
      <c r="CE175" s="55"/>
      <c r="CF175" s="55"/>
      <c r="CG175" s="55"/>
      <c r="CH175" s="55"/>
      <c r="CI175" s="55"/>
      <c r="CJ175" s="55"/>
      <c r="CK175" s="55"/>
      <c r="CL175" s="55"/>
      <c r="CM175" s="55"/>
      <c r="CN175" s="55"/>
      <c r="CO175" s="55"/>
      <c r="CP175" s="55"/>
      <c r="CQ175" s="55"/>
      <c r="CR175" s="55"/>
      <c r="CS175" s="55"/>
      <c r="CT175" s="55"/>
      <c r="CU175" s="55"/>
      <c r="CV175" s="55"/>
      <c r="CW175" s="55"/>
      <c r="CX175" s="55"/>
      <c r="CY175" s="55"/>
      <c r="CZ175" s="55"/>
      <c r="DA175" s="55"/>
      <c r="DB175" s="55"/>
      <c r="DC175" s="55"/>
      <c r="DD175" s="55"/>
      <c r="DE175" s="55"/>
      <c r="DF175" s="55"/>
      <c r="DG175" s="55"/>
      <c r="DH175" s="55"/>
      <c r="DI175" s="55"/>
    </row>
    <row r="176" spans="1:113" x14ac:dyDescent="0.25">
      <c r="A176" s="152">
        <v>50</v>
      </c>
      <c r="B176" s="60" t="s">
        <v>351</v>
      </c>
      <c r="C176" s="80">
        <v>30000</v>
      </c>
      <c r="D176" s="142">
        <v>4030</v>
      </c>
      <c r="E176" s="43">
        <v>173</v>
      </c>
      <c r="F176" s="60"/>
      <c r="G176" s="139">
        <f t="shared" si="33"/>
        <v>173</v>
      </c>
      <c r="H176" s="55"/>
      <c r="I176" s="56">
        <f t="shared" si="34"/>
        <v>173</v>
      </c>
      <c r="J176" s="56">
        <f t="shared" si="35"/>
        <v>5190000</v>
      </c>
      <c r="K176" s="57">
        <f t="shared" si="36"/>
        <v>697190</v>
      </c>
      <c r="L176"/>
      <c r="M176" s="314">
        <f t="shared" si="32"/>
        <v>0</v>
      </c>
      <c r="N176" s="310"/>
      <c r="O176" s="315"/>
      <c r="P176" s="315"/>
      <c r="Q176" s="315"/>
      <c r="R176" s="315"/>
      <c r="S176" s="55"/>
      <c r="T176" s="55"/>
      <c r="U176" s="55"/>
      <c r="V176" s="55"/>
      <c r="W176" s="55"/>
      <c r="X176" s="55"/>
      <c r="Y176" s="55"/>
      <c r="Z176" s="55"/>
      <c r="AA176" s="55"/>
      <c r="AB176" s="55"/>
      <c r="AC176" s="55"/>
      <c r="AD176" s="55"/>
      <c r="AE176" s="55"/>
      <c r="AF176" s="55"/>
      <c r="AG176" s="55"/>
      <c r="AH176" s="55"/>
      <c r="AI176" s="55"/>
      <c r="AJ176" s="55"/>
      <c r="AK176" s="55"/>
      <c r="AL176" s="55"/>
      <c r="AM176" s="55"/>
      <c r="AN176" s="55"/>
      <c r="AO176" s="55"/>
      <c r="AP176" s="55"/>
      <c r="AQ176" s="55"/>
      <c r="AR176" s="55"/>
      <c r="AS176" s="55"/>
      <c r="AT176" s="55"/>
      <c r="AU176" s="55"/>
      <c r="AV176" s="55"/>
      <c r="AW176" s="55"/>
      <c r="AX176" s="55"/>
      <c r="AY176" s="55"/>
      <c r="AZ176" s="55"/>
      <c r="BA176" s="55"/>
      <c r="BB176" s="55"/>
      <c r="BC176" s="55"/>
      <c r="BD176" s="55"/>
      <c r="BE176" s="55"/>
      <c r="BF176" s="55"/>
      <c r="BG176" s="55"/>
      <c r="BH176" s="55"/>
      <c r="BI176" s="55"/>
      <c r="BJ176" s="55"/>
      <c r="BK176" s="55"/>
      <c r="BL176" s="55"/>
      <c r="BM176" s="55"/>
      <c r="BN176" s="55"/>
      <c r="BO176" s="55"/>
      <c r="BP176" s="55"/>
      <c r="BQ176" s="55"/>
      <c r="BR176" s="55"/>
      <c r="BS176" s="55"/>
      <c r="BT176" s="55"/>
      <c r="BU176" s="55"/>
      <c r="BV176" s="55"/>
      <c r="BW176" s="55"/>
      <c r="BX176" s="55"/>
      <c r="BY176" s="55"/>
      <c r="BZ176" s="55"/>
      <c r="CA176" s="55"/>
      <c r="CB176" s="55"/>
      <c r="CC176" s="55"/>
      <c r="CD176" s="55"/>
      <c r="CE176" s="55"/>
      <c r="CF176" s="55"/>
      <c r="CG176" s="55"/>
      <c r="CH176" s="55"/>
      <c r="CI176" s="55"/>
      <c r="CJ176" s="55"/>
      <c r="CK176" s="55"/>
      <c r="CL176" s="55"/>
      <c r="CM176" s="55"/>
      <c r="CN176" s="55"/>
      <c r="CO176" s="55"/>
      <c r="CP176" s="55"/>
      <c r="CQ176" s="55"/>
      <c r="CR176" s="55"/>
      <c r="CS176" s="55"/>
      <c r="CT176" s="55"/>
      <c r="CU176" s="55"/>
      <c r="CV176" s="55"/>
      <c r="CW176" s="55"/>
      <c r="CX176" s="55"/>
      <c r="CY176" s="55"/>
      <c r="CZ176" s="55"/>
      <c r="DA176" s="55"/>
      <c r="DB176" s="55"/>
      <c r="DC176" s="55"/>
      <c r="DD176" s="55"/>
      <c r="DE176" s="55"/>
      <c r="DF176" s="55"/>
      <c r="DG176" s="55"/>
      <c r="DH176" s="55"/>
      <c r="DI176" s="55"/>
    </row>
    <row r="177" spans="1:113" x14ac:dyDescent="0.25">
      <c r="A177" s="152">
        <v>51</v>
      </c>
      <c r="B177" s="60" t="s">
        <v>352</v>
      </c>
      <c r="C177" s="80">
        <v>7000</v>
      </c>
      <c r="D177" s="142">
        <v>1229.56</v>
      </c>
      <c r="E177" s="43">
        <v>43</v>
      </c>
      <c r="F177" s="60"/>
      <c r="G177" s="139">
        <f t="shared" si="33"/>
        <v>43</v>
      </c>
      <c r="H177" s="55"/>
      <c r="I177" s="56">
        <f t="shared" si="34"/>
        <v>43</v>
      </c>
      <c r="J177" s="56">
        <f t="shared" si="35"/>
        <v>301000</v>
      </c>
      <c r="K177" s="57">
        <f t="shared" si="36"/>
        <v>52871.079999999994</v>
      </c>
      <c r="L177"/>
      <c r="M177" s="314">
        <f t="shared" si="32"/>
        <v>0</v>
      </c>
      <c r="N177" s="310"/>
      <c r="O177" s="315"/>
      <c r="P177" s="315"/>
      <c r="Q177" s="315"/>
      <c r="R177" s="315"/>
      <c r="S177" s="55"/>
      <c r="T177" s="55"/>
      <c r="U177" s="55"/>
      <c r="V177" s="55"/>
      <c r="W177" s="55"/>
      <c r="X177" s="55"/>
      <c r="Y177" s="55"/>
      <c r="Z177" s="55"/>
      <c r="AA177" s="55"/>
      <c r="AB177" s="55"/>
      <c r="AC177" s="55"/>
      <c r="AD177" s="55"/>
      <c r="AE177" s="55"/>
      <c r="AF177" s="55"/>
      <c r="AG177" s="55"/>
      <c r="AH177" s="55"/>
      <c r="AI177" s="55"/>
      <c r="AJ177" s="55"/>
      <c r="AK177" s="55"/>
      <c r="AL177" s="55"/>
      <c r="AM177" s="55"/>
      <c r="AN177" s="55"/>
      <c r="AO177" s="55"/>
      <c r="AP177" s="55"/>
      <c r="AQ177" s="55"/>
      <c r="AR177" s="55"/>
      <c r="AS177" s="55"/>
      <c r="AT177" s="55"/>
      <c r="AU177" s="55"/>
      <c r="AV177" s="55"/>
      <c r="AW177" s="55"/>
      <c r="AX177" s="55"/>
      <c r="AY177" s="55"/>
      <c r="AZ177" s="55"/>
      <c r="BA177" s="55"/>
      <c r="BB177" s="55"/>
      <c r="BC177" s="55"/>
      <c r="BD177" s="55"/>
      <c r="BE177" s="55"/>
      <c r="BF177" s="55"/>
      <c r="BG177" s="55"/>
      <c r="BH177" s="55"/>
      <c r="BI177" s="55"/>
      <c r="BJ177" s="55"/>
      <c r="BK177" s="55"/>
      <c r="BL177" s="55"/>
      <c r="BM177" s="55"/>
      <c r="BN177" s="55"/>
      <c r="BO177" s="55"/>
      <c r="BP177" s="55"/>
      <c r="BQ177" s="55"/>
      <c r="BR177" s="55"/>
      <c r="BS177" s="55"/>
      <c r="BT177" s="55"/>
      <c r="BU177" s="55"/>
      <c r="BV177" s="55"/>
      <c r="BW177" s="55"/>
      <c r="BX177" s="55"/>
      <c r="BY177" s="55"/>
      <c r="BZ177" s="55"/>
      <c r="CA177" s="55"/>
      <c r="CB177" s="55"/>
      <c r="CC177" s="55"/>
      <c r="CD177" s="55"/>
      <c r="CE177" s="55"/>
      <c r="CF177" s="55"/>
      <c r="CG177" s="55"/>
      <c r="CH177" s="55"/>
      <c r="CI177" s="55"/>
      <c r="CJ177" s="55"/>
      <c r="CK177" s="55"/>
      <c r="CL177" s="55"/>
      <c r="CM177" s="55"/>
      <c r="CN177" s="55"/>
      <c r="CO177" s="55"/>
      <c r="CP177" s="55"/>
      <c r="CQ177" s="55"/>
      <c r="CR177" s="55"/>
      <c r="CS177" s="55"/>
      <c r="CT177" s="55"/>
      <c r="CU177" s="55"/>
      <c r="CV177" s="55"/>
      <c r="CW177" s="55"/>
      <c r="CX177" s="55"/>
      <c r="CY177" s="55"/>
      <c r="CZ177" s="55"/>
      <c r="DA177" s="55"/>
      <c r="DB177" s="55"/>
      <c r="DC177" s="55"/>
      <c r="DD177" s="55"/>
      <c r="DE177" s="55"/>
      <c r="DF177" s="55"/>
      <c r="DG177" s="55"/>
      <c r="DH177" s="55"/>
      <c r="DI177" s="55"/>
    </row>
    <row r="178" spans="1:113" x14ac:dyDescent="0.25">
      <c r="A178" s="152">
        <v>52</v>
      </c>
      <c r="B178" s="60" t="s">
        <v>353</v>
      </c>
      <c r="C178" s="80">
        <v>30000</v>
      </c>
      <c r="D178" s="142">
        <v>4510</v>
      </c>
      <c r="E178" s="43">
        <v>177</v>
      </c>
      <c r="F178" s="60"/>
      <c r="G178" s="139">
        <f t="shared" si="33"/>
        <v>177</v>
      </c>
      <c r="H178" s="55"/>
      <c r="I178" s="56">
        <f t="shared" si="34"/>
        <v>177</v>
      </c>
      <c r="J178" s="56">
        <f t="shared" si="35"/>
        <v>5310000</v>
      </c>
      <c r="K178" s="57">
        <f t="shared" si="36"/>
        <v>798270</v>
      </c>
      <c r="L178"/>
      <c r="M178" s="314">
        <f t="shared" si="32"/>
        <v>0</v>
      </c>
      <c r="N178" s="310"/>
      <c r="O178" s="315"/>
      <c r="P178" s="315"/>
      <c r="Q178" s="315"/>
      <c r="R178" s="315"/>
      <c r="S178" s="55"/>
      <c r="T178" s="55"/>
      <c r="U178" s="55"/>
      <c r="V178" s="55"/>
      <c r="W178" s="55"/>
      <c r="X178" s="55"/>
      <c r="Y178" s="55"/>
      <c r="Z178" s="55"/>
      <c r="AA178" s="55"/>
      <c r="AB178" s="55"/>
      <c r="AC178" s="55"/>
      <c r="AD178" s="55"/>
      <c r="AE178" s="55"/>
      <c r="AF178" s="55"/>
      <c r="AG178" s="55"/>
      <c r="AH178" s="55"/>
      <c r="AI178" s="55"/>
      <c r="AJ178" s="55"/>
      <c r="AK178" s="55"/>
      <c r="AL178" s="55"/>
      <c r="AM178" s="55"/>
      <c r="AN178" s="55"/>
      <c r="AO178" s="55"/>
      <c r="AP178" s="55"/>
      <c r="AQ178" s="55"/>
      <c r="AR178" s="55"/>
      <c r="AS178" s="55"/>
      <c r="AT178" s="55"/>
      <c r="AU178" s="55"/>
      <c r="AV178" s="55"/>
      <c r="AW178" s="55"/>
      <c r="AX178" s="55"/>
      <c r="AY178" s="55"/>
      <c r="AZ178" s="55"/>
      <c r="BA178" s="55"/>
      <c r="BB178" s="55"/>
      <c r="BC178" s="55"/>
      <c r="BD178" s="55"/>
      <c r="BE178" s="55"/>
      <c r="BF178" s="55"/>
      <c r="BG178" s="55"/>
      <c r="BH178" s="55"/>
      <c r="BI178" s="55"/>
      <c r="BJ178" s="55"/>
      <c r="BK178" s="55"/>
      <c r="BL178" s="55"/>
      <c r="BM178" s="55"/>
      <c r="BN178" s="55"/>
      <c r="BO178" s="55"/>
      <c r="BP178" s="55"/>
      <c r="BQ178" s="55"/>
      <c r="BR178" s="55"/>
      <c r="BS178" s="55"/>
      <c r="BT178" s="55"/>
      <c r="BU178" s="55"/>
      <c r="BV178" s="55"/>
      <c r="BW178" s="55"/>
      <c r="BX178" s="55"/>
      <c r="BY178" s="55"/>
      <c r="BZ178" s="55"/>
      <c r="CA178" s="55"/>
      <c r="CB178" s="55"/>
      <c r="CC178" s="55"/>
      <c r="CD178" s="55"/>
      <c r="CE178" s="55"/>
      <c r="CF178" s="55"/>
      <c r="CG178" s="55"/>
      <c r="CH178" s="55"/>
      <c r="CI178" s="55"/>
      <c r="CJ178" s="55"/>
      <c r="CK178" s="55"/>
      <c r="CL178" s="55"/>
      <c r="CM178" s="55"/>
      <c r="CN178" s="55"/>
      <c r="CO178" s="55"/>
      <c r="CP178" s="55"/>
      <c r="CQ178" s="55"/>
      <c r="CR178" s="55"/>
      <c r="CS178" s="55"/>
      <c r="CT178" s="55"/>
      <c r="CU178" s="55"/>
      <c r="CV178" s="55"/>
      <c r="CW178" s="55"/>
      <c r="CX178" s="55"/>
      <c r="CY178" s="55"/>
      <c r="CZ178" s="55"/>
      <c r="DA178" s="55"/>
      <c r="DB178" s="55"/>
      <c r="DC178" s="55"/>
      <c r="DD178" s="55"/>
      <c r="DE178" s="55"/>
      <c r="DF178" s="55"/>
      <c r="DG178" s="55"/>
      <c r="DH178" s="55"/>
      <c r="DI178" s="55"/>
    </row>
    <row r="179" spans="1:113" x14ac:dyDescent="0.25">
      <c r="A179" s="152">
        <v>53</v>
      </c>
      <c r="B179" s="60" t="s">
        <v>354</v>
      </c>
      <c r="C179" s="80">
        <v>5000</v>
      </c>
      <c r="D179" s="142">
        <v>1431.5</v>
      </c>
      <c r="E179" s="43">
        <v>161</v>
      </c>
      <c r="F179" s="60"/>
      <c r="G179" s="139">
        <f t="shared" si="33"/>
        <v>161</v>
      </c>
      <c r="H179" s="55"/>
      <c r="I179" s="56">
        <f t="shared" si="34"/>
        <v>161</v>
      </c>
      <c r="J179" s="56">
        <f t="shared" si="35"/>
        <v>805000</v>
      </c>
      <c r="K179" s="57">
        <f t="shared" si="36"/>
        <v>230471.5</v>
      </c>
      <c r="L179"/>
      <c r="M179" s="314">
        <f t="shared" si="32"/>
        <v>0</v>
      </c>
      <c r="N179" s="310"/>
      <c r="O179" s="315"/>
      <c r="P179" s="315"/>
      <c r="Q179" s="315"/>
      <c r="R179" s="315"/>
      <c r="S179" s="55"/>
      <c r="T179" s="55"/>
      <c r="U179" s="55"/>
      <c r="V179" s="55"/>
      <c r="W179" s="55"/>
      <c r="X179" s="55"/>
      <c r="Y179" s="55"/>
      <c r="Z179" s="55"/>
      <c r="AA179" s="55"/>
      <c r="AB179" s="55"/>
      <c r="AC179" s="55"/>
      <c r="AD179" s="55"/>
      <c r="AE179" s="55"/>
      <c r="AF179" s="55"/>
      <c r="AG179" s="55"/>
      <c r="AH179" s="55"/>
      <c r="AI179" s="55"/>
      <c r="AJ179" s="55"/>
      <c r="AK179" s="55"/>
      <c r="AL179" s="55"/>
      <c r="AM179" s="55"/>
      <c r="AN179" s="55"/>
      <c r="AO179" s="55"/>
      <c r="AP179" s="55"/>
      <c r="AQ179" s="55"/>
      <c r="AR179" s="55"/>
      <c r="AS179" s="55"/>
      <c r="AT179" s="55"/>
      <c r="AU179" s="55"/>
      <c r="AV179" s="55"/>
      <c r="AW179" s="55"/>
      <c r="AX179" s="55"/>
      <c r="AY179" s="55"/>
      <c r="AZ179" s="55"/>
      <c r="BA179" s="55"/>
      <c r="BB179" s="55"/>
      <c r="BC179" s="55"/>
      <c r="BD179" s="55"/>
      <c r="BE179" s="55"/>
      <c r="BF179" s="55"/>
      <c r="BG179" s="55"/>
      <c r="BH179" s="55"/>
      <c r="BI179" s="55"/>
      <c r="BJ179" s="55"/>
      <c r="BK179" s="55"/>
      <c r="BL179" s="55"/>
      <c r="BM179" s="55"/>
      <c r="BN179" s="55"/>
      <c r="BO179" s="55"/>
      <c r="BP179" s="55"/>
      <c r="BQ179" s="55"/>
      <c r="BR179" s="55"/>
      <c r="BS179" s="55"/>
      <c r="BT179" s="55"/>
      <c r="BU179" s="55"/>
      <c r="BV179" s="55"/>
      <c r="BW179" s="55"/>
      <c r="BX179" s="55"/>
      <c r="BY179" s="55"/>
      <c r="BZ179" s="55"/>
      <c r="CA179" s="55"/>
      <c r="CB179" s="55"/>
      <c r="CC179" s="55"/>
      <c r="CD179" s="55"/>
      <c r="CE179" s="55"/>
      <c r="CF179" s="55"/>
      <c r="CG179" s="55"/>
      <c r="CH179" s="55"/>
      <c r="CI179" s="55"/>
      <c r="CJ179" s="55"/>
      <c r="CK179" s="55"/>
      <c r="CL179" s="55"/>
      <c r="CM179" s="55"/>
      <c r="CN179" s="55"/>
      <c r="CO179" s="55"/>
      <c r="CP179" s="55"/>
      <c r="CQ179" s="55"/>
      <c r="CR179" s="55"/>
      <c r="CS179" s="55"/>
      <c r="CT179" s="55"/>
      <c r="CU179" s="55"/>
      <c r="CV179" s="55"/>
      <c r="CW179" s="55"/>
      <c r="CX179" s="55"/>
      <c r="CY179" s="55"/>
      <c r="CZ179" s="55"/>
      <c r="DA179" s="55"/>
      <c r="DB179" s="55"/>
      <c r="DC179" s="55"/>
      <c r="DD179" s="55"/>
      <c r="DE179" s="55"/>
      <c r="DF179" s="55"/>
      <c r="DG179" s="55"/>
      <c r="DH179" s="55"/>
      <c r="DI179" s="55"/>
    </row>
    <row r="180" spans="1:113" x14ac:dyDescent="0.25">
      <c r="A180" s="152">
        <v>54</v>
      </c>
      <c r="B180" s="60" t="s">
        <v>355</v>
      </c>
      <c r="C180" s="80">
        <v>8000</v>
      </c>
      <c r="D180" s="142">
        <v>1565.82</v>
      </c>
      <c r="E180" s="43">
        <v>178</v>
      </c>
      <c r="F180" s="60"/>
      <c r="G180" s="139">
        <f t="shared" si="33"/>
        <v>178</v>
      </c>
      <c r="H180" s="55"/>
      <c r="I180" s="56">
        <f t="shared" si="34"/>
        <v>178</v>
      </c>
      <c r="J180" s="56">
        <f t="shared" si="35"/>
        <v>1424000</v>
      </c>
      <c r="K180" s="57">
        <f t="shared" si="36"/>
        <v>278715.95999999996</v>
      </c>
      <c r="L180"/>
      <c r="M180" s="314">
        <f t="shared" si="32"/>
        <v>0</v>
      </c>
      <c r="N180" s="310"/>
      <c r="O180" s="315"/>
      <c r="P180" s="315"/>
      <c r="Q180" s="315"/>
      <c r="R180" s="315"/>
      <c r="S180" s="55"/>
      <c r="T180" s="55"/>
      <c r="U180" s="55"/>
      <c r="V180" s="55"/>
      <c r="W180" s="55"/>
      <c r="X180" s="55"/>
      <c r="Y180" s="55"/>
      <c r="Z180" s="55"/>
      <c r="AA180" s="55"/>
      <c r="AB180" s="55"/>
      <c r="AC180" s="55"/>
      <c r="AD180" s="55"/>
      <c r="AE180" s="55"/>
      <c r="AF180" s="55"/>
      <c r="AG180" s="55"/>
      <c r="AH180" s="55"/>
      <c r="AI180" s="55"/>
      <c r="AJ180" s="55"/>
      <c r="AK180" s="55"/>
      <c r="AL180" s="55"/>
      <c r="AM180" s="55"/>
      <c r="AN180" s="55"/>
      <c r="AO180" s="55"/>
      <c r="AP180" s="55"/>
      <c r="AQ180" s="55"/>
      <c r="AR180" s="55"/>
      <c r="AS180" s="55"/>
      <c r="AT180" s="55"/>
      <c r="AU180" s="55"/>
      <c r="AV180" s="55"/>
      <c r="AW180" s="55"/>
      <c r="AX180" s="55"/>
      <c r="AY180" s="55"/>
      <c r="AZ180" s="55"/>
      <c r="BA180" s="55"/>
      <c r="BB180" s="55"/>
      <c r="BC180" s="55"/>
      <c r="BD180" s="55"/>
      <c r="BE180" s="55"/>
      <c r="BF180" s="55"/>
      <c r="BG180" s="55"/>
      <c r="BH180" s="55"/>
      <c r="BI180" s="55"/>
      <c r="BJ180" s="55"/>
      <c r="BK180" s="55"/>
      <c r="BL180" s="55"/>
      <c r="BM180" s="55"/>
      <c r="BN180" s="55"/>
      <c r="BO180" s="55"/>
      <c r="BP180" s="55"/>
      <c r="BQ180" s="55"/>
      <c r="BR180" s="55"/>
      <c r="BS180" s="55"/>
      <c r="BT180" s="55"/>
      <c r="BU180" s="55"/>
      <c r="BV180" s="55"/>
      <c r="BW180" s="55"/>
      <c r="BX180" s="55"/>
      <c r="BY180" s="55"/>
      <c r="BZ180" s="55"/>
      <c r="CA180" s="55"/>
      <c r="CB180" s="55"/>
      <c r="CC180" s="55"/>
      <c r="CD180" s="55"/>
      <c r="CE180" s="55"/>
      <c r="CF180" s="55"/>
      <c r="CG180" s="55"/>
      <c r="CH180" s="55"/>
      <c r="CI180" s="55"/>
      <c r="CJ180" s="55"/>
      <c r="CK180" s="55"/>
      <c r="CL180" s="55"/>
      <c r="CM180" s="55"/>
      <c r="CN180" s="55"/>
      <c r="CO180" s="55"/>
      <c r="CP180" s="55"/>
      <c r="CQ180" s="55"/>
      <c r="CR180" s="55"/>
      <c r="CS180" s="55"/>
      <c r="CT180" s="55"/>
      <c r="CU180" s="55"/>
      <c r="CV180" s="55"/>
      <c r="CW180" s="55"/>
      <c r="CX180" s="55"/>
      <c r="CY180" s="55"/>
      <c r="CZ180" s="55"/>
      <c r="DA180" s="55"/>
      <c r="DB180" s="55"/>
      <c r="DC180" s="55"/>
      <c r="DD180" s="55"/>
      <c r="DE180" s="55"/>
      <c r="DF180" s="55"/>
      <c r="DG180" s="55"/>
      <c r="DH180" s="55"/>
      <c r="DI180" s="55"/>
    </row>
    <row r="181" spans="1:113" ht="15.75" thickBot="1" x14ac:dyDescent="0.3">
      <c r="A181" s="153">
        <v>55</v>
      </c>
      <c r="B181" s="156" t="s">
        <v>356</v>
      </c>
      <c r="C181" s="82">
        <v>42000</v>
      </c>
      <c r="D181" s="145"/>
      <c r="E181" s="154">
        <v>0</v>
      </c>
      <c r="F181" s="156"/>
      <c r="G181" s="147">
        <f t="shared" si="33"/>
        <v>0</v>
      </c>
      <c r="H181" s="55">
        <f>7-7</f>
        <v>0</v>
      </c>
      <c r="I181" s="64">
        <f t="shared" si="34"/>
        <v>0</v>
      </c>
      <c r="J181" s="64">
        <f t="shared" si="35"/>
        <v>0</v>
      </c>
      <c r="K181" s="65">
        <f t="shared" si="36"/>
        <v>0</v>
      </c>
      <c r="L181"/>
      <c r="M181" s="314">
        <f t="shared" si="32"/>
        <v>0</v>
      </c>
      <c r="N181" s="310"/>
      <c r="O181" s="315"/>
      <c r="P181" s="315"/>
      <c r="Q181" s="315"/>
      <c r="R181" s="315"/>
      <c r="S181" s="55"/>
      <c r="T181" s="55"/>
      <c r="U181" s="55"/>
      <c r="V181" s="55"/>
      <c r="W181" s="55"/>
      <c r="X181" s="55"/>
      <c r="Y181" s="55"/>
      <c r="Z181" s="55"/>
      <c r="AA181" s="55"/>
      <c r="AB181" s="55"/>
      <c r="AC181" s="55"/>
      <c r="AD181" s="55"/>
      <c r="AE181" s="55"/>
      <c r="AF181" s="55"/>
      <c r="AG181" s="55"/>
      <c r="AH181" s="55"/>
      <c r="AI181" s="55"/>
      <c r="AJ181" s="55"/>
      <c r="AK181" s="55"/>
      <c r="AL181" s="55"/>
      <c r="AM181" s="55"/>
      <c r="AN181" s="55"/>
      <c r="AO181" s="55"/>
      <c r="AP181" s="55"/>
      <c r="AQ181" s="55"/>
      <c r="AR181" s="55"/>
      <c r="AS181" s="55"/>
      <c r="AT181" s="55"/>
      <c r="AU181" s="55"/>
      <c r="AV181" s="55"/>
      <c r="AW181" s="55"/>
      <c r="AX181" s="55"/>
      <c r="AY181" s="55"/>
      <c r="AZ181" s="55"/>
      <c r="BA181" s="55"/>
      <c r="BB181" s="55"/>
      <c r="BC181" s="55"/>
      <c r="BD181" s="55"/>
      <c r="BE181" s="55"/>
      <c r="BF181" s="55"/>
      <c r="BG181" s="55"/>
      <c r="BH181" s="55"/>
      <c r="BI181" s="55"/>
      <c r="BJ181" s="55"/>
      <c r="BK181" s="55"/>
      <c r="BL181" s="55"/>
      <c r="BM181" s="55"/>
      <c r="BN181" s="55"/>
      <c r="BO181" s="55"/>
      <c r="BP181" s="55"/>
      <c r="BQ181" s="55"/>
      <c r="BR181" s="55"/>
      <c r="BS181" s="55"/>
      <c r="BT181" s="55"/>
      <c r="BU181" s="55"/>
      <c r="BV181" s="55"/>
      <c r="BW181" s="55"/>
      <c r="BX181" s="55"/>
      <c r="BY181" s="55"/>
      <c r="BZ181" s="55"/>
      <c r="CA181" s="55"/>
      <c r="CB181" s="55"/>
      <c r="CC181" s="55"/>
      <c r="CD181" s="55"/>
      <c r="CE181" s="55"/>
      <c r="CF181" s="55"/>
      <c r="CG181" s="55"/>
      <c r="CH181" s="55"/>
      <c r="CI181" s="55"/>
      <c r="CJ181" s="55"/>
      <c r="CK181" s="55"/>
      <c r="CL181" s="55"/>
      <c r="CM181" s="55"/>
      <c r="CN181" s="55"/>
      <c r="CO181" s="55"/>
      <c r="CP181" s="55"/>
      <c r="CQ181" s="55"/>
      <c r="CR181" s="55"/>
      <c r="CS181" s="55"/>
      <c r="CT181" s="55"/>
      <c r="CU181" s="55"/>
      <c r="CV181" s="55"/>
      <c r="CW181" s="55"/>
      <c r="CX181" s="55"/>
      <c r="CY181" s="55"/>
      <c r="CZ181" s="55"/>
      <c r="DA181" s="55"/>
      <c r="DB181" s="55"/>
      <c r="DC181" s="55"/>
      <c r="DD181" s="55"/>
      <c r="DE181" s="55"/>
      <c r="DF181" s="55"/>
      <c r="DG181" s="55"/>
      <c r="DH181" s="55"/>
      <c r="DI181" s="55"/>
    </row>
    <row r="182" spans="1:113" ht="15.75" thickBot="1" x14ac:dyDescent="0.3">
      <c r="A182" s="128"/>
      <c r="B182" s="119" t="s">
        <v>669</v>
      </c>
      <c r="C182" s="36"/>
      <c r="D182" s="29"/>
      <c r="E182" s="29">
        <f>SUM(E127:E181)</f>
        <v>15106</v>
      </c>
      <c r="F182" s="29">
        <f>SUM(F127:F181)</f>
        <v>0</v>
      </c>
      <c r="G182" s="29">
        <f>SUM(G127:G181)</f>
        <v>15106</v>
      </c>
      <c r="H182" s="29">
        <f>SUM(H127:H181)</f>
        <v>0</v>
      </c>
      <c r="I182" s="29">
        <f>SUM(I127:I181)</f>
        <v>15106</v>
      </c>
      <c r="J182" s="29">
        <f t="shared" ref="J182:K182" si="37">SUM(J127:J181)</f>
        <v>86695500</v>
      </c>
      <c r="K182" s="47">
        <f t="shared" si="37"/>
        <v>21095980.699999999</v>
      </c>
      <c r="L182"/>
      <c r="M182" s="326">
        <f t="shared" si="32"/>
        <v>0</v>
      </c>
      <c r="N182" s="325"/>
      <c r="O182" s="325"/>
      <c r="P182" s="325"/>
      <c r="Q182" s="325"/>
      <c r="R182" s="325"/>
      <c r="S182" s="324"/>
      <c r="T182" s="324"/>
      <c r="U182" s="324"/>
      <c r="V182" s="324"/>
      <c r="W182" s="324"/>
      <c r="X182" s="324"/>
      <c r="Y182" s="324"/>
      <c r="Z182" s="324"/>
      <c r="AA182" s="324"/>
      <c r="AB182" s="324"/>
      <c r="AC182" s="324"/>
      <c r="AD182" s="324"/>
      <c r="AE182" s="324"/>
      <c r="AF182" s="324"/>
      <c r="AG182" s="324"/>
      <c r="AH182" s="324"/>
      <c r="AI182" s="324"/>
      <c r="AJ182" s="324"/>
      <c r="AK182" s="324"/>
      <c r="AL182" s="324"/>
      <c r="AM182" s="324"/>
      <c r="AN182" s="324"/>
      <c r="AO182" s="324"/>
      <c r="AP182" s="324"/>
      <c r="AQ182" s="324"/>
      <c r="AR182" s="324"/>
      <c r="AS182" s="324"/>
      <c r="AT182" s="324"/>
      <c r="AU182" s="324"/>
      <c r="AV182" s="324"/>
      <c r="AW182" s="324"/>
      <c r="AX182" s="324"/>
      <c r="AY182" s="324"/>
      <c r="AZ182" s="324"/>
      <c r="BA182" s="324"/>
      <c r="BB182" s="324"/>
      <c r="BC182" s="324"/>
      <c r="BD182" s="324"/>
      <c r="BE182" s="324"/>
      <c r="BF182" s="324"/>
      <c r="BG182" s="324"/>
      <c r="BH182" s="324"/>
      <c r="BI182" s="324"/>
      <c r="BJ182" s="324"/>
      <c r="BK182" s="324"/>
      <c r="BL182" s="324"/>
      <c r="BM182" s="324"/>
      <c r="BN182" s="324"/>
      <c r="BO182" s="324"/>
      <c r="BP182" s="324"/>
      <c r="BQ182" s="324"/>
      <c r="BR182" s="324"/>
      <c r="BS182" s="324"/>
      <c r="BT182" s="324"/>
      <c r="BU182" s="324"/>
      <c r="BV182" s="324"/>
      <c r="BW182" s="324"/>
      <c r="BX182" s="324"/>
      <c r="BY182" s="324"/>
      <c r="BZ182" s="324"/>
      <c r="CA182" s="324"/>
      <c r="CB182" s="324"/>
      <c r="CC182" s="324"/>
      <c r="CD182" s="324"/>
      <c r="CE182" s="324"/>
      <c r="CF182" s="324"/>
      <c r="CG182" s="324"/>
      <c r="CH182" s="324"/>
      <c r="CI182" s="324"/>
      <c r="CJ182" s="324"/>
      <c r="CK182" s="324"/>
      <c r="CL182" s="324"/>
      <c r="CM182" s="324"/>
      <c r="CN182" s="324"/>
      <c r="CO182" s="324"/>
      <c r="CP182" s="324"/>
      <c r="CQ182" s="324"/>
      <c r="CR182" s="324"/>
      <c r="CS182" s="324"/>
      <c r="CT182" s="324"/>
      <c r="CU182" s="324"/>
      <c r="CV182" s="324"/>
      <c r="CW182" s="324"/>
      <c r="CX182" s="324"/>
      <c r="CY182" s="324"/>
      <c r="CZ182" s="324"/>
      <c r="DA182" s="324"/>
      <c r="DB182" s="324"/>
      <c r="DC182" s="324"/>
      <c r="DD182" s="324"/>
      <c r="DE182" s="324"/>
      <c r="DF182" s="324"/>
      <c r="DG182" s="324"/>
      <c r="DH182" s="324"/>
      <c r="DI182" s="324"/>
    </row>
    <row r="183" spans="1:113" ht="16.5" customHeight="1" thickBot="1" x14ac:dyDescent="0.3">
      <c r="B183" s="161"/>
      <c r="C183" s="162"/>
      <c r="D183" s="163"/>
      <c r="E183" s="164"/>
      <c r="F183" s="67"/>
      <c r="G183" s="164"/>
      <c r="H183" s="164"/>
      <c r="I183" s="164"/>
      <c r="J183" s="164"/>
      <c r="K183" s="163"/>
      <c r="L183"/>
      <c r="M183"/>
      <c r="N183"/>
      <c r="O183"/>
      <c r="P183"/>
      <c r="Q183"/>
      <c r="R183"/>
      <c r="S183"/>
      <c r="T183"/>
      <c r="U183"/>
      <c r="V183"/>
    </row>
    <row r="184" spans="1:113" ht="15.75" thickBot="1" x14ac:dyDescent="0.3">
      <c r="A184" s="407" t="s">
        <v>657</v>
      </c>
      <c r="B184" s="414" t="s">
        <v>708</v>
      </c>
      <c r="C184" s="414" t="s">
        <v>1</v>
      </c>
      <c r="D184" s="415" t="s">
        <v>649</v>
      </c>
      <c r="E184" s="416" t="s">
        <v>19</v>
      </c>
      <c r="F184" s="416"/>
      <c r="G184" s="416"/>
      <c r="H184" s="416"/>
      <c r="I184" s="416"/>
      <c r="J184" s="410" t="s">
        <v>21</v>
      </c>
      <c r="K184" s="417" t="s">
        <v>602</v>
      </c>
      <c r="L184"/>
      <c r="M184" s="403" t="s">
        <v>601</v>
      </c>
      <c r="N184" s="403" t="s">
        <v>924</v>
      </c>
      <c r="O184" s="403"/>
      <c r="P184" s="403"/>
      <c r="Q184" s="403"/>
      <c r="R184" s="403"/>
      <c r="S184" s="403"/>
      <c r="T184" s="403"/>
      <c r="U184" s="403"/>
      <c r="V184" s="403"/>
      <c r="W184" s="403"/>
      <c r="X184" s="403"/>
      <c r="Y184" s="403"/>
      <c r="Z184" s="403"/>
      <c r="AA184" s="403"/>
      <c r="AB184" s="403"/>
      <c r="AC184" s="403"/>
      <c r="AD184" s="403"/>
      <c r="AE184" s="403"/>
      <c r="AF184" s="403"/>
      <c r="AG184" s="403"/>
      <c r="AH184" s="403"/>
      <c r="AI184" s="403"/>
      <c r="AJ184" s="403"/>
      <c r="AK184" s="403"/>
      <c r="AL184" s="403"/>
      <c r="AM184" s="403"/>
      <c r="AN184" s="403"/>
      <c r="AO184" s="403"/>
      <c r="AP184" s="403"/>
      <c r="AQ184" s="403"/>
      <c r="AR184" s="403"/>
      <c r="AS184" s="403"/>
      <c r="AT184" s="403"/>
      <c r="AU184" s="403"/>
      <c r="AV184" s="403"/>
      <c r="AW184" s="403"/>
      <c r="AX184" s="403"/>
      <c r="AY184" s="403"/>
      <c r="AZ184" s="403"/>
      <c r="BA184" s="403"/>
      <c r="BB184" s="403"/>
      <c r="BC184" s="403"/>
      <c r="BD184" s="403"/>
      <c r="BE184" s="403"/>
      <c r="BF184" s="403"/>
      <c r="BG184" s="403"/>
      <c r="BH184" s="403"/>
      <c r="BI184" s="403"/>
      <c r="BJ184" s="403"/>
      <c r="BK184" s="403"/>
      <c r="BL184" s="403"/>
      <c r="BM184" s="403"/>
      <c r="BN184" s="403"/>
      <c r="BO184" s="403"/>
      <c r="BP184" s="403"/>
      <c r="BQ184" s="403"/>
      <c r="BR184" s="403"/>
      <c r="BS184" s="403"/>
      <c r="BT184" s="403"/>
      <c r="BU184" s="403"/>
      <c r="BV184" s="403"/>
      <c r="BW184" s="403"/>
      <c r="BX184" s="403"/>
      <c r="BY184" s="403"/>
      <c r="BZ184" s="403"/>
      <c r="CA184" s="403"/>
      <c r="CB184" s="403"/>
      <c r="CC184" s="403"/>
      <c r="CD184" s="403"/>
      <c r="CE184" s="403"/>
      <c r="CF184" s="403"/>
      <c r="CG184" s="403"/>
      <c r="CH184" s="403"/>
      <c r="CI184" s="403"/>
      <c r="CJ184" s="403"/>
      <c r="CK184" s="403"/>
      <c r="CL184" s="403"/>
      <c r="CM184" s="403"/>
      <c r="CN184" s="403"/>
      <c r="CO184" s="403"/>
      <c r="CP184" s="403"/>
      <c r="CQ184" s="403"/>
      <c r="CR184" s="403"/>
      <c r="CS184" s="403"/>
      <c r="CT184" s="403"/>
      <c r="CU184" s="403"/>
      <c r="CV184" s="403"/>
      <c r="CW184" s="403"/>
      <c r="CX184" s="403"/>
      <c r="CY184" s="403"/>
      <c r="CZ184" s="403"/>
      <c r="DA184" s="403"/>
      <c r="DB184" s="403"/>
      <c r="DC184" s="403"/>
      <c r="DD184" s="403"/>
      <c r="DE184" s="403"/>
      <c r="DF184" s="403"/>
      <c r="DG184" s="403"/>
      <c r="DH184" s="403"/>
      <c r="DI184" s="403"/>
    </row>
    <row r="185" spans="1:113" ht="30.75" thickBot="1" x14ac:dyDescent="0.3">
      <c r="A185" s="408"/>
      <c r="B185" s="414"/>
      <c r="C185" s="414"/>
      <c r="D185" s="415"/>
      <c r="E185" s="68" t="s">
        <v>22</v>
      </c>
      <c r="F185" s="68" t="s">
        <v>600</v>
      </c>
      <c r="G185" s="68" t="s">
        <v>601</v>
      </c>
      <c r="H185" s="68" t="s">
        <v>589</v>
      </c>
      <c r="I185" s="68" t="s">
        <v>601</v>
      </c>
      <c r="J185" s="411"/>
      <c r="K185" s="418"/>
      <c r="L185"/>
      <c r="M185" s="403"/>
      <c r="N185" s="400" t="s">
        <v>925</v>
      </c>
      <c r="O185" s="400" t="s">
        <v>926</v>
      </c>
      <c r="P185" s="400"/>
      <c r="Q185" s="400"/>
      <c r="R185" s="400"/>
      <c r="S185" s="398"/>
      <c r="T185" s="398"/>
      <c r="U185" s="398"/>
      <c r="V185" s="398"/>
      <c r="W185" s="398"/>
      <c r="X185" s="398"/>
      <c r="Y185" s="398"/>
      <c r="Z185" s="398"/>
      <c r="AA185" s="398"/>
      <c r="AB185" s="398"/>
      <c r="AC185" s="398"/>
      <c r="AD185" s="398"/>
      <c r="AE185" s="398"/>
      <c r="AF185" s="398"/>
      <c r="AG185" s="398"/>
      <c r="AH185" s="398"/>
      <c r="AI185" s="398"/>
      <c r="AJ185" s="398"/>
      <c r="AK185" s="398"/>
      <c r="AL185" s="398"/>
      <c r="AM185" s="398"/>
      <c r="AN185" s="398"/>
      <c r="AO185" s="398"/>
      <c r="AP185" s="398"/>
      <c r="AQ185" s="398"/>
      <c r="AR185" s="398"/>
      <c r="AS185" s="398"/>
      <c r="AT185" s="398"/>
      <c r="AU185" s="398"/>
      <c r="AV185" s="398"/>
      <c r="AW185" s="398"/>
      <c r="AX185" s="398"/>
      <c r="AY185" s="398"/>
      <c r="AZ185" s="398"/>
      <c r="BA185" s="398"/>
      <c r="BB185" s="398"/>
      <c r="BC185" s="398"/>
      <c r="BD185" s="398"/>
      <c r="BE185" s="398"/>
      <c r="BF185" s="398"/>
      <c r="BG185" s="398"/>
      <c r="BH185" s="398"/>
      <c r="BI185" s="398"/>
      <c r="BJ185" s="398"/>
      <c r="BK185" s="398"/>
      <c r="BL185" s="398"/>
      <c r="BM185" s="398"/>
      <c r="BN185" s="398"/>
      <c r="BO185" s="398"/>
      <c r="BP185" s="398"/>
      <c r="BQ185" s="398"/>
      <c r="BR185" s="398"/>
      <c r="BS185" s="398"/>
      <c r="BT185" s="398"/>
      <c r="BU185" s="398"/>
      <c r="BV185" s="398"/>
      <c r="BW185" s="398"/>
      <c r="BX185" s="398"/>
      <c r="BY185" s="398"/>
      <c r="BZ185" s="398"/>
      <c r="CA185" s="398"/>
      <c r="CB185" s="398"/>
      <c r="CC185" s="398"/>
      <c r="CD185" s="398"/>
      <c r="CE185" s="398"/>
      <c r="CF185" s="398"/>
      <c r="CG185" s="398"/>
      <c r="CH185" s="398"/>
      <c r="CI185" s="398"/>
      <c r="CJ185" s="398"/>
      <c r="CK185" s="398"/>
      <c r="CL185" s="398"/>
      <c r="CM185" s="398"/>
      <c r="CN185" s="398"/>
      <c r="CO185" s="398"/>
      <c r="CP185" s="398"/>
      <c r="CQ185" s="398"/>
      <c r="CR185" s="398"/>
      <c r="CS185" s="398"/>
      <c r="CT185" s="398"/>
      <c r="CU185" s="398"/>
      <c r="CV185" s="398"/>
      <c r="CW185" s="398"/>
      <c r="CX185" s="398"/>
      <c r="CY185" s="398"/>
      <c r="CZ185" s="398"/>
      <c r="DA185" s="398"/>
      <c r="DB185" s="398"/>
      <c r="DC185" s="398"/>
      <c r="DD185" s="398"/>
      <c r="DE185" s="398"/>
      <c r="DF185" s="398"/>
      <c r="DG185" s="398"/>
      <c r="DH185" s="398"/>
      <c r="DI185" s="398"/>
    </row>
    <row r="186" spans="1:113" ht="15.75" thickBot="1" x14ac:dyDescent="0.3">
      <c r="A186" s="409"/>
      <c r="B186" s="185">
        <v>1</v>
      </c>
      <c r="C186" s="185">
        <v>2</v>
      </c>
      <c r="D186" s="185">
        <v>3</v>
      </c>
      <c r="E186" s="70">
        <v>4</v>
      </c>
      <c r="F186" s="70">
        <f>+E186+1</f>
        <v>5</v>
      </c>
      <c r="G186" s="70" t="s">
        <v>652</v>
      </c>
      <c r="H186" s="70">
        <v>7</v>
      </c>
      <c r="I186" s="71" t="s">
        <v>651</v>
      </c>
      <c r="J186" s="42" t="s">
        <v>650</v>
      </c>
      <c r="K186" s="42" t="s">
        <v>653</v>
      </c>
      <c r="L186"/>
      <c r="M186" s="403"/>
      <c r="N186" s="402"/>
      <c r="O186" s="402"/>
      <c r="P186" s="402"/>
      <c r="Q186" s="402"/>
      <c r="R186" s="402"/>
      <c r="S186" s="399"/>
      <c r="T186" s="399"/>
      <c r="U186" s="399"/>
      <c r="V186" s="399"/>
      <c r="W186" s="399"/>
      <c r="X186" s="399"/>
      <c r="Y186" s="399"/>
      <c r="Z186" s="399"/>
      <c r="AA186" s="399"/>
      <c r="AB186" s="399"/>
      <c r="AC186" s="399"/>
      <c r="AD186" s="399"/>
      <c r="AE186" s="399"/>
      <c r="AF186" s="399"/>
      <c r="AG186" s="399"/>
      <c r="AH186" s="399"/>
      <c r="AI186" s="399"/>
      <c r="AJ186" s="399"/>
      <c r="AK186" s="399"/>
      <c r="AL186" s="399"/>
      <c r="AM186" s="399"/>
      <c r="AN186" s="399"/>
      <c r="AO186" s="399"/>
      <c r="AP186" s="399"/>
      <c r="AQ186" s="399"/>
      <c r="AR186" s="399"/>
      <c r="AS186" s="399"/>
      <c r="AT186" s="399"/>
      <c r="AU186" s="399"/>
      <c r="AV186" s="399"/>
      <c r="AW186" s="399"/>
      <c r="AX186" s="399"/>
      <c r="AY186" s="399"/>
      <c r="AZ186" s="399"/>
      <c r="BA186" s="399"/>
      <c r="BB186" s="399"/>
      <c r="BC186" s="399"/>
      <c r="BD186" s="399"/>
      <c r="BE186" s="399"/>
      <c r="BF186" s="399"/>
      <c r="BG186" s="399"/>
      <c r="BH186" s="399"/>
      <c r="BI186" s="399"/>
      <c r="BJ186" s="399"/>
      <c r="BK186" s="399"/>
      <c r="BL186" s="399"/>
      <c r="BM186" s="399"/>
      <c r="BN186" s="399"/>
      <c r="BO186" s="399"/>
      <c r="BP186" s="399"/>
      <c r="BQ186" s="399"/>
      <c r="BR186" s="399"/>
      <c r="BS186" s="399"/>
      <c r="BT186" s="399"/>
      <c r="BU186" s="399"/>
      <c r="BV186" s="399"/>
      <c r="BW186" s="399"/>
      <c r="BX186" s="399"/>
      <c r="BY186" s="399"/>
      <c r="BZ186" s="399"/>
      <c r="CA186" s="399"/>
      <c r="CB186" s="399"/>
      <c r="CC186" s="399"/>
      <c r="CD186" s="399"/>
      <c r="CE186" s="399"/>
      <c r="CF186" s="399"/>
      <c r="CG186" s="399"/>
      <c r="CH186" s="399"/>
      <c r="CI186" s="399"/>
      <c r="CJ186" s="399"/>
      <c r="CK186" s="399"/>
      <c r="CL186" s="399"/>
      <c r="CM186" s="399"/>
      <c r="CN186" s="399"/>
      <c r="CO186" s="399"/>
      <c r="CP186" s="399"/>
      <c r="CQ186" s="399"/>
      <c r="CR186" s="399"/>
      <c r="CS186" s="399"/>
      <c r="CT186" s="399"/>
      <c r="CU186" s="399"/>
      <c r="CV186" s="399"/>
      <c r="CW186" s="399"/>
      <c r="CX186" s="399"/>
      <c r="CY186" s="399"/>
      <c r="CZ186" s="399"/>
      <c r="DA186" s="399"/>
      <c r="DB186" s="399"/>
      <c r="DC186" s="399"/>
      <c r="DD186" s="399"/>
      <c r="DE186" s="399"/>
      <c r="DF186" s="399"/>
      <c r="DG186" s="399"/>
      <c r="DH186" s="399"/>
      <c r="DI186" s="399"/>
    </row>
    <row r="187" spans="1:113" x14ac:dyDescent="0.25">
      <c r="A187" s="160"/>
      <c r="B187" s="72" t="s">
        <v>709</v>
      </c>
      <c r="C187" s="54"/>
      <c r="D187" s="54"/>
      <c r="E187" s="54"/>
      <c r="F187" s="54"/>
      <c r="G187" s="54"/>
      <c r="H187" s="54"/>
      <c r="I187" s="54"/>
      <c r="J187" s="54"/>
      <c r="K187" s="54"/>
      <c r="L187"/>
      <c r="M187" s="314">
        <f t="shared" ref="M187:M191" si="38">SUM(N187:DJ187)</f>
        <v>0</v>
      </c>
      <c r="N187" s="310"/>
      <c r="O187" s="315"/>
      <c r="P187" s="315"/>
      <c r="Q187" s="315"/>
      <c r="R187" s="315"/>
      <c r="S187" s="55"/>
      <c r="T187" s="55"/>
      <c r="U187" s="55"/>
      <c r="V187" s="55"/>
      <c r="W187" s="55"/>
      <c r="X187" s="55"/>
      <c r="Y187" s="55"/>
      <c r="Z187" s="55"/>
      <c r="AA187" s="55"/>
      <c r="AB187" s="55"/>
      <c r="AC187" s="55"/>
      <c r="AD187" s="55"/>
      <c r="AE187" s="55"/>
      <c r="AF187" s="55"/>
      <c r="AG187" s="55"/>
      <c r="AH187" s="55"/>
      <c r="AI187" s="55"/>
      <c r="AJ187" s="55"/>
      <c r="AK187" s="55"/>
      <c r="AL187" s="55"/>
      <c r="AM187" s="55"/>
      <c r="AN187" s="55"/>
      <c r="AO187" s="55"/>
      <c r="AP187" s="55"/>
      <c r="AQ187" s="55"/>
      <c r="AR187" s="55"/>
      <c r="AS187" s="55"/>
      <c r="AT187" s="55"/>
      <c r="AU187" s="55"/>
      <c r="AV187" s="55"/>
      <c r="AW187" s="55"/>
      <c r="AX187" s="55"/>
      <c r="AY187" s="55"/>
      <c r="AZ187" s="55"/>
      <c r="BA187" s="55"/>
      <c r="BB187" s="55"/>
      <c r="BC187" s="55"/>
      <c r="BD187" s="55"/>
      <c r="BE187" s="55"/>
      <c r="BF187" s="55"/>
      <c r="BG187" s="55"/>
      <c r="BH187" s="55"/>
      <c r="BI187" s="55"/>
      <c r="BJ187" s="55"/>
      <c r="BK187" s="55"/>
      <c r="BL187" s="55"/>
      <c r="BM187" s="55"/>
      <c r="BN187" s="55"/>
      <c r="BO187" s="55"/>
      <c r="BP187" s="55"/>
      <c r="BQ187" s="55"/>
      <c r="BR187" s="55"/>
      <c r="BS187" s="55"/>
      <c r="BT187" s="55"/>
      <c r="BU187" s="55"/>
      <c r="BV187" s="55"/>
      <c r="BW187" s="55"/>
      <c r="BX187" s="55"/>
      <c r="BY187" s="55"/>
      <c r="BZ187" s="55"/>
      <c r="CA187" s="55"/>
      <c r="CB187" s="55"/>
      <c r="CC187" s="55"/>
      <c r="CD187" s="55"/>
      <c r="CE187" s="55"/>
      <c r="CF187" s="55"/>
      <c r="CG187" s="55"/>
      <c r="CH187" s="55"/>
      <c r="CI187" s="55"/>
      <c r="CJ187" s="55"/>
      <c r="CK187" s="55"/>
      <c r="CL187" s="55"/>
      <c r="CM187" s="55"/>
      <c r="CN187" s="55"/>
      <c r="CO187" s="55"/>
      <c r="CP187" s="55"/>
      <c r="CQ187" s="55"/>
      <c r="CR187" s="55"/>
      <c r="CS187" s="55"/>
      <c r="CT187" s="55"/>
      <c r="CU187" s="55"/>
      <c r="CV187" s="55"/>
      <c r="CW187" s="55"/>
      <c r="CX187" s="55"/>
      <c r="CY187" s="55"/>
      <c r="CZ187" s="55"/>
      <c r="DA187" s="55"/>
      <c r="DB187" s="55"/>
      <c r="DC187" s="55"/>
      <c r="DD187" s="55"/>
      <c r="DE187" s="55"/>
      <c r="DF187" s="55"/>
      <c r="DG187" s="55"/>
      <c r="DH187" s="55"/>
      <c r="DI187" s="55"/>
    </row>
    <row r="188" spans="1:113" x14ac:dyDescent="0.25">
      <c r="A188" s="152">
        <v>1</v>
      </c>
      <c r="B188" s="60" t="s">
        <v>357</v>
      </c>
      <c r="C188" s="80">
        <v>8000</v>
      </c>
      <c r="D188" s="142">
        <v>2246.88</v>
      </c>
      <c r="E188" s="43">
        <v>74</v>
      </c>
      <c r="F188" s="60"/>
      <c r="G188" s="139">
        <f t="shared" ref="G188:G223" si="39">+E188+F188</f>
        <v>74</v>
      </c>
      <c r="H188" s="55"/>
      <c r="I188" s="56">
        <f t="shared" ref="I188:I223" si="40">+G188-H188</f>
        <v>74</v>
      </c>
      <c r="J188" s="56">
        <f t="shared" ref="J188:J223" si="41">I188*C188</f>
        <v>592000</v>
      </c>
      <c r="K188" s="57">
        <f t="shared" ref="K188:K223" si="42">+D188*I188</f>
        <v>166269.12</v>
      </c>
      <c r="L188"/>
      <c r="M188" s="314">
        <f t="shared" si="38"/>
        <v>0</v>
      </c>
      <c r="N188" s="310"/>
      <c r="O188" s="315"/>
      <c r="P188" s="315"/>
      <c r="Q188" s="315"/>
      <c r="R188" s="315"/>
      <c r="S188" s="55"/>
      <c r="T188" s="55"/>
      <c r="U188" s="55"/>
      <c r="V188" s="55"/>
      <c r="W188" s="55"/>
      <c r="X188" s="55"/>
      <c r="Y188" s="55"/>
      <c r="Z188" s="55"/>
      <c r="AA188" s="55"/>
      <c r="AB188" s="55"/>
      <c r="AC188" s="55"/>
      <c r="AD188" s="55"/>
      <c r="AE188" s="55"/>
      <c r="AF188" s="55"/>
      <c r="AG188" s="55"/>
      <c r="AH188" s="55"/>
      <c r="AI188" s="55"/>
      <c r="AJ188" s="55"/>
      <c r="AK188" s="55"/>
      <c r="AL188" s="55"/>
      <c r="AM188" s="55"/>
      <c r="AN188" s="55"/>
      <c r="AO188" s="55"/>
      <c r="AP188" s="55"/>
      <c r="AQ188" s="55"/>
      <c r="AR188" s="55"/>
      <c r="AS188" s="55"/>
      <c r="AT188" s="55"/>
      <c r="AU188" s="55"/>
      <c r="AV188" s="55"/>
      <c r="AW188" s="55"/>
      <c r="AX188" s="55"/>
      <c r="AY188" s="55"/>
      <c r="AZ188" s="55"/>
      <c r="BA188" s="55"/>
      <c r="BB188" s="55"/>
      <c r="BC188" s="55"/>
      <c r="BD188" s="55"/>
      <c r="BE188" s="55"/>
      <c r="BF188" s="55"/>
      <c r="BG188" s="55"/>
      <c r="BH188" s="55"/>
      <c r="BI188" s="55"/>
      <c r="BJ188" s="55"/>
      <c r="BK188" s="55"/>
      <c r="BL188" s="55"/>
      <c r="BM188" s="55"/>
      <c r="BN188" s="55"/>
      <c r="BO188" s="55"/>
      <c r="BP188" s="55"/>
      <c r="BQ188" s="55"/>
      <c r="BR188" s="55"/>
      <c r="BS188" s="55"/>
      <c r="BT188" s="55"/>
      <c r="BU188" s="55"/>
      <c r="BV188" s="55"/>
      <c r="BW188" s="55"/>
      <c r="BX188" s="55"/>
      <c r="BY188" s="55"/>
      <c r="BZ188" s="55"/>
      <c r="CA188" s="55"/>
      <c r="CB188" s="55"/>
      <c r="CC188" s="55"/>
      <c r="CD188" s="55"/>
      <c r="CE188" s="55"/>
      <c r="CF188" s="55"/>
      <c r="CG188" s="55"/>
      <c r="CH188" s="55"/>
      <c r="CI188" s="55"/>
      <c r="CJ188" s="55"/>
      <c r="CK188" s="55"/>
      <c r="CL188" s="55"/>
      <c r="CM188" s="55"/>
      <c r="CN188" s="55"/>
      <c r="CO188" s="55"/>
      <c r="CP188" s="55"/>
      <c r="CQ188" s="55"/>
      <c r="CR188" s="55"/>
      <c r="CS188" s="55"/>
      <c r="CT188" s="55"/>
      <c r="CU188" s="55"/>
      <c r="CV188" s="55"/>
      <c r="CW188" s="55"/>
      <c r="CX188" s="55"/>
      <c r="CY188" s="55"/>
      <c r="CZ188" s="55"/>
      <c r="DA188" s="55"/>
      <c r="DB188" s="55"/>
      <c r="DC188" s="55"/>
      <c r="DD188" s="55"/>
      <c r="DE188" s="55"/>
      <c r="DF188" s="55"/>
      <c r="DG188" s="55"/>
      <c r="DH188" s="55"/>
      <c r="DI188" s="55"/>
    </row>
    <row r="189" spans="1:113" x14ac:dyDescent="0.25">
      <c r="A189" s="152">
        <v>2</v>
      </c>
      <c r="B189" s="60" t="s">
        <v>358</v>
      </c>
      <c r="C189" s="80">
        <v>12000</v>
      </c>
      <c r="D189" s="142">
        <v>3610</v>
      </c>
      <c r="E189" s="43">
        <v>172</v>
      </c>
      <c r="F189" s="60"/>
      <c r="G189" s="139">
        <f t="shared" si="39"/>
        <v>172</v>
      </c>
      <c r="H189" s="55"/>
      <c r="I189" s="56">
        <f t="shared" si="40"/>
        <v>172</v>
      </c>
      <c r="J189" s="56">
        <f t="shared" si="41"/>
        <v>2064000</v>
      </c>
      <c r="K189" s="57">
        <f t="shared" si="42"/>
        <v>620920</v>
      </c>
      <c r="L189"/>
      <c r="M189" s="314">
        <f t="shared" si="38"/>
        <v>0</v>
      </c>
      <c r="N189" s="310"/>
      <c r="O189" s="315"/>
      <c r="P189" s="315"/>
      <c r="Q189" s="315"/>
      <c r="R189" s="315"/>
      <c r="S189" s="55"/>
      <c r="T189" s="55"/>
      <c r="U189" s="55"/>
      <c r="V189" s="55"/>
      <c r="W189" s="55"/>
      <c r="X189" s="55"/>
      <c r="Y189" s="55"/>
      <c r="Z189" s="55"/>
      <c r="AA189" s="55"/>
      <c r="AB189" s="55"/>
      <c r="AC189" s="55"/>
      <c r="AD189" s="55"/>
      <c r="AE189" s="55"/>
      <c r="AF189" s="55"/>
      <c r="AG189" s="55"/>
      <c r="AH189" s="55"/>
      <c r="AI189" s="55"/>
      <c r="AJ189" s="55"/>
      <c r="AK189" s="55"/>
      <c r="AL189" s="55"/>
      <c r="AM189" s="55"/>
      <c r="AN189" s="55"/>
      <c r="AO189" s="55"/>
      <c r="AP189" s="55"/>
      <c r="AQ189" s="55"/>
      <c r="AR189" s="55"/>
      <c r="AS189" s="55"/>
      <c r="AT189" s="55"/>
      <c r="AU189" s="55"/>
      <c r="AV189" s="55"/>
      <c r="AW189" s="55"/>
      <c r="AX189" s="55"/>
      <c r="AY189" s="55"/>
      <c r="AZ189" s="55"/>
      <c r="BA189" s="55"/>
      <c r="BB189" s="55"/>
      <c r="BC189" s="55"/>
      <c r="BD189" s="55"/>
      <c r="BE189" s="55"/>
      <c r="BF189" s="55"/>
      <c r="BG189" s="55"/>
      <c r="BH189" s="55"/>
      <c r="BI189" s="55"/>
      <c r="BJ189" s="55"/>
      <c r="BK189" s="55"/>
      <c r="BL189" s="55"/>
      <c r="BM189" s="55"/>
      <c r="BN189" s="55"/>
      <c r="BO189" s="55"/>
      <c r="BP189" s="55"/>
      <c r="BQ189" s="55"/>
      <c r="BR189" s="55"/>
      <c r="BS189" s="55"/>
      <c r="BT189" s="55"/>
      <c r="BU189" s="55"/>
      <c r="BV189" s="55"/>
      <c r="BW189" s="55"/>
      <c r="BX189" s="55"/>
      <c r="BY189" s="55"/>
      <c r="BZ189" s="55"/>
      <c r="CA189" s="55"/>
      <c r="CB189" s="55"/>
      <c r="CC189" s="55"/>
      <c r="CD189" s="55"/>
      <c r="CE189" s="55"/>
      <c r="CF189" s="55"/>
      <c r="CG189" s="55"/>
      <c r="CH189" s="55"/>
      <c r="CI189" s="55"/>
      <c r="CJ189" s="55"/>
      <c r="CK189" s="55"/>
      <c r="CL189" s="55"/>
      <c r="CM189" s="55"/>
      <c r="CN189" s="55"/>
      <c r="CO189" s="55"/>
      <c r="CP189" s="55"/>
      <c r="CQ189" s="55"/>
      <c r="CR189" s="55"/>
      <c r="CS189" s="55"/>
      <c r="CT189" s="55"/>
      <c r="CU189" s="55"/>
      <c r="CV189" s="55"/>
      <c r="CW189" s="55"/>
      <c r="CX189" s="55"/>
      <c r="CY189" s="55"/>
      <c r="CZ189" s="55"/>
      <c r="DA189" s="55"/>
      <c r="DB189" s="55"/>
      <c r="DC189" s="55"/>
      <c r="DD189" s="55"/>
      <c r="DE189" s="55"/>
      <c r="DF189" s="55"/>
      <c r="DG189" s="55"/>
      <c r="DH189" s="55"/>
      <c r="DI189" s="55"/>
    </row>
    <row r="190" spans="1:113" x14ac:dyDescent="0.25">
      <c r="A190" s="152">
        <v>3</v>
      </c>
      <c r="B190" s="60" t="s">
        <v>359</v>
      </c>
      <c r="C190" s="80">
        <v>8000</v>
      </c>
      <c r="D190" s="142">
        <v>9962.5</v>
      </c>
      <c r="E190" s="43">
        <v>126</v>
      </c>
      <c r="F190" s="60"/>
      <c r="G190" s="139">
        <f t="shared" si="39"/>
        <v>126</v>
      </c>
      <c r="H190" s="55"/>
      <c r="I190" s="56">
        <f t="shared" si="40"/>
        <v>126</v>
      </c>
      <c r="J190" s="56">
        <f t="shared" si="41"/>
        <v>1008000</v>
      </c>
      <c r="K190" s="57">
        <f t="shared" si="42"/>
        <v>1255275</v>
      </c>
      <c r="L190"/>
      <c r="M190" s="314">
        <f t="shared" si="38"/>
        <v>0</v>
      </c>
      <c r="N190" s="310"/>
      <c r="O190" s="315"/>
      <c r="P190" s="315"/>
      <c r="Q190" s="315"/>
      <c r="R190" s="315"/>
      <c r="S190" s="55"/>
      <c r="T190" s="55"/>
      <c r="U190" s="55"/>
      <c r="V190" s="55"/>
      <c r="W190" s="55"/>
      <c r="X190" s="55"/>
      <c r="Y190" s="55"/>
      <c r="Z190" s="55"/>
      <c r="AA190" s="55"/>
      <c r="AB190" s="55"/>
      <c r="AC190" s="55"/>
      <c r="AD190" s="55"/>
      <c r="AE190" s="55"/>
      <c r="AF190" s="55"/>
      <c r="AG190" s="55"/>
      <c r="AH190" s="55"/>
      <c r="AI190" s="55"/>
      <c r="AJ190" s="55"/>
      <c r="AK190" s="55"/>
      <c r="AL190" s="55"/>
      <c r="AM190" s="55"/>
      <c r="AN190" s="55"/>
      <c r="AO190" s="55"/>
      <c r="AP190" s="55"/>
      <c r="AQ190" s="55"/>
      <c r="AR190" s="55"/>
      <c r="AS190" s="55"/>
      <c r="AT190" s="55"/>
      <c r="AU190" s="55"/>
      <c r="AV190" s="55"/>
      <c r="AW190" s="55"/>
      <c r="AX190" s="55"/>
      <c r="AY190" s="55"/>
      <c r="AZ190" s="55"/>
      <c r="BA190" s="55"/>
      <c r="BB190" s="55"/>
      <c r="BC190" s="55"/>
      <c r="BD190" s="55"/>
      <c r="BE190" s="55"/>
      <c r="BF190" s="55"/>
      <c r="BG190" s="55"/>
      <c r="BH190" s="55"/>
      <c r="BI190" s="55"/>
      <c r="BJ190" s="55"/>
      <c r="BK190" s="55"/>
      <c r="BL190" s="55"/>
      <c r="BM190" s="55"/>
      <c r="BN190" s="55"/>
      <c r="BO190" s="55"/>
      <c r="BP190" s="55"/>
      <c r="BQ190" s="55"/>
      <c r="BR190" s="55"/>
      <c r="BS190" s="55"/>
      <c r="BT190" s="55"/>
      <c r="BU190" s="55"/>
      <c r="BV190" s="55"/>
      <c r="BW190" s="55"/>
      <c r="BX190" s="55"/>
      <c r="BY190" s="55"/>
      <c r="BZ190" s="55"/>
      <c r="CA190" s="55"/>
      <c r="CB190" s="55"/>
      <c r="CC190" s="55"/>
      <c r="CD190" s="55"/>
      <c r="CE190" s="55"/>
      <c r="CF190" s="55"/>
      <c r="CG190" s="55"/>
      <c r="CH190" s="55"/>
      <c r="CI190" s="55"/>
      <c r="CJ190" s="55"/>
      <c r="CK190" s="55"/>
      <c r="CL190" s="55"/>
      <c r="CM190" s="55"/>
      <c r="CN190" s="55"/>
      <c r="CO190" s="55"/>
      <c r="CP190" s="55"/>
      <c r="CQ190" s="55"/>
      <c r="CR190" s="55"/>
      <c r="CS190" s="55"/>
      <c r="CT190" s="55"/>
      <c r="CU190" s="55"/>
      <c r="CV190" s="55"/>
      <c r="CW190" s="55"/>
      <c r="CX190" s="55"/>
      <c r="CY190" s="55"/>
      <c r="CZ190" s="55"/>
      <c r="DA190" s="55"/>
      <c r="DB190" s="55"/>
      <c r="DC190" s="55"/>
      <c r="DD190" s="55"/>
      <c r="DE190" s="55"/>
      <c r="DF190" s="55"/>
      <c r="DG190" s="55"/>
      <c r="DH190" s="55"/>
      <c r="DI190" s="55"/>
    </row>
    <row r="191" spans="1:113" x14ac:dyDescent="0.25">
      <c r="A191" s="152">
        <v>4</v>
      </c>
      <c r="B191" s="60" t="s">
        <v>360</v>
      </c>
      <c r="C191" s="80">
        <v>8000</v>
      </c>
      <c r="D191" s="142">
        <v>1598.82</v>
      </c>
      <c r="E191" s="43">
        <v>99</v>
      </c>
      <c r="F191" s="60"/>
      <c r="G191" s="139">
        <f t="shared" si="39"/>
        <v>99</v>
      </c>
      <c r="H191" s="55"/>
      <c r="I191" s="56">
        <f t="shared" si="40"/>
        <v>99</v>
      </c>
      <c r="J191" s="56">
        <f t="shared" si="41"/>
        <v>792000</v>
      </c>
      <c r="K191" s="57">
        <f t="shared" si="42"/>
        <v>158283.18</v>
      </c>
      <c r="L191"/>
      <c r="M191" s="314">
        <f t="shared" si="38"/>
        <v>0</v>
      </c>
      <c r="N191" s="310"/>
      <c r="O191" s="315"/>
      <c r="P191" s="315"/>
      <c r="Q191" s="315"/>
      <c r="R191" s="315"/>
      <c r="S191" s="55"/>
      <c r="T191" s="55"/>
      <c r="U191" s="55"/>
      <c r="V191" s="55"/>
      <c r="W191" s="55"/>
      <c r="X191" s="55"/>
      <c r="Y191" s="55"/>
      <c r="Z191" s="55"/>
      <c r="AA191" s="55"/>
      <c r="AB191" s="55"/>
      <c r="AC191" s="55"/>
      <c r="AD191" s="55"/>
      <c r="AE191" s="55"/>
      <c r="AF191" s="55"/>
      <c r="AG191" s="55"/>
      <c r="AH191" s="55"/>
      <c r="AI191" s="55"/>
      <c r="AJ191" s="55"/>
      <c r="AK191" s="55"/>
      <c r="AL191" s="55"/>
      <c r="AM191" s="55"/>
      <c r="AN191" s="55"/>
      <c r="AO191" s="55"/>
      <c r="AP191" s="55"/>
      <c r="AQ191" s="55"/>
      <c r="AR191" s="55"/>
      <c r="AS191" s="55"/>
      <c r="AT191" s="55"/>
      <c r="AU191" s="55"/>
      <c r="AV191" s="55"/>
      <c r="AW191" s="55"/>
      <c r="AX191" s="55"/>
      <c r="AY191" s="55"/>
      <c r="AZ191" s="55"/>
      <c r="BA191" s="55"/>
      <c r="BB191" s="55"/>
      <c r="BC191" s="55"/>
      <c r="BD191" s="55"/>
      <c r="BE191" s="55"/>
      <c r="BF191" s="55"/>
      <c r="BG191" s="55"/>
      <c r="BH191" s="55"/>
      <c r="BI191" s="55"/>
      <c r="BJ191" s="55"/>
      <c r="BK191" s="55"/>
      <c r="BL191" s="55"/>
      <c r="BM191" s="55"/>
      <c r="BN191" s="55"/>
      <c r="BO191" s="55"/>
      <c r="BP191" s="55"/>
      <c r="BQ191" s="55"/>
      <c r="BR191" s="55"/>
      <c r="BS191" s="55"/>
      <c r="BT191" s="55"/>
      <c r="BU191" s="55"/>
      <c r="BV191" s="55"/>
      <c r="BW191" s="55"/>
      <c r="BX191" s="55"/>
      <c r="BY191" s="55"/>
      <c r="BZ191" s="55"/>
      <c r="CA191" s="55"/>
      <c r="CB191" s="55"/>
      <c r="CC191" s="55"/>
      <c r="CD191" s="55"/>
      <c r="CE191" s="55"/>
      <c r="CF191" s="55"/>
      <c r="CG191" s="55"/>
      <c r="CH191" s="55"/>
      <c r="CI191" s="55"/>
      <c r="CJ191" s="55"/>
      <c r="CK191" s="55"/>
      <c r="CL191" s="55"/>
      <c r="CM191" s="55"/>
      <c r="CN191" s="55"/>
      <c r="CO191" s="55"/>
      <c r="CP191" s="55"/>
      <c r="CQ191" s="55"/>
      <c r="CR191" s="55"/>
      <c r="CS191" s="55"/>
      <c r="CT191" s="55"/>
      <c r="CU191" s="55"/>
      <c r="CV191" s="55"/>
      <c r="CW191" s="55"/>
      <c r="CX191" s="55"/>
      <c r="CY191" s="55"/>
      <c r="CZ191" s="55"/>
      <c r="DA191" s="55"/>
      <c r="DB191" s="55"/>
      <c r="DC191" s="55"/>
      <c r="DD191" s="55"/>
      <c r="DE191" s="55"/>
      <c r="DF191" s="55"/>
      <c r="DG191" s="55"/>
      <c r="DH191" s="55"/>
      <c r="DI191" s="55"/>
    </row>
    <row r="192" spans="1:113" x14ac:dyDescent="0.25">
      <c r="A192" s="152">
        <v>5</v>
      </c>
      <c r="B192" s="60" t="s">
        <v>361</v>
      </c>
      <c r="C192" s="80">
        <v>7000</v>
      </c>
      <c r="D192" s="142">
        <v>1942.41</v>
      </c>
      <c r="E192" s="43">
        <v>237</v>
      </c>
      <c r="F192" s="60"/>
      <c r="G192" s="139">
        <f t="shared" si="39"/>
        <v>237</v>
      </c>
      <c r="H192" s="55"/>
      <c r="I192" s="56">
        <f t="shared" si="40"/>
        <v>237</v>
      </c>
      <c r="J192" s="56">
        <f t="shared" si="41"/>
        <v>1659000</v>
      </c>
      <c r="K192" s="57">
        <f t="shared" si="42"/>
        <v>460351.17000000004</v>
      </c>
      <c r="L192"/>
      <c r="M192" s="314">
        <f t="shared" ref="M192:M207" si="43">SUM(N192:DJ192)</f>
        <v>0</v>
      </c>
      <c r="N192" s="310"/>
      <c r="O192" s="315"/>
      <c r="P192" s="315"/>
      <c r="Q192" s="315"/>
      <c r="R192" s="315"/>
      <c r="S192" s="55"/>
      <c r="T192" s="55"/>
      <c r="U192" s="55"/>
      <c r="V192" s="55"/>
      <c r="W192" s="55"/>
      <c r="X192" s="55"/>
      <c r="Y192" s="55"/>
      <c r="Z192" s="55"/>
      <c r="AA192" s="55"/>
      <c r="AB192" s="55"/>
      <c r="AC192" s="55"/>
      <c r="AD192" s="55"/>
      <c r="AE192" s="55"/>
      <c r="AF192" s="55"/>
      <c r="AG192" s="55"/>
      <c r="AH192" s="55"/>
      <c r="AI192" s="55"/>
      <c r="AJ192" s="55"/>
      <c r="AK192" s="55"/>
      <c r="AL192" s="55"/>
      <c r="AM192" s="55"/>
      <c r="AN192" s="55"/>
      <c r="AO192" s="55"/>
      <c r="AP192" s="55"/>
      <c r="AQ192" s="55"/>
      <c r="AR192" s="55"/>
      <c r="AS192" s="55"/>
      <c r="AT192" s="55"/>
      <c r="AU192" s="55"/>
      <c r="AV192" s="55"/>
      <c r="AW192" s="55"/>
      <c r="AX192" s="55"/>
      <c r="AY192" s="55"/>
      <c r="AZ192" s="55"/>
      <c r="BA192" s="55"/>
      <c r="BB192" s="55"/>
      <c r="BC192" s="55"/>
      <c r="BD192" s="55"/>
      <c r="BE192" s="55"/>
      <c r="BF192" s="55"/>
      <c r="BG192" s="55"/>
      <c r="BH192" s="55"/>
      <c r="BI192" s="55"/>
      <c r="BJ192" s="55"/>
      <c r="BK192" s="55"/>
      <c r="BL192" s="55"/>
      <c r="BM192" s="55"/>
      <c r="BN192" s="55"/>
      <c r="BO192" s="55"/>
      <c r="BP192" s="55"/>
      <c r="BQ192" s="55"/>
      <c r="BR192" s="55"/>
      <c r="BS192" s="55"/>
      <c r="BT192" s="55"/>
      <c r="BU192" s="55"/>
      <c r="BV192" s="55"/>
      <c r="BW192" s="55"/>
      <c r="BX192" s="55"/>
      <c r="BY192" s="55"/>
      <c r="BZ192" s="55"/>
      <c r="CA192" s="55"/>
      <c r="CB192" s="55"/>
      <c r="CC192" s="55"/>
      <c r="CD192" s="55"/>
      <c r="CE192" s="55"/>
      <c r="CF192" s="55"/>
      <c r="CG192" s="55"/>
      <c r="CH192" s="55"/>
      <c r="CI192" s="55"/>
      <c r="CJ192" s="55"/>
      <c r="CK192" s="55"/>
      <c r="CL192" s="55"/>
      <c r="CM192" s="55"/>
      <c r="CN192" s="55"/>
      <c r="CO192" s="55"/>
      <c r="CP192" s="55"/>
      <c r="CQ192" s="55"/>
      <c r="CR192" s="55"/>
      <c r="CS192" s="55"/>
      <c r="CT192" s="55"/>
      <c r="CU192" s="55"/>
      <c r="CV192" s="55"/>
      <c r="CW192" s="55"/>
      <c r="CX192" s="55"/>
      <c r="CY192" s="55"/>
      <c r="CZ192" s="55"/>
      <c r="DA192" s="55"/>
      <c r="DB192" s="55"/>
      <c r="DC192" s="55"/>
      <c r="DD192" s="55"/>
      <c r="DE192" s="55"/>
      <c r="DF192" s="55"/>
      <c r="DG192" s="55"/>
      <c r="DH192" s="55"/>
      <c r="DI192" s="55"/>
    </row>
    <row r="193" spans="1:113" x14ac:dyDescent="0.25">
      <c r="A193" s="152">
        <v>6</v>
      </c>
      <c r="B193" s="60" t="s">
        <v>362</v>
      </c>
      <c r="C193" s="80">
        <v>12000</v>
      </c>
      <c r="D193" s="142">
        <v>2078.08</v>
      </c>
      <c r="E193" s="43">
        <v>214</v>
      </c>
      <c r="F193" s="60"/>
      <c r="G193" s="139">
        <f t="shared" si="39"/>
        <v>214</v>
      </c>
      <c r="H193" s="55"/>
      <c r="I193" s="56">
        <f t="shared" si="40"/>
        <v>214</v>
      </c>
      <c r="J193" s="56">
        <f t="shared" si="41"/>
        <v>2568000</v>
      </c>
      <c r="K193" s="57">
        <f t="shared" si="42"/>
        <v>444709.12</v>
      </c>
      <c r="L193"/>
      <c r="M193" s="314">
        <f t="shared" si="43"/>
        <v>0</v>
      </c>
      <c r="N193" s="310"/>
      <c r="O193" s="315"/>
      <c r="P193" s="315"/>
      <c r="Q193" s="315"/>
      <c r="R193" s="315"/>
      <c r="S193" s="55"/>
      <c r="T193" s="55"/>
      <c r="U193" s="55"/>
      <c r="V193" s="55"/>
      <c r="W193" s="55"/>
      <c r="X193" s="55"/>
      <c r="Y193" s="55"/>
      <c r="Z193" s="55"/>
      <c r="AA193" s="55"/>
      <c r="AB193" s="55"/>
      <c r="AC193" s="55"/>
      <c r="AD193" s="55"/>
      <c r="AE193" s="55"/>
      <c r="AF193" s="55"/>
      <c r="AG193" s="55"/>
      <c r="AH193" s="55"/>
      <c r="AI193" s="55"/>
      <c r="AJ193" s="55"/>
      <c r="AK193" s="55"/>
      <c r="AL193" s="55"/>
      <c r="AM193" s="55"/>
      <c r="AN193" s="55"/>
      <c r="AO193" s="55"/>
      <c r="AP193" s="55"/>
      <c r="AQ193" s="55"/>
      <c r="AR193" s="55"/>
      <c r="AS193" s="55"/>
      <c r="AT193" s="55"/>
      <c r="AU193" s="55"/>
      <c r="AV193" s="55"/>
      <c r="AW193" s="55"/>
      <c r="AX193" s="55"/>
      <c r="AY193" s="55"/>
      <c r="AZ193" s="55"/>
      <c r="BA193" s="55"/>
      <c r="BB193" s="55"/>
      <c r="BC193" s="55"/>
      <c r="BD193" s="55"/>
      <c r="BE193" s="55"/>
      <c r="BF193" s="55"/>
      <c r="BG193" s="55"/>
      <c r="BH193" s="55"/>
      <c r="BI193" s="55"/>
      <c r="BJ193" s="55"/>
      <c r="BK193" s="55"/>
      <c r="BL193" s="55"/>
      <c r="BM193" s="55"/>
      <c r="BN193" s="55"/>
      <c r="BO193" s="55"/>
      <c r="BP193" s="55"/>
      <c r="BQ193" s="55"/>
      <c r="BR193" s="55"/>
      <c r="BS193" s="55"/>
      <c r="BT193" s="55"/>
      <c r="BU193" s="55"/>
      <c r="BV193" s="55"/>
      <c r="BW193" s="55"/>
      <c r="BX193" s="55"/>
      <c r="BY193" s="55"/>
      <c r="BZ193" s="55"/>
      <c r="CA193" s="55"/>
      <c r="CB193" s="55"/>
      <c r="CC193" s="55"/>
      <c r="CD193" s="55"/>
      <c r="CE193" s="55"/>
      <c r="CF193" s="55"/>
      <c r="CG193" s="55"/>
      <c r="CH193" s="55"/>
      <c r="CI193" s="55"/>
      <c r="CJ193" s="55"/>
      <c r="CK193" s="55"/>
      <c r="CL193" s="55"/>
      <c r="CM193" s="55"/>
      <c r="CN193" s="55"/>
      <c r="CO193" s="55"/>
      <c r="CP193" s="55"/>
      <c r="CQ193" s="55"/>
      <c r="CR193" s="55"/>
      <c r="CS193" s="55"/>
      <c r="CT193" s="55"/>
      <c r="CU193" s="55"/>
      <c r="CV193" s="55"/>
      <c r="CW193" s="55"/>
      <c r="CX193" s="55"/>
      <c r="CY193" s="55"/>
      <c r="CZ193" s="55"/>
      <c r="DA193" s="55"/>
      <c r="DB193" s="55"/>
      <c r="DC193" s="55"/>
      <c r="DD193" s="55"/>
      <c r="DE193" s="55"/>
      <c r="DF193" s="55"/>
      <c r="DG193" s="55"/>
      <c r="DH193" s="55"/>
      <c r="DI193" s="55"/>
    </row>
    <row r="194" spans="1:113" x14ac:dyDescent="0.25">
      <c r="A194" s="152">
        <v>7</v>
      </c>
      <c r="B194" s="60" t="s">
        <v>363</v>
      </c>
      <c r="C194" s="80">
        <v>5000</v>
      </c>
      <c r="D194" s="142">
        <v>1363.04</v>
      </c>
      <c r="E194" s="43">
        <v>0</v>
      </c>
      <c r="F194" s="60"/>
      <c r="G194" s="139">
        <f t="shared" si="39"/>
        <v>0</v>
      </c>
      <c r="H194" s="55">
        <f>32-32</f>
        <v>0</v>
      </c>
      <c r="I194" s="56">
        <f t="shared" si="40"/>
        <v>0</v>
      </c>
      <c r="J194" s="56">
        <f t="shared" si="41"/>
        <v>0</v>
      </c>
      <c r="K194" s="57">
        <f t="shared" si="42"/>
        <v>0</v>
      </c>
      <c r="L194"/>
      <c r="M194" s="314">
        <f t="shared" si="43"/>
        <v>0</v>
      </c>
      <c r="N194" s="310"/>
      <c r="O194" s="315"/>
      <c r="P194" s="315"/>
      <c r="Q194" s="315"/>
      <c r="R194" s="315"/>
      <c r="S194" s="55"/>
      <c r="T194" s="55"/>
      <c r="U194" s="55"/>
      <c r="V194" s="55"/>
      <c r="W194" s="55"/>
      <c r="X194" s="55"/>
      <c r="Y194" s="55"/>
      <c r="Z194" s="55"/>
      <c r="AA194" s="55"/>
      <c r="AB194" s="55"/>
      <c r="AC194" s="55"/>
      <c r="AD194" s="55"/>
      <c r="AE194" s="55"/>
      <c r="AF194" s="55"/>
      <c r="AG194" s="55"/>
      <c r="AH194" s="55"/>
      <c r="AI194" s="55"/>
      <c r="AJ194" s="55"/>
      <c r="AK194" s="55"/>
      <c r="AL194" s="55"/>
      <c r="AM194" s="55"/>
      <c r="AN194" s="55"/>
      <c r="AO194" s="55"/>
      <c r="AP194" s="55"/>
      <c r="AQ194" s="55"/>
      <c r="AR194" s="55"/>
      <c r="AS194" s="55"/>
      <c r="AT194" s="55"/>
      <c r="AU194" s="55"/>
      <c r="AV194" s="55"/>
      <c r="AW194" s="55"/>
      <c r="AX194" s="55"/>
      <c r="AY194" s="55"/>
      <c r="AZ194" s="55"/>
      <c r="BA194" s="55"/>
      <c r="BB194" s="55"/>
      <c r="BC194" s="55"/>
      <c r="BD194" s="55"/>
      <c r="BE194" s="55"/>
      <c r="BF194" s="55"/>
      <c r="BG194" s="55"/>
      <c r="BH194" s="55"/>
      <c r="BI194" s="55"/>
      <c r="BJ194" s="55"/>
      <c r="BK194" s="55"/>
      <c r="BL194" s="55"/>
      <c r="BM194" s="55"/>
      <c r="BN194" s="55"/>
      <c r="BO194" s="55"/>
      <c r="BP194" s="55"/>
      <c r="BQ194" s="55"/>
      <c r="BR194" s="55"/>
      <c r="BS194" s="55"/>
      <c r="BT194" s="55"/>
      <c r="BU194" s="55"/>
      <c r="BV194" s="55"/>
      <c r="BW194" s="55"/>
      <c r="BX194" s="55"/>
      <c r="BY194" s="55"/>
      <c r="BZ194" s="55"/>
      <c r="CA194" s="55"/>
      <c r="CB194" s="55"/>
      <c r="CC194" s="55"/>
      <c r="CD194" s="55"/>
      <c r="CE194" s="55"/>
      <c r="CF194" s="55"/>
      <c r="CG194" s="55"/>
      <c r="CH194" s="55"/>
      <c r="CI194" s="55"/>
      <c r="CJ194" s="55"/>
      <c r="CK194" s="55"/>
      <c r="CL194" s="55"/>
      <c r="CM194" s="55"/>
      <c r="CN194" s="55"/>
      <c r="CO194" s="55"/>
      <c r="CP194" s="55"/>
      <c r="CQ194" s="55"/>
      <c r="CR194" s="55"/>
      <c r="CS194" s="55"/>
      <c r="CT194" s="55"/>
      <c r="CU194" s="55"/>
      <c r="CV194" s="55"/>
      <c r="CW194" s="55"/>
      <c r="CX194" s="55"/>
      <c r="CY194" s="55"/>
      <c r="CZ194" s="55"/>
      <c r="DA194" s="55"/>
      <c r="DB194" s="55"/>
      <c r="DC194" s="55"/>
      <c r="DD194" s="55"/>
      <c r="DE194" s="55"/>
      <c r="DF194" s="55"/>
      <c r="DG194" s="55"/>
      <c r="DH194" s="55"/>
      <c r="DI194" s="55"/>
    </row>
    <row r="195" spans="1:113" x14ac:dyDescent="0.25">
      <c r="A195" s="152">
        <v>8</v>
      </c>
      <c r="B195" s="60" t="s">
        <v>364</v>
      </c>
      <c r="C195" s="80">
        <v>15000</v>
      </c>
      <c r="D195" s="142">
        <v>2982.32</v>
      </c>
      <c r="E195" s="43">
        <v>85</v>
      </c>
      <c r="F195" s="60"/>
      <c r="G195" s="139">
        <f t="shared" si="39"/>
        <v>85</v>
      </c>
      <c r="H195" s="55"/>
      <c r="I195" s="56">
        <f t="shared" si="40"/>
        <v>85</v>
      </c>
      <c r="J195" s="56">
        <f t="shared" si="41"/>
        <v>1275000</v>
      </c>
      <c r="K195" s="57">
        <f t="shared" si="42"/>
        <v>253497.2</v>
      </c>
      <c r="L195"/>
      <c r="M195" s="314">
        <f t="shared" si="43"/>
        <v>0</v>
      </c>
      <c r="N195" s="310"/>
      <c r="O195" s="315"/>
      <c r="P195" s="315"/>
      <c r="Q195" s="315"/>
      <c r="R195" s="315"/>
      <c r="S195" s="55"/>
      <c r="T195" s="55"/>
      <c r="U195" s="55"/>
      <c r="V195" s="55"/>
      <c r="W195" s="55"/>
      <c r="X195" s="55"/>
      <c r="Y195" s="55"/>
      <c r="Z195" s="55"/>
      <c r="AA195" s="55"/>
      <c r="AB195" s="55"/>
      <c r="AC195" s="55"/>
      <c r="AD195" s="55"/>
      <c r="AE195" s="55"/>
      <c r="AF195" s="55"/>
      <c r="AG195" s="55"/>
      <c r="AH195" s="55"/>
      <c r="AI195" s="55"/>
      <c r="AJ195" s="55"/>
      <c r="AK195" s="55"/>
      <c r="AL195" s="55"/>
      <c r="AM195" s="55"/>
      <c r="AN195" s="55"/>
      <c r="AO195" s="55"/>
      <c r="AP195" s="55"/>
      <c r="AQ195" s="55"/>
      <c r="AR195" s="55"/>
      <c r="AS195" s="55"/>
      <c r="AT195" s="55"/>
      <c r="AU195" s="55"/>
      <c r="AV195" s="55"/>
      <c r="AW195" s="55"/>
      <c r="AX195" s="55"/>
      <c r="AY195" s="55"/>
      <c r="AZ195" s="55"/>
      <c r="BA195" s="55"/>
      <c r="BB195" s="55"/>
      <c r="BC195" s="55"/>
      <c r="BD195" s="55"/>
      <c r="BE195" s="55"/>
      <c r="BF195" s="55"/>
      <c r="BG195" s="55"/>
      <c r="BH195" s="55"/>
      <c r="BI195" s="55"/>
      <c r="BJ195" s="55"/>
      <c r="BK195" s="55"/>
      <c r="BL195" s="55"/>
      <c r="BM195" s="55"/>
      <c r="BN195" s="55"/>
      <c r="BO195" s="55"/>
      <c r="BP195" s="55"/>
      <c r="BQ195" s="55"/>
      <c r="BR195" s="55"/>
      <c r="BS195" s="55"/>
      <c r="BT195" s="55"/>
      <c r="BU195" s="55"/>
      <c r="BV195" s="55"/>
      <c r="BW195" s="55"/>
      <c r="BX195" s="55"/>
      <c r="BY195" s="55"/>
      <c r="BZ195" s="55"/>
      <c r="CA195" s="55"/>
      <c r="CB195" s="55"/>
      <c r="CC195" s="55"/>
      <c r="CD195" s="55"/>
      <c r="CE195" s="55"/>
      <c r="CF195" s="55"/>
      <c r="CG195" s="55"/>
      <c r="CH195" s="55"/>
      <c r="CI195" s="55"/>
      <c r="CJ195" s="55"/>
      <c r="CK195" s="55"/>
      <c r="CL195" s="55"/>
      <c r="CM195" s="55"/>
      <c r="CN195" s="55"/>
      <c r="CO195" s="55"/>
      <c r="CP195" s="55"/>
      <c r="CQ195" s="55"/>
      <c r="CR195" s="55"/>
      <c r="CS195" s="55"/>
      <c r="CT195" s="55"/>
      <c r="CU195" s="55"/>
      <c r="CV195" s="55"/>
      <c r="CW195" s="55"/>
      <c r="CX195" s="55"/>
      <c r="CY195" s="55"/>
      <c r="CZ195" s="55"/>
      <c r="DA195" s="55"/>
      <c r="DB195" s="55"/>
      <c r="DC195" s="55"/>
      <c r="DD195" s="55"/>
      <c r="DE195" s="55"/>
      <c r="DF195" s="55"/>
      <c r="DG195" s="55"/>
      <c r="DH195" s="55"/>
      <c r="DI195" s="55"/>
    </row>
    <row r="196" spans="1:113" x14ac:dyDescent="0.25">
      <c r="A196" s="152">
        <v>9</v>
      </c>
      <c r="B196" s="213" t="s">
        <v>743</v>
      </c>
      <c r="C196" s="80">
        <v>9500</v>
      </c>
      <c r="D196" s="142">
        <v>1621.12</v>
      </c>
      <c r="E196" s="43">
        <v>162</v>
      </c>
      <c r="F196" s="60"/>
      <c r="G196" s="139">
        <f t="shared" si="39"/>
        <v>162</v>
      </c>
      <c r="H196" s="55"/>
      <c r="I196" s="56">
        <f t="shared" si="40"/>
        <v>162</v>
      </c>
      <c r="J196" s="56">
        <f t="shared" si="41"/>
        <v>1539000</v>
      </c>
      <c r="K196" s="57">
        <f t="shared" si="42"/>
        <v>262621.44</v>
      </c>
      <c r="L196"/>
      <c r="M196" s="314">
        <f t="shared" si="43"/>
        <v>0</v>
      </c>
      <c r="N196" s="310"/>
      <c r="O196" s="315"/>
      <c r="P196" s="315"/>
      <c r="Q196" s="315"/>
      <c r="R196" s="315"/>
      <c r="S196" s="55"/>
      <c r="T196" s="55"/>
      <c r="U196" s="55"/>
      <c r="V196" s="55"/>
      <c r="W196" s="55"/>
      <c r="X196" s="55"/>
      <c r="Y196" s="55"/>
      <c r="Z196" s="55"/>
      <c r="AA196" s="55"/>
      <c r="AB196" s="55"/>
      <c r="AC196" s="55"/>
      <c r="AD196" s="55"/>
      <c r="AE196" s="55"/>
      <c r="AF196" s="55"/>
      <c r="AG196" s="55"/>
      <c r="AH196" s="55"/>
      <c r="AI196" s="55"/>
      <c r="AJ196" s="55"/>
      <c r="AK196" s="55"/>
      <c r="AL196" s="55"/>
      <c r="AM196" s="55"/>
      <c r="AN196" s="55"/>
      <c r="AO196" s="55"/>
      <c r="AP196" s="55"/>
      <c r="AQ196" s="55"/>
      <c r="AR196" s="55"/>
      <c r="AS196" s="55"/>
      <c r="AT196" s="55"/>
      <c r="AU196" s="55"/>
      <c r="AV196" s="55"/>
      <c r="AW196" s="55"/>
      <c r="AX196" s="55"/>
      <c r="AY196" s="55"/>
      <c r="AZ196" s="55"/>
      <c r="BA196" s="55"/>
      <c r="BB196" s="55"/>
      <c r="BC196" s="55"/>
      <c r="BD196" s="55"/>
      <c r="BE196" s="55"/>
      <c r="BF196" s="55"/>
      <c r="BG196" s="55"/>
      <c r="BH196" s="55"/>
      <c r="BI196" s="55"/>
      <c r="BJ196" s="55"/>
      <c r="BK196" s="55"/>
      <c r="BL196" s="55"/>
      <c r="BM196" s="55"/>
      <c r="BN196" s="55"/>
      <c r="BO196" s="55"/>
      <c r="BP196" s="55"/>
      <c r="BQ196" s="55"/>
      <c r="BR196" s="55"/>
      <c r="BS196" s="55"/>
      <c r="BT196" s="55"/>
      <c r="BU196" s="55"/>
      <c r="BV196" s="55"/>
      <c r="BW196" s="55"/>
      <c r="BX196" s="55"/>
      <c r="BY196" s="55"/>
      <c r="BZ196" s="55"/>
      <c r="CA196" s="55"/>
      <c r="CB196" s="55"/>
      <c r="CC196" s="55"/>
      <c r="CD196" s="55"/>
      <c r="CE196" s="55"/>
      <c r="CF196" s="55"/>
      <c r="CG196" s="55"/>
      <c r="CH196" s="55"/>
      <c r="CI196" s="55"/>
      <c r="CJ196" s="55"/>
      <c r="CK196" s="55"/>
      <c r="CL196" s="55"/>
      <c r="CM196" s="55"/>
      <c r="CN196" s="55"/>
      <c r="CO196" s="55"/>
      <c r="CP196" s="55"/>
      <c r="CQ196" s="55"/>
      <c r="CR196" s="55"/>
      <c r="CS196" s="55"/>
      <c r="CT196" s="55"/>
      <c r="CU196" s="55"/>
      <c r="CV196" s="55"/>
      <c r="CW196" s="55"/>
      <c r="CX196" s="55"/>
      <c r="CY196" s="55"/>
      <c r="CZ196" s="55"/>
      <c r="DA196" s="55"/>
      <c r="DB196" s="55"/>
      <c r="DC196" s="55"/>
      <c r="DD196" s="55"/>
      <c r="DE196" s="55"/>
      <c r="DF196" s="55"/>
      <c r="DG196" s="55"/>
      <c r="DH196" s="55"/>
      <c r="DI196" s="55"/>
    </row>
    <row r="197" spans="1:113" x14ac:dyDescent="0.25">
      <c r="A197" s="152">
        <v>10</v>
      </c>
      <c r="B197" s="60" t="s">
        <v>365</v>
      </c>
      <c r="C197" s="80">
        <v>17000</v>
      </c>
      <c r="D197" s="142">
        <v>2620</v>
      </c>
      <c r="E197" s="43">
        <v>249</v>
      </c>
      <c r="F197" s="60"/>
      <c r="G197" s="139">
        <f t="shared" si="39"/>
        <v>249</v>
      </c>
      <c r="H197" s="55"/>
      <c r="I197" s="56">
        <f t="shared" si="40"/>
        <v>249</v>
      </c>
      <c r="J197" s="56">
        <f t="shared" si="41"/>
        <v>4233000</v>
      </c>
      <c r="K197" s="57">
        <f t="shared" si="42"/>
        <v>652380</v>
      </c>
      <c r="L197"/>
      <c r="M197" s="314">
        <f t="shared" si="43"/>
        <v>0</v>
      </c>
      <c r="N197" s="310"/>
      <c r="O197" s="315"/>
      <c r="P197" s="315"/>
      <c r="Q197" s="315"/>
      <c r="R197" s="315"/>
      <c r="S197" s="55"/>
      <c r="T197" s="55"/>
      <c r="U197" s="55"/>
      <c r="V197" s="55"/>
      <c r="W197" s="55"/>
      <c r="X197" s="55"/>
      <c r="Y197" s="55"/>
      <c r="Z197" s="55"/>
      <c r="AA197" s="55"/>
      <c r="AB197" s="55"/>
      <c r="AC197" s="55"/>
      <c r="AD197" s="55"/>
      <c r="AE197" s="55"/>
      <c r="AF197" s="55"/>
      <c r="AG197" s="55"/>
      <c r="AH197" s="55"/>
      <c r="AI197" s="55"/>
      <c r="AJ197" s="55"/>
      <c r="AK197" s="55"/>
      <c r="AL197" s="55"/>
      <c r="AM197" s="55"/>
      <c r="AN197" s="55"/>
      <c r="AO197" s="55"/>
      <c r="AP197" s="55"/>
      <c r="AQ197" s="55"/>
      <c r="AR197" s="55"/>
      <c r="AS197" s="55"/>
      <c r="AT197" s="55"/>
      <c r="AU197" s="55"/>
      <c r="AV197" s="55"/>
      <c r="AW197" s="55"/>
      <c r="AX197" s="55"/>
      <c r="AY197" s="55"/>
      <c r="AZ197" s="55"/>
      <c r="BA197" s="55"/>
      <c r="BB197" s="55"/>
      <c r="BC197" s="55"/>
      <c r="BD197" s="55"/>
      <c r="BE197" s="55"/>
      <c r="BF197" s="55"/>
      <c r="BG197" s="55"/>
      <c r="BH197" s="55"/>
      <c r="BI197" s="55"/>
      <c r="BJ197" s="55"/>
      <c r="BK197" s="55"/>
      <c r="BL197" s="55"/>
      <c r="BM197" s="55"/>
      <c r="BN197" s="55"/>
      <c r="BO197" s="55"/>
      <c r="BP197" s="55"/>
      <c r="BQ197" s="55"/>
      <c r="BR197" s="55"/>
      <c r="BS197" s="55"/>
      <c r="BT197" s="55"/>
      <c r="BU197" s="55"/>
      <c r="BV197" s="55"/>
      <c r="BW197" s="55"/>
      <c r="BX197" s="55"/>
      <c r="BY197" s="55"/>
      <c r="BZ197" s="55"/>
      <c r="CA197" s="55"/>
      <c r="CB197" s="55"/>
      <c r="CC197" s="55"/>
      <c r="CD197" s="55"/>
      <c r="CE197" s="55"/>
      <c r="CF197" s="55"/>
      <c r="CG197" s="55"/>
      <c r="CH197" s="55"/>
      <c r="CI197" s="55"/>
      <c r="CJ197" s="55"/>
      <c r="CK197" s="55"/>
      <c r="CL197" s="55"/>
      <c r="CM197" s="55"/>
      <c r="CN197" s="55"/>
      <c r="CO197" s="55"/>
      <c r="CP197" s="55"/>
      <c r="CQ197" s="55"/>
      <c r="CR197" s="55"/>
      <c r="CS197" s="55"/>
      <c r="CT197" s="55"/>
      <c r="CU197" s="55"/>
      <c r="CV197" s="55"/>
      <c r="CW197" s="55"/>
      <c r="CX197" s="55"/>
      <c r="CY197" s="55"/>
      <c r="CZ197" s="55"/>
      <c r="DA197" s="55"/>
      <c r="DB197" s="55"/>
      <c r="DC197" s="55"/>
      <c r="DD197" s="55"/>
      <c r="DE197" s="55"/>
      <c r="DF197" s="55"/>
      <c r="DG197" s="55"/>
      <c r="DH197" s="55"/>
      <c r="DI197" s="55"/>
    </row>
    <row r="198" spans="1:113" x14ac:dyDescent="0.25">
      <c r="A198" s="152">
        <v>11</v>
      </c>
      <c r="B198" s="213" t="s">
        <v>744</v>
      </c>
      <c r="C198" s="80">
        <v>12000</v>
      </c>
      <c r="D198" s="142">
        <v>1216.74</v>
      </c>
      <c r="E198" s="43">
        <v>117</v>
      </c>
      <c r="F198" s="60"/>
      <c r="G198" s="139">
        <f t="shared" si="39"/>
        <v>117</v>
      </c>
      <c r="H198" s="55"/>
      <c r="I198" s="56">
        <f t="shared" si="40"/>
        <v>117</v>
      </c>
      <c r="J198" s="56">
        <f t="shared" si="41"/>
        <v>1404000</v>
      </c>
      <c r="K198" s="57">
        <f t="shared" si="42"/>
        <v>142358.57999999999</v>
      </c>
      <c r="L198"/>
      <c r="M198" s="314">
        <f t="shared" si="43"/>
        <v>0</v>
      </c>
      <c r="N198" s="310"/>
      <c r="O198" s="315"/>
      <c r="P198" s="315"/>
      <c r="Q198" s="315"/>
      <c r="R198" s="315"/>
      <c r="S198" s="55"/>
      <c r="T198" s="55"/>
      <c r="U198" s="55"/>
      <c r="V198" s="55"/>
      <c r="W198" s="55"/>
      <c r="X198" s="55"/>
      <c r="Y198" s="55"/>
      <c r="Z198" s="55"/>
      <c r="AA198" s="55"/>
      <c r="AB198" s="55"/>
      <c r="AC198" s="55"/>
      <c r="AD198" s="55"/>
      <c r="AE198" s="55"/>
      <c r="AF198" s="55"/>
      <c r="AG198" s="55"/>
      <c r="AH198" s="55"/>
      <c r="AI198" s="55"/>
      <c r="AJ198" s="55"/>
      <c r="AK198" s="55"/>
      <c r="AL198" s="55"/>
      <c r="AM198" s="55"/>
      <c r="AN198" s="55"/>
      <c r="AO198" s="55"/>
      <c r="AP198" s="55"/>
      <c r="AQ198" s="55"/>
      <c r="AR198" s="55"/>
      <c r="AS198" s="55"/>
      <c r="AT198" s="55"/>
      <c r="AU198" s="55"/>
      <c r="AV198" s="55"/>
      <c r="AW198" s="55"/>
      <c r="AX198" s="55"/>
      <c r="AY198" s="55"/>
      <c r="AZ198" s="55"/>
      <c r="BA198" s="55"/>
      <c r="BB198" s="55"/>
      <c r="BC198" s="55"/>
      <c r="BD198" s="55"/>
      <c r="BE198" s="55"/>
      <c r="BF198" s="55"/>
      <c r="BG198" s="55"/>
      <c r="BH198" s="55"/>
      <c r="BI198" s="55"/>
      <c r="BJ198" s="55"/>
      <c r="BK198" s="55"/>
      <c r="BL198" s="55"/>
      <c r="BM198" s="55"/>
      <c r="BN198" s="55"/>
      <c r="BO198" s="55"/>
      <c r="BP198" s="55"/>
      <c r="BQ198" s="55"/>
      <c r="BR198" s="55"/>
      <c r="BS198" s="55"/>
      <c r="BT198" s="55"/>
      <c r="BU198" s="55"/>
      <c r="BV198" s="55"/>
      <c r="BW198" s="55"/>
      <c r="BX198" s="55"/>
      <c r="BY198" s="55"/>
      <c r="BZ198" s="55"/>
      <c r="CA198" s="55"/>
      <c r="CB198" s="55"/>
      <c r="CC198" s="55"/>
      <c r="CD198" s="55"/>
      <c r="CE198" s="55"/>
      <c r="CF198" s="55"/>
      <c r="CG198" s="55"/>
      <c r="CH198" s="55"/>
      <c r="CI198" s="55"/>
      <c r="CJ198" s="55"/>
      <c r="CK198" s="55"/>
      <c r="CL198" s="55"/>
      <c r="CM198" s="55"/>
      <c r="CN198" s="55"/>
      <c r="CO198" s="55"/>
      <c r="CP198" s="55"/>
      <c r="CQ198" s="55"/>
      <c r="CR198" s="55"/>
      <c r="CS198" s="55"/>
      <c r="CT198" s="55"/>
      <c r="CU198" s="55"/>
      <c r="CV198" s="55"/>
      <c r="CW198" s="55"/>
      <c r="CX198" s="55"/>
      <c r="CY198" s="55"/>
      <c r="CZ198" s="55"/>
      <c r="DA198" s="55"/>
      <c r="DB198" s="55"/>
      <c r="DC198" s="55"/>
      <c r="DD198" s="55"/>
      <c r="DE198" s="55"/>
      <c r="DF198" s="55"/>
      <c r="DG198" s="55"/>
      <c r="DH198" s="55"/>
      <c r="DI198" s="55"/>
    </row>
    <row r="199" spans="1:113" x14ac:dyDescent="0.25">
      <c r="A199" s="152">
        <v>12</v>
      </c>
      <c r="B199" s="60" t="s">
        <v>366</v>
      </c>
      <c r="C199" s="80">
        <v>7000</v>
      </c>
      <c r="D199" s="142">
        <v>1584.92</v>
      </c>
      <c r="E199" s="43">
        <v>1042</v>
      </c>
      <c r="F199" s="60"/>
      <c r="G199" s="139">
        <f t="shared" si="39"/>
        <v>1042</v>
      </c>
      <c r="H199" s="55"/>
      <c r="I199" s="56">
        <f t="shared" si="40"/>
        <v>1042</v>
      </c>
      <c r="J199" s="56">
        <f t="shared" si="41"/>
        <v>7294000</v>
      </c>
      <c r="K199" s="57">
        <f t="shared" si="42"/>
        <v>1651486.6400000001</v>
      </c>
      <c r="L199"/>
      <c r="M199" s="314">
        <f t="shared" si="43"/>
        <v>0</v>
      </c>
      <c r="N199" s="310"/>
      <c r="O199" s="315"/>
      <c r="P199" s="315"/>
      <c r="Q199" s="315"/>
      <c r="R199" s="315"/>
      <c r="S199" s="55"/>
      <c r="T199" s="55"/>
      <c r="U199" s="55"/>
      <c r="V199" s="55"/>
      <c r="W199" s="55"/>
      <c r="X199" s="55"/>
      <c r="Y199" s="55"/>
      <c r="Z199" s="55"/>
      <c r="AA199" s="55"/>
      <c r="AB199" s="55"/>
      <c r="AC199" s="55"/>
      <c r="AD199" s="55"/>
      <c r="AE199" s="55"/>
      <c r="AF199" s="55"/>
      <c r="AG199" s="55"/>
      <c r="AH199" s="55"/>
      <c r="AI199" s="55"/>
      <c r="AJ199" s="55"/>
      <c r="AK199" s="55"/>
      <c r="AL199" s="55"/>
      <c r="AM199" s="55"/>
      <c r="AN199" s="55"/>
      <c r="AO199" s="55"/>
      <c r="AP199" s="55"/>
      <c r="AQ199" s="55"/>
      <c r="AR199" s="55"/>
      <c r="AS199" s="55"/>
      <c r="AT199" s="55"/>
      <c r="AU199" s="55"/>
      <c r="AV199" s="55"/>
      <c r="AW199" s="55"/>
      <c r="AX199" s="55"/>
      <c r="AY199" s="55"/>
      <c r="AZ199" s="55"/>
      <c r="BA199" s="55"/>
      <c r="BB199" s="55"/>
      <c r="BC199" s="55"/>
      <c r="BD199" s="55"/>
      <c r="BE199" s="55"/>
      <c r="BF199" s="55"/>
      <c r="BG199" s="55"/>
      <c r="BH199" s="55"/>
      <c r="BI199" s="55"/>
      <c r="BJ199" s="55"/>
      <c r="BK199" s="55"/>
      <c r="BL199" s="55"/>
      <c r="BM199" s="55"/>
      <c r="BN199" s="55"/>
      <c r="BO199" s="55"/>
      <c r="BP199" s="55"/>
      <c r="BQ199" s="55"/>
      <c r="BR199" s="55"/>
      <c r="BS199" s="55"/>
      <c r="BT199" s="55"/>
      <c r="BU199" s="55"/>
      <c r="BV199" s="55"/>
      <c r="BW199" s="55"/>
      <c r="BX199" s="55"/>
      <c r="BY199" s="55"/>
      <c r="BZ199" s="55"/>
      <c r="CA199" s="55"/>
      <c r="CB199" s="55"/>
      <c r="CC199" s="55"/>
      <c r="CD199" s="55"/>
      <c r="CE199" s="55"/>
      <c r="CF199" s="55"/>
      <c r="CG199" s="55"/>
      <c r="CH199" s="55"/>
      <c r="CI199" s="55"/>
      <c r="CJ199" s="55"/>
      <c r="CK199" s="55"/>
      <c r="CL199" s="55"/>
      <c r="CM199" s="55"/>
      <c r="CN199" s="55"/>
      <c r="CO199" s="55"/>
      <c r="CP199" s="55"/>
      <c r="CQ199" s="55"/>
      <c r="CR199" s="55"/>
      <c r="CS199" s="55"/>
      <c r="CT199" s="55"/>
      <c r="CU199" s="55"/>
      <c r="CV199" s="55"/>
      <c r="CW199" s="55"/>
      <c r="CX199" s="55"/>
      <c r="CY199" s="55"/>
      <c r="CZ199" s="55"/>
      <c r="DA199" s="55"/>
      <c r="DB199" s="55"/>
      <c r="DC199" s="55"/>
      <c r="DD199" s="55"/>
      <c r="DE199" s="55"/>
      <c r="DF199" s="55"/>
      <c r="DG199" s="55"/>
      <c r="DH199" s="55"/>
      <c r="DI199" s="55"/>
    </row>
    <row r="200" spans="1:113" x14ac:dyDescent="0.25">
      <c r="A200" s="152">
        <v>13</v>
      </c>
      <c r="B200" s="60" t="s">
        <v>318</v>
      </c>
      <c r="C200" s="80">
        <v>6500</v>
      </c>
      <c r="D200" s="142">
        <v>1591.69</v>
      </c>
      <c r="E200" s="43">
        <v>157</v>
      </c>
      <c r="F200" s="60"/>
      <c r="G200" s="139">
        <f t="shared" si="39"/>
        <v>157</v>
      </c>
      <c r="H200" s="55"/>
      <c r="I200" s="56">
        <f t="shared" si="40"/>
        <v>157</v>
      </c>
      <c r="J200" s="56">
        <f t="shared" si="41"/>
        <v>1020500</v>
      </c>
      <c r="K200" s="57">
        <f t="shared" si="42"/>
        <v>249895.33000000002</v>
      </c>
      <c r="L200"/>
      <c r="M200" s="314">
        <f t="shared" si="43"/>
        <v>0</v>
      </c>
      <c r="N200" s="310"/>
      <c r="O200" s="315"/>
      <c r="P200" s="315"/>
      <c r="Q200" s="315"/>
      <c r="R200" s="315"/>
      <c r="S200" s="55"/>
      <c r="T200" s="55"/>
      <c r="U200" s="55"/>
      <c r="V200" s="55"/>
      <c r="W200" s="55"/>
      <c r="X200" s="55"/>
      <c r="Y200" s="55"/>
      <c r="Z200" s="55"/>
      <c r="AA200" s="55"/>
      <c r="AB200" s="55"/>
      <c r="AC200" s="55"/>
      <c r="AD200" s="55"/>
      <c r="AE200" s="55"/>
      <c r="AF200" s="55"/>
      <c r="AG200" s="55"/>
      <c r="AH200" s="55"/>
      <c r="AI200" s="55"/>
      <c r="AJ200" s="55"/>
      <c r="AK200" s="55"/>
      <c r="AL200" s="55"/>
      <c r="AM200" s="55"/>
      <c r="AN200" s="55"/>
      <c r="AO200" s="55"/>
      <c r="AP200" s="55"/>
      <c r="AQ200" s="55"/>
      <c r="AR200" s="55"/>
      <c r="AS200" s="55"/>
      <c r="AT200" s="55"/>
      <c r="AU200" s="55"/>
      <c r="AV200" s="55"/>
      <c r="AW200" s="55"/>
      <c r="AX200" s="55"/>
      <c r="AY200" s="55"/>
      <c r="AZ200" s="55"/>
      <c r="BA200" s="55"/>
      <c r="BB200" s="55"/>
      <c r="BC200" s="55"/>
      <c r="BD200" s="55"/>
      <c r="BE200" s="55"/>
      <c r="BF200" s="55"/>
      <c r="BG200" s="55"/>
      <c r="BH200" s="55"/>
      <c r="BI200" s="55"/>
      <c r="BJ200" s="55"/>
      <c r="BK200" s="55"/>
      <c r="BL200" s="55"/>
      <c r="BM200" s="55"/>
      <c r="BN200" s="55"/>
      <c r="BO200" s="55"/>
      <c r="BP200" s="55"/>
      <c r="BQ200" s="55"/>
      <c r="BR200" s="55"/>
      <c r="BS200" s="55"/>
      <c r="BT200" s="55"/>
      <c r="BU200" s="55"/>
      <c r="BV200" s="55"/>
      <c r="BW200" s="55"/>
      <c r="BX200" s="55"/>
      <c r="BY200" s="55"/>
      <c r="BZ200" s="55"/>
      <c r="CA200" s="55"/>
      <c r="CB200" s="55"/>
      <c r="CC200" s="55"/>
      <c r="CD200" s="55"/>
      <c r="CE200" s="55"/>
      <c r="CF200" s="55"/>
      <c r="CG200" s="55"/>
      <c r="CH200" s="55"/>
      <c r="CI200" s="55"/>
      <c r="CJ200" s="55"/>
      <c r="CK200" s="55"/>
      <c r="CL200" s="55"/>
      <c r="CM200" s="55"/>
      <c r="CN200" s="55"/>
      <c r="CO200" s="55"/>
      <c r="CP200" s="55"/>
      <c r="CQ200" s="55"/>
      <c r="CR200" s="55"/>
      <c r="CS200" s="55"/>
      <c r="CT200" s="55"/>
      <c r="CU200" s="55"/>
      <c r="CV200" s="55"/>
      <c r="CW200" s="55"/>
      <c r="CX200" s="55"/>
      <c r="CY200" s="55"/>
      <c r="CZ200" s="55"/>
      <c r="DA200" s="55"/>
      <c r="DB200" s="55"/>
      <c r="DC200" s="55"/>
      <c r="DD200" s="55"/>
      <c r="DE200" s="55"/>
      <c r="DF200" s="55"/>
      <c r="DG200" s="55"/>
      <c r="DH200" s="55"/>
      <c r="DI200" s="55"/>
    </row>
    <row r="201" spans="1:113" x14ac:dyDescent="0.25">
      <c r="A201" s="152">
        <v>14</v>
      </c>
      <c r="B201" s="221" t="s">
        <v>319</v>
      </c>
      <c r="C201" s="80">
        <v>7000</v>
      </c>
      <c r="D201" s="142">
        <v>1755.58</v>
      </c>
      <c r="E201" s="43">
        <v>200</v>
      </c>
      <c r="F201" s="60"/>
      <c r="G201" s="139">
        <f t="shared" si="39"/>
        <v>200</v>
      </c>
      <c r="H201" s="55"/>
      <c r="I201" s="56">
        <f t="shared" si="40"/>
        <v>200</v>
      </c>
      <c r="J201" s="56">
        <f t="shared" si="41"/>
        <v>1400000</v>
      </c>
      <c r="K201" s="57">
        <f t="shared" si="42"/>
        <v>351116</v>
      </c>
      <c r="L201"/>
      <c r="M201" s="314">
        <f t="shared" si="43"/>
        <v>0</v>
      </c>
      <c r="N201" s="310"/>
      <c r="O201" s="315"/>
      <c r="P201" s="315"/>
      <c r="Q201" s="315"/>
      <c r="R201" s="315"/>
      <c r="S201" s="55"/>
      <c r="T201" s="55"/>
      <c r="U201" s="55"/>
      <c r="V201" s="55"/>
      <c r="W201" s="55"/>
      <c r="X201" s="55"/>
      <c r="Y201" s="55"/>
      <c r="Z201" s="55"/>
      <c r="AA201" s="55"/>
      <c r="AB201" s="55"/>
      <c r="AC201" s="55"/>
      <c r="AD201" s="55"/>
      <c r="AE201" s="55"/>
      <c r="AF201" s="55"/>
      <c r="AG201" s="55"/>
      <c r="AH201" s="55"/>
      <c r="AI201" s="55"/>
      <c r="AJ201" s="55"/>
      <c r="AK201" s="55"/>
      <c r="AL201" s="55"/>
      <c r="AM201" s="55"/>
      <c r="AN201" s="55"/>
      <c r="AO201" s="55"/>
      <c r="AP201" s="55"/>
      <c r="AQ201" s="55"/>
      <c r="AR201" s="55"/>
      <c r="AS201" s="55"/>
      <c r="AT201" s="55"/>
      <c r="AU201" s="55"/>
      <c r="AV201" s="55"/>
      <c r="AW201" s="55"/>
      <c r="AX201" s="55"/>
      <c r="AY201" s="55"/>
      <c r="AZ201" s="55"/>
      <c r="BA201" s="55"/>
      <c r="BB201" s="55"/>
      <c r="BC201" s="55"/>
      <c r="BD201" s="55"/>
      <c r="BE201" s="55"/>
      <c r="BF201" s="55"/>
      <c r="BG201" s="55"/>
      <c r="BH201" s="55"/>
      <c r="BI201" s="55"/>
      <c r="BJ201" s="55"/>
      <c r="BK201" s="55"/>
      <c r="BL201" s="55"/>
      <c r="BM201" s="55"/>
      <c r="BN201" s="55"/>
      <c r="BO201" s="55"/>
      <c r="BP201" s="55"/>
      <c r="BQ201" s="55"/>
      <c r="BR201" s="55"/>
      <c r="BS201" s="55"/>
      <c r="BT201" s="55"/>
      <c r="BU201" s="55"/>
      <c r="BV201" s="55"/>
      <c r="BW201" s="55"/>
      <c r="BX201" s="55"/>
      <c r="BY201" s="55"/>
      <c r="BZ201" s="55"/>
      <c r="CA201" s="55"/>
      <c r="CB201" s="55"/>
      <c r="CC201" s="55"/>
      <c r="CD201" s="55"/>
      <c r="CE201" s="55"/>
      <c r="CF201" s="55"/>
      <c r="CG201" s="55"/>
      <c r="CH201" s="55"/>
      <c r="CI201" s="55"/>
      <c r="CJ201" s="55"/>
      <c r="CK201" s="55"/>
      <c r="CL201" s="55"/>
      <c r="CM201" s="55"/>
      <c r="CN201" s="55"/>
      <c r="CO201" s="55"/>
      <c r="CP201" s="55"/>
      <c r="CQ201" s="55"/>
      <c r="CR201" s="55"/>
      <c r="CS201" s="55"/>
      <c r="CT201" s="55"/>
      <c r="CU201" s="55"/>
      <c r="CV201" s="55"/>
      <c r="CW201" s="55"/>
      <c r="CX201" s="55"/>
      <c r="CY201" s="55"/>
      <c r="CZ201" s="55"/>
      <c r="DA201" s="55"/>
      <c r="DB201" s="55"/>
      <c r="DC201" s="55"/>
      <c r="DD201" s="55"/>
      <c r="DE201" s="55"/>
      <c r="DF201" s="55"/>
      <c r="DG201" s="55"/>
      <c r="DH201" s="55"/>
      <c r="DI201" s="55"/>
    </row>
    <row r="202" spans="1:113" x14ac:dyDescent="0.25">
      <c r="A202" s="152">
        <v>15</v>
      </c>
      <c r="B202" s="221" t="s">
        <v>367</v>
      </c>
      <c r="C202" s="80">
        <v>6500</v>
      </c>
      <c r="D202" s="142">
        <v>1524.46</v>
      </c>
      <c r="E202" s="43">
        <v>0</v>
      </c>
      <c r="F202" s="60"/>
      <c r="G202" s="139">
        <f t="shared" si="39"/>
        <v>0</v>
      </c>
      <c r="H202" s="55">
        <f>6-6</f>
        <v>0</v>
      </c>
      <c r="I202" s="56">
        <f t="shared" si="40"/>
        <v>0</v>
      </c>
      <c r="J202" s="56">
        <f t="shared" si="41"/>
        <v>0</v>
      </c>
      <c r="K202" s="57">
        <f t="shared" si="42"/>
        <v>0</v>
      </c>
      <c r="L202"/>
      <c r="M202" s="314">
        <f t="shared" si="43"/>
        <v>0</v>
      </c>
      <c r="N202" s="310"/>
      <c r="O202" s="315"/>
      <c r="P202" s="315"/>
      <c r="Q202" s="315"/>
      <c r="R202" s="315"/>
      <c r="S202" s="55"/>
      <c r="T202" s="55"/>
      <c r="U202" s="55"/>
      <c r="V202" s="55"/>
      <c r="W202" s="55"/>
      <c r="X202" s="55"/>
      <c r="Y202" s="55"/>
      <c r="Z202" s="55"/>
      <c r="AA202" s="55"/>
      <c r="AB202" s="55"/>
      <c r="AC202" s="55"/>
      <c r="AD202" s="55"/>
      <c r="AE202" s="55"/>
      <c r="AF202" s="55"/>
      <c r="AG202" s="55"/>
      <c r="AH202" s="55"/>
      <c r="AI202" s="55"/>
      <c r="AJ202" s="55"/>
      <c r="AK202" s="55"/>
      <c r="AL202" s="55"/>
      <c r="AM202" s="55"/>
      <c r="AN202" s="55"/>
      <c r="AO202" s="55"/>
      <c r="AP202" s="55"/>
      <c r="AQ202" s="55"/>
      <c r="AR202" s="55"/>
      <c r="AS202" s="55"/>
      <c r="AT202" s="55"/>
      <c r="AU202" s="55"/>
      <c r="AV202" s="55"/>
      <c r="AW202" s="55"/>
      <c r="AX202" s="55"/>
      <c r="AY202" s="55"/>
      <c r="AZ202" s="55"/>
      <c r="BA202" s="55"/>
      <c r="BB202" s="55"/>
      <c r="BC202" s="55"/>
      <c r="BD202" s="55"/>
      <c r="BE202" s="55"/>
      <c r="BF202" s="55"/>
      <c r="BG202" s="55"/>
      <c r="BH202" s="55"/>
      <c r="BI202" s="55"/>
      <c r="BJ202" s="55"/>
      <c r="BK202" s="55"/>
      <c r="BL202" s="55"/>
      <c r="BM202" s="55"/>
      <c r="BN202" s="55"/>
      <c r="BO202" s="55"/>
      <c r="BP202" s="55"/>
      <c r="BQ202" s="55"/>
      <c r="BR202" s="55"/>
      <c r="BS202" s="55"/>
      <c r="BT202" s="55"/>
      <c r="BU202" s="55"/>
      <c r="BV202" s="55"/>
      <c r="BW202" s="55"/>
      <c r="BX202" s="55"/>
      <c r="BY202" s="55"/>
      <c r="BZ202" s="55"/>
      <c r="CA202" s="55"/>
      <c r="CB202" s="55"/>
      <c r="CC202" s="55"/>
      <c r="CD202" s="55"/>
      <c r="CE202" s="55"/>
      <c r="CF202" s="55"/>
      <c r="CG202" s="55"/>
      <c r="CH202" s="55"/>
      <c r="CI202" s="55"/>
      <c r="CJ202" s="55"/>
      <c r="CK202" s="55"/>
      <c r="CL202" s="55"/>
      <c r="CM202" s="55"/>
      <c r="CN202" s="55"/>
      <c r="CO202" s="55"/>
      <c r="CP202" s="55"/>
      <c r="CQ202" s="55"/>
      <c r="CR202" s="55"/>
      <c r="CS202" s="55"/>
      <c r="CT202" s="55"/>
      <c r="CU202" s="55"/>
      <c r="CV202" s="55"/>
      <c r="CW202" s="55"/>
      <c r="CX202" s="55"/>
      <c r="CY202" s="55"/>
      <c r="CZ202" s="55"/>
      <c r="DA202" s="55"/>
      <c r="DB202" s="55"/>
      <c r="DC202" s="55"/>
      <c r="DD202" s="55"/>
      <c r="DE202" s="55"/>
      <c r="DF202" s="55"/>
      <c r="DG202" s="55"/>
      <c r="DH202" s="55"/>
      <c r="DI202" s="55"/>
    </row>
    <row r="203" spans="1:113" x14ac:dyDescent="0.25">
      <c r="A203" s="152">
        <v>16</v>
      </c>
      <c r="B203" s="221" t="s">
        <v>368</v>
      </c>
      <c r="C203" s="80">
        <v>12000</v>
      </c>
      <c r="D203" s="142">
        <v>1982.38</v>
      </c>
      <c r="E203" s="43">
        <v>89</v>
      </c>
      <c r="F203" s="60"/>
      <c r="G203" s="139">
        <f t="shared" si="39"/>
        <v>89</v>
      </c>
      <c r="H203" s="55"/>
      <c r="I203" s="56">
        <f t="shared" si="40"/>
        <v>89</v>
      </c>
      <c r="J203" s="56">
        <f t="shared" si="41"/>
        <v>1068000</v>
      </c>
      <c r="K203" s="57">
        <f t="shared" si="42"/>
        <v>176431.82</v>
      </c>
      <c r="L203"/>
      <c r="M203" s="314">
        <f t="shared" si="43"/>
        <v>0</v>
      </c>
      <c r="N203" s="310"/>
      <c r="O203" s="315"/>
      <c r="P203" s="315"/>
      <c r="Q203" s="315"/>
      <c r="R203" s="315"/>
      <c r="S203" s="55"/>
      <c r="T203" s="55"/>
      <c r="U203" s="55"/>
      <c r="V203" s="55"/>
      <c r="W203" s="55"/>
      <c r="X203" s="55"/>
      <c r="Y203" s="55"/>
      <c r="Z203" s="55"/>
      <c r="AA203" s="55"/>
      <c r="AB203" s="55"/>
      <c r="AC203" s="55"/>
      <c r="AD203" s="55"/>
      <c r="AE203" s="55"/>
      <c r="AF203" s="55"/>
      <c r="AG203" s="55"/>
      <c r="AH203" s="55"/>
      <c r="AI203" s="55"/>
      <c r="AJ203" s="55"/>
      <c r="AK203" s="55"/>
      <c r="AL203" s="55"/>
      <c r="AM203" s="55"/>
      <c r="AN203" s="55"/>
      <c r="AO203" s="55"/>
      <c r="AP203" s="55"/>
      <c r="AQ203" s="55"/>
      <c r="AR203" s="55"/>
      <c r="AS203" s="55"/>
      <c r="AT203" s="55"/>
      <c r="AU203" s="55"/>
      <c r="AV203" s="55"/>
      <c r="AW203" s="55"/>
      <c r="AX203" s="55"/>
      <c r="AY203" s="55"/>
      <c r="AZ203" s="55"/>
      <c r="BA203" s="55"/>
      <c r="BB203" s="55"/>
      <c r="BC203" s="55"/>
      <c r="BD203" s="55"/>
      <c r="BE203" s="55"/>
      <c r="BF203" s="55"/>
      <c r="BG203" s="55"/>
      <c r="BH203" s="55"/>
      <c r="BI203" s="55"/>
      <c r="BJ203" s="55"/>
      <c r="BK203" s="55"/>
      <c r="BL203" s="55"/>
      <c r="BM203" s="55"/>
      <c r="BN203" s="55"/>
      <c r="BO203" s="55"/>
      <c r="BP203" s="55"/>
      <c r="BQ203" s="55"/>
      <c r="BR203" s="55"/>
      <c r="BS203" s="55"/>
      <c r="BT203" s="55"/>
      <c r="BU203" s="55"/>
      <c r="BV203" s="55"/>
      <c r="BW203" s="55"/>
      <c r="BX203" s="55"/>
      <c r="BY203" s="55"/>
      <c r="BZ203" s="55"/>
      <c r="CA203" s="55"/>
      <c r="CB203" s="55"/>
      <c r="CC203" s="55"/>
      <c r="CD203" s="55"/>
      <c r="CE203" s="55"/>
      <c r="CF203" s="55"/>
      <c r="CG203" s="55"/>
      <c r="CH203" s="55"/>
      <c r="CI203" s="55"/>
      <c r="CJ203" s="55"/>
      <c r="CK203" s="55"/>
      <c r="CL203" s="55"/>
      <c r="CM203" s="55"/>
      <c r="CN203" s="55"/>
      <c r="CO203" s="55"/>
      <c r="CP203" s="55"/>
      <c r="CQ203" s="55"/>
      <c r="CR203" s="55"/>
      <c r="CS203" s="55"/>
      <c r="CT203" s="55"/>
      <c r="CU203" s="55"/>
      <c r="CV203" s="55"/>
      <c r="CW203" s="55"/>
      <c r="CX203" s="55"/>
      <c r="CY203" s="55"/>
      <c r="CZ203" s="55"/>
      <c r="DA203" s="55"/>
      <c r="DB203" s="55"/>
      <c r="DC203" s="55"/>
      <c r="DD203" s="55"/>
      <c r="DE203" s="55"/>
      <c r="DF203" s="55"/>
      <c r="DG203" s="55"/>
      <c r="DH203" s="55"/>
      <c r="DI203" s="55"/>
    </row>
    <row r="204" spans="1:113" x14ac:dyDescent="0.25">
      <c r="A204" s="152">
        <v>17</v>
      </c>
      <c r="B204" s="221" t="s">
        <v>369</v>
      </c>
      <c r="C204" s="80">
        <v>5000</v>
      </c>
      <c r="D204" s="142">
        <v>1175.17</v>
      </c>
      <c r="E204" s="43">
        <v>82</v>
      </c>
      <c r="F204" s="60"/>
      <c r="G204" s="139">
        <f t="shared" si="39"/>
        <v>82</v>
      </c>
      <c r="H204" s="55"/>
      <c r="I204" s="56">
        <f t="shared" si="40"/>
        <v>82</v>
      </c>
      <c r="J204" s="56">
        <f t="shared" si="41"/>
        <v>410000</v>
      </c>
      <c r="K204" s="57">
        <f t="shared" si="42"/>
        <v>96363.94</v>
      </c>
      <c r="L204"/>
      <c r="M204" s="314">
        <f t="shared" si="43"/>
        <v>0</v>
      </c>
      <c r="N204" s="310"/>
      <c r="O204" s="315"/>
      <c r="P204" s="315"/>
      <c r="Q204" s="315"/>
      <c r="R204" s="315"/>
      <c r="S204" s="55"/>
      <c r="T204" s="55"/>
      <c r="U204" s="55"/>
      <c r="V204" s="55"/>
      <c r="W204" s="55"/>
      <c r="X204" s="55"/>
      <c r="Y204" s="55"/>
      <c r="Z204" s="55"/>
      <c r="AA204" s="55"/>
      <c r="AB204" s="55"/>
      <c r="AC204" s="55"/>
      <c r="AD204" s="55"/>
      <c r="AE204" s="55"/>
      <c r="AF204" s="55"/>
      <c r="AG204" s="55"/>
      <c r="AH204" s="55"/>
      <c r="AI204" s="55"/>
      <c r="AJ204" s="55"/>
      <c r="AK204" s="55"/>
      <c r="AL204" s="55"/>
      <c r="AM204" s="55"/>
      <c r="AN204" s="55"/>
      <c r="AO204" s="55"/>
      <c r="AP204" s="55"/>
      <c r="AQ204" s="55"/>
      <c r="AR204" s="55"/>
      <c r="AS204" s="55"/>
      <c r="AT204" s="55"/>
      <c r="AU204" s="55"/>
      <c r="AV204" s="55"/>
      <c r="AW204" s="55"/>
      <c r="AX204" s="55"/>
      <c r="AY204" s="55"/>
      <c r="AZ204" s="55"/>
      <c r="BA204" s="55"/>
      <c r="BB204" s="55"/>
      <c r="BC204" s="55"/>
      <c r="BD204" s="55"/>
      <c r="BE204" s="55"/>
      <c r="BF204" s="55"/>
      <c r="BG204" s="55"/>
      <c r="BH204" s="55"/>
      <c r="BI204" s="55"/>
      <c r="BJ204" s="55"/>
      <c r="BK204" s="55"/>
      <c r="BL204" s="55"/>
      <c r="BM204" s="55"/>
      <c r="BN204" s="55"/>
      <c r="BO204" s="55"/>
      <c r="BP204" s="55"/>
      <c r="BQ204" s="55"/>
      <c r="BR204" s="55"/>
      <c r="BS204" s="55"/>
      <c r="BT204" s="55"/>
      <c r="BU204" s="55"/>
      <c r="BV204" s="55"/>
      <c r="BW204" s="55"/>
      <c r="BX204" s="55"/>
      <c r="BY204" s="55"/>
      <c r="BZ204" s="55"/>
      <c r="CA204" s="55"/>
      <c r="CB204" s="55"/>
      <c r="CC204" s="55"/>
      <c r="CD204" s="55"/>
      <c r="CE204" s="55"/>
      <c r="CF204" s="55"/>
      <c r="CG204" s="55"/>
      <c r="CH204" s="55"/>
      <c r="CI204" s="55"/>
      <c r="CJ204" s="55"/>
      <c r="CK204" s="55"/>
      <c r="CL204" s="55"/>
      <c r="CM204" s="55"/>
      <c r="CN204" s="55"/>
      <c r="CO204" s="55"/>
      <c r="CP204" s="55"/>
      <c r="CQ204" s="55"/>
      <c r="CR204" s="55"/>
      <c r="CS204" s="55"/>
      <c r="CT204" s="55"/>
      <c r="CU204" s="55"/>
      <c r="CV204" s="55"/>
      <c r="CW204" s="55"/>
      <c r="CX204" s="55"/>
      <c r="CY204" s="55"/>
      <c r="CZ204" s="55"/>
      <c r="DA204" s="55"/>
      <c r="DB204" s="55"/>
      <c r="DC204" s="55"/>
      <c r="DD204" s="55"/>
      <c r="DE204" s="55"/>
      <c r="DF204" s="55"/>
      <c r="DG204" s="55"/>
      <c r="DH204" s="55"/>
      <c r="DI204" s="55"/>
    </row>
    <row r="205" spans="1:113" x14ac:dyDescent="0.25">
      <c r="A205" s="152">
        <v>18</v>
      </c>
      <c r="B205" s="221" t="s">
        <v>370</v>
      </c>
      <c r="C205" s="80">
        <v>5000</v>
      </c>
      <c r="D205" s="142">
        <v>1277.32</v>
      </c>
      <c r="E205" s="43">
        <v>141</v>
      </c>
      <c r="F205" s="60"/>
      <c r="G205" s="139">
        <f t="shared" si="39"/>
        <v>141</v>
      </c>
      <c r="H205" s="55"/>
      <c r="I205" s="56">
        <f t="shared" si="40"/>
        <v>141</v>
      </c>
      <c r="J205" s="56">
        <f t="shared" si="41"/>
        <v>705000</v>
      </c>
      <c r="K205" s="57">
        <f t="shared" si="42"/>
        <v>180102.12</v>
      </c>
      <c r="L205"/>
      <c r="M205" s="314">
        <f t="shared" si="43"/>
        <v>0</v>
      </c>
      <c r="N205" s="310"/>
      <c r="O205" s="315"/>
      <c r="P205" s="315"/>
      <c r="Q205" s="315"/>
      <c r="R205" s="315"/>
      <c r="S205" s="55"/>
      <c r="T205" s="55"/>
      <c r="U205" s="55"/>
      <c r="V205" s="55"/>
      <c r="W205" s="55"/>
      <c r="X205" s="55"/>
      <c r="Y205" s="55"/>
      <c r="Z205" s="55"/>
      <c r="AA205" s="55"/>
      <c r="AB205" s="55"/>
      <c r="AC205" s="55"/>
      <c r="AD205" s="55"/>
      <c r="AE205" s="55"/>
      <c r="AF205" s="55"/>
      <c r="AG205" s="55"/>
      <c r="AH205" s="55"/>
      <c r="AI205" s="55"/>
      <c r="AJ205" s="55"/>
      <c r="AK205" s="55"/>
      <c r="AL205" s="55"/>
      <c r="AM205" s="55"/>
      <c r="AN205" s="55"/>
      <c r="AO205" s="55"/>
      <c r="AP205" s="55"/>
      <c r="AQ205" s="55"/>
      <c r="AR205" s="55"/>
      <c r="AS205" s="55"/>
      <c r="AT205" s="55"/>
      <c r="AU205" s="55"/>
      <c r="AV205" s="55"/>
      <c r="AW205" s="55"/>
      <c r="AX205" s="55"/>
      <c r="AY205" s="55"/>
      <c r="AZ205" s="55"/>
      <c r="BA205" s="55"/>
      <c r="BB205" s="55"/>
      <c r="BC205" s="55"/>
      <c r="BD205" s="55"/>
      <c r="BE205" s="55"/>
      <c r="BF205" s="55"/>
      <c r="BG205" s="55"/>
      <c r="BH205" s="55"/>
      <c r="BI205" s="55"/>
      <c r="BJ205" s="55"/>
      <c r="BK205" s="55"/>
      <c r="BL205" s="55"/>
      <c r="BM205" s="55"/>
      <c r="BN205" s="55"/>
      <c r="BO205" s="55"/>
      <c r="BP205" s="55"/>
      <c r="BQ205" s="55"/>
      <c r="BR205" s="55"/>
      <c r="BS205" s="55"/>
      <c r="BT205" s="55"/>
      <c r="BU205" s="55"/>
      <c r="BV205" s="55"/>
      <c r="BW205" s="55"/>
      <c r="BX205" s="55"/>
      <c r="BY205" s="55"/>
      <c r="BZ205" s="55"/>
      <c r="CA205" s="55"/>
      <c r="CB205" s="55"/>
      <c r="CC205" s="55"/>
      <c r="CD205" s="55"/>
      <c r="CE205" s="55"/>
      <c r="CF205" s="55"/>
      <c r="CG205" s="55"/>
      <c r="CH205" s="55"/>
      <c r="CI205" s="55"/>
      <c r="CJ205" s="55"/>
      <c r="CK205" s="55"/>
      <c r="CL205" s="55"/>
      <c r="CM205" s="55"/>
      <c r="CN205" s="55"/>
      <c r="CO205" s="55"/>
      <c r="CP205" s="55"/>
      <c r="CQ205" s="55"/>
      <c r="CR205" s="55"/>
      <c r="CS205" s="55"/>
      <c r="CT205" s="55"/>
      <c r="CU205" s="55"/>
      <c r="CV205" s="55"/>
      <c r="CW205" s="55"/>
      <c r="CX205" s="55"/>
      <c r="CY205" s="55"/>
      <c r="CZ205" s="55"/>
      <c r="DA205" s="55"/>
      <c r="DB205" s="55"/>
      <c r="DC205" s="55"/>
      <c r="DD205" s="55"/>
      <c r="DE205" s="55"/>
      <c r="DF205" s="55"/>
      <c r="DG205" s="55"/>
      <c r="DH205" s="55"/>
      <c r="DI205" s="55"/>
    </row>
    <row r="206" spans="1:113" x14ac:dyDescent="0.25">
      <c r="A206" s="152">
        <v>19</v>
      </c>
      <c r="B206" s="222" t="s">
        <v>371</v>
      </c>
      <c r="C206" s="80">
        <v>13000</v>
      </c>
      <c r="D206" s="142">
        <v>2915</v>
      </c>
      <c r="E206" s="43">
        <v>10</v>
      </c>
      <c r="F206" s="60"/>
      <c r="G206" s="139">
        <f t="shared" si="39"/>
        <v>10</v>
      </c>
      <c r="H206" s="55"/>
      <c r="I206" s="56">
        <f t="shared" si="40"/>
        <v>10</v>
      </c>
      <c r="J206" s="56">
        <f t="shared" si="41"/>
        <v>130000</v>
      </c>
      <c r="K206" s="57">
        <f t="shared" si="42"/>
        <v>29150</v>
      </c>
      <c r="L206"/>
      <c r="M206" s="314">
        <f t="shared" si="43"/>
        <v>0</v>
      </c>
      <c r="N206" s="310"/>
      <c r="O206" s="315"/>
      <c r="P206" s="315"/>
      <c r="Q206" s="315"/>
      <c r="R206" s="315"/>
      <c r="S206" s="55"/>
      <c r="T206" s="55"/>
      <c r="U206" s="55"/>
      <c r="V206" s="55"/>
      <c r="W206" s="55"/>
      <c r="X206" s="55"/>
      <c r="Y206" s="55"/>
      <c r="Z206" s="55"/>
      <c r="AA206" s="55"/>
      <c r="AB206" s="55"/>
      <c r="AC206" s="55"/>
      <c r="AD206" s="55"/>
      <c r="AE206" s="55"/>
      <c r="AF206" s="55"/>
      <c r="AG206" s="55"/>
      <c r="AH206" s="55"/>
      <c r="AI206" s="55"/>
      <c r="AJ206" s="55"/>
      <c r="AK206" s="55"/>
      <c r="AL206" s="55"/>
      <c r="AM206" s="55"/>
      <c r="AN206" s="55"/>
      <c r="AO206" s="55"/>
      <c r="AP206" s="55"/>
      <c r="AQ206" s="55"/>
      <c r="AR206" s="55"/>
      <c r="AS206" s="55"/>
      <c r="AT206" s="55"/>
      <c r="AU206" s="55"/>
      <c r="AV206" s="55"/>
      <c r="AW206" s="55"/>
      <c r="AX206" s="55"/>
      <c r="AY206" s="55"/>
      <c r="AZ206" s="55"/>
      <c r="BA206" s="55"/>
      <c r="BB206" s="55"/>
      <c r="BC206" s="55"/>
      <c r="BD206" s="55"/>
      <c r="BE206" s="55"/>
      <c r="BF206" s="55"/>
      <c r="BG206" s="55"/>
      <c r="BH206" s="55"/>
      <c r="BI206" s="55"/>
      <c r="BJ206" s="55"/>
      <c r="BK206" s="55"/>
      <c r="BL206" s="55"/>
      <c r="BM206" s="55"/>
      <c r="BN206" s="55"/>
      <c r="BO206" s="55"/>
      <c r="BP206" s="55"/>
      <c r="BQ206" s="55"/>
      <c r="BR206" s="55"/>
      <c r="BS206" s="55"/>
      <c r="BT206" s="55"/>
      <c r="BU206" s="55"/>
      <c r="BV206" s="55"/>
      <c r="BW206" s="55"/>
      <c r="BX206" s="55"/>
      <c r="BY206" s="55"/>
      <c r="BZ206" s="55"/>
      <c r="CA206" s="55"/>
      <c r="CB206" s="55"/>
      <c r="CC206" s="55"/>
      <c r="CD206" s="55"/>
      <c r="CE206" s="55"/>
      <c r="CF206" s="55"/>
      <c r="CG206" s="55"/>
      <c r="CH206" s="55"/>
      <c r="CI206" s="55"/>
      <c r="CJ206" s="55"/>
      <c r="CK206" s="55"/>
      <c r="CL206" s="55"/>
      <c r="CM206" s="55"/>
      <c r="CN206" s="55"/>
      <c r="CO206" s="55"/>
      <c r="CP206" s="55"/>
      <c r="CQ206" s="55"/>
      <c r="CR206" s="55"/>
      <c r="CS206" s="55"/>
      <c r="CT206" s="55"/>
      <c r="CU206" s="55"/>
      <c r="CV206" s="55"/>
      <c r="CW206" s="55"/>
      <c r="CX206" s="55"/>
      <c r="CY206" s="55"/>
      <c r="CZ206" s="55"/>
      <c r="DA206" s="55"/>
      <c r="DB206" s="55"/>
      <c r="DC206" s="55"/>
      <c r="DD206" s="55"/>
      <c r="DE206" s="55"/>
      <c r="DF206" s="55"/>
      <c r="DG206" s="55"/>
      <c r="DH206" s="55"/>
      <c r="DI206" s="55"/>
    </row>
    <row r="207" spans="1:113" x14ac:dyDescent="0.25">
      <c r="A207" s="152">
        <v>20</v>
      </c>
      <c r="B207" s="60" t="s">
        <v>372</v>
      </c>
      <c r="C207" s="80">
        <v>11000</v>
      </c>
      <c r="D207" s="142">
        <v>1708.7</v>
      </c>
      <c r="E207" s="43">
        <v>203</v>
      </c>
      <c r="F207" s="60"/>
      <c r="G207" s="139">
        <f t="shared" si="39"/>
        <v>203</v>
      </c>
      <c r="H207" s="55"/>
      <c r="I207" s="56">
        <f t="shared" si="40"/>
        <v>203</v>
      </c>
      <c r="J207" s="56">
        <f t="shared" si="41"/>
        <v>2233000</v>
      </c>
      <c r="K207" s="57">
        <f t="shared" si="42"/>
        <v>346866.10000000003</v>
      </c>
      <c r="L207"/>
      <c r="M207" s="314">
        <f t="shared" si="43"/>
        <v>0</v>
      </c>
      <c r="N207" s="310"/>
      <c r="O207" s="315"/>
      <c r="P207" s="315"/>
      <c r="Q207" s="315"/>
      <c r="R207" s="315"/>
      <c r="S207" s="55"/>
      <c r="T207" s="55"/>
      <c r="U207" s="55"/>
      <c r="V207" s="55"/>
      <c r="W207" s="55"/>
      <c r="X207" s="55"/>
      <c r="Y207" s="55"/>
      <c r="Z207" s="55"/>
      <c r="AA207" s="55"/>
      <c r="AB207" s="55"/>
      <c r="AC207" s="55"/>
      <c r="AD207" s="55"/>
      <c r="AE207" s="55"/>
      <c r="AF207" s="55"/>
      <c r="AG207" s="55"/>
      <c r="AH207" s="55"/>
      <c r="AI207" s="55"/>
      <c r="AJ207" s="55"/>
      <c r="AK207" s="55"/>
      <c r="AL207" s="55"/>
      <c r="AM207" s="55"/>
      <c r="AN207" s="55"/>
      <c r="AO207" s="55"/>
      <c r="AP207" s="55"/>
      <c r="AQ207" s="55"/>
      <c r="AR207" s="55"/>
      <c r="AS207" s="55"/>
      <c r="AT207" s="55"/>
      <c r="AU207" s="55"/>
      <c r="AV207" s="55"/>
      <c r="AW207" s="55"/>
      <c r="AX207" s="55"/>
      <c r="AY207" s="55"/>
      <c r="AZ207" s="55"/>
      <c r="BA207" s="55"/>
      <c r="BB207" s="55"/>
      <c r="BC207" s="55"/>
      <c r="BD207" s="55"/>
      <c r="BE207" s="55"/>
      <c r="BF207" s="55"/>
      <c r="BG207" s="55"/>
      <c r="BH207" s="55"/>
      <c r="BI207" s="55"/>
      <c r="BJ207" s="55"/>
      <c r="BK207" s="55"/>
      <c r="BL207" s="55"/>
      <c r="BM207" s="55"/>
      <c r="BN207" s="55"/>
      <c r="BO207" s="55"/>
      <c r="BP207" s="55"/>
      <c r="BQ207" s="55"/>
      <c r="BR207" s="55"/>
      <c r="BS207" s="55"/>
      <c r="BT207" s="55"/>
      <c r="BU207" s="55"/>
      <c r="BV207" s="55"/>
      <c r="BW207" s="55"/>
      <c r="BX207" s="55"/>
      <c r="BY207" s="55"/>
      <c r="BZ207" s="55"/>
      <c r="CA207" s="55"/>
      <c r="CB207" s="55"/>
      <c r="CC207" s="55"/>
      <c r="CD207" s="55"/>
      <c r="CE207" s="55"/>
      <c r="CF207" s="55"/>
      <c r="CG207" s="55"/>
      <c r="CH207" s="55"/>
      <c r="CI207" s="55"/>
      <c r="CJ207" s="55"/>
      <c r="CK207" s="55"/>
      <c r="CL207" s="55"/>
      <c r="CM207" s="55"/>
      <c r="CN207" s="55"/>
      <c r="CO207" s="55"/>
      <c r="CP207" s="55"/>
      <c r="CQ207" s="55"/>
      <c r="CR207" s="55"/>
      <c r="CS207" s="55"/>
      <c r="CT207" s="55"/>
      <c r="CU207" s="55"/>
      <c r="CV207" s="55"/>
      <c r="CW207" s="55"/>
      <c r="CX207" s="55"/>
      <c r="CY207" s="55"/>
      <c r="CZ207" s="55"/>
      <c r="DA207" s="55"/>
      <c r="DB207" s="55"/>
      <c r="DC207" s="55"/>
      <c r="DD207" s="55"/>
      <c r="DE207" s="55"/>
      <c r="DF207" s="55"/>
      <c r="DG207" s="55"/>
      <c r="DH207" s="55"/>
      <c r="DI207" s="55"/>
    </row>
    <row r="208" spans="1:113" x14ac:dyDescent="0.25">
      <c r="A208" s="152">
        <v>21</v>
      </c>
      <c r="B208" s="60" t="s">
        <v>373</v>
      </c>
      <c r="C208" s="80">
        <v>5000</v>
      </c>
      <c r="D208" s="142">
        <v>1277.32</v>
      </c>
      <c r="E208" s="43">
        <v>56</v>
      </c>
      <c r="F208" s="60"/>
      <c r="G208" s="139">
        <f t="shared" si="39"/>
        <v>56</v>
      </c>
      <c r="H208" s="55"/>
      <c r="I208" s="56">
        <f t="shared" si="40"/>
        <v>56</v>
      </c>
      <c r="J208" s="56">
        <f t="shared" si="41"/>
        <v>280000</v>
      </c>
      <c r="K208" s="57">
        <f t="shared" si="42"/>
        <v>71529.919999999998</v>
      </c>
      <c r="L208"/>
      <c r="M208" s="314">
        <f t="shared" ref="M208:M224" si="44">SUM(N208:DJ208)</f>
        <v>0</v>
      </c>
      <c r="N208" s="310"/>
      <c r="O208" s="315"/>
      <c r="P208" s="315"/>
      <c r="Q208" s="315"/>
      <c r="R208" s="315"/>
      <c r="S208" s="55"/>
      <c r="T208" s="55"/>
      <c r="U208" s="55"/>
      <c r="V208" s="55"/>
      <c r="W208" s="55"/>
      <c r="X208" s="55"/>
      <c r="Y208" s="55"/>
      <c r="Z208" s="55"/>
      <c r="AA208" s="55"/>
      <c r="AB208" s="55"/>
      <c r="AC208" s="55"/>
      <c r="AD208" s="55"/>
      <c r="AE208" s="55"/>
      <c r="AF208" s="55"/>
      <c r="AG208" s="55"/>
      <c r="AH208" s="55"/>
      <c r="AI208" s="55"/>
      <c r="AJ208" s="55"/>
      <c r="AK208" s="55"/>
      <c r="AL208" s="55"/>
      <c r="AM208" s="55"/>
      <c r="AN208" s="55"/>
      <c r="AO208" s="55"/>
      <c r="AP208" s="55"/>
      <c r="AQ208" s="55"/>
      <c r="AR208" s="55"/>
      <c r="AS208" s="55"/>
      <c r="AT208" s="55"/>
      <c r="AU208" s="55"/>
      <c r="AV208" s="55"/>
      <c r="AW208" s="55"/>
      <c r="AX208" s="55"/>
      <c r="AY208" s="55"/>
      <c r="AZ208" s="55"/>
      <c r="BA208" s="55"/>
      <c r="BB208" s="55"/>
      <c r="BC208" s="55"/>
      <c r="BD208" s="55"/>
      <c r="BE208" s="55"/>
      <c r="BF208" s="55"/>
      <c r="BG208" s="55"/>
      <c r="BH208" s="55"/>
      <c r="BI208" s="55"/>
      <c r="BJ208" s="55"/>
      <c r="BK208" s="55"/>
      <c r="BL208" s="55"/>
      <c r="BM208" s="55"/>
      <c r="BN208" s="55"/>
      <c r="BO208" s="55"/>
      <c r="BP208" s="55"/>
      <c r="BQ208" s="55"/>
      <c r="BR208" s="55"/>
      <c r="BS208" s="55"/>
      <c r="BT208" s="55"/>
      <c r="BU208" s="55"/>
      <c r="BV208" s="55"/>
      <c r="BW208" s="55"/>
      <c r="BX208" s="55"/>
      <c r="BY208" s="55"/>
      <c r="BZ208" s="55"/>
      <c r="CA208" s="55"/>
      <c r="CB208" s="55"/>
      <c r="CC208" s="55"/>
      <c r="CD208" s="55"/>
      <c r="CE208" s="55"/>
      <c r="CF208" s="55"/>
      <c r="CG208" s="55"/>
      <c r="CH208" s="55"/>
      <c r="CI208" s="55"/>
      <c r="CJ208" s="55"/>
      <c r="CK208" s="55"/>
      <c r="CL208" s="55"/>
      <c r="CM208" s="55"/>
      <c r="CN208" s="55"/>
      <c r="CO208" s="55"/>
      <c r="CP208" s="55"/>
      <c r="CQ208" s="55"/>
      <c r="CR208" s="55"/>
      <c r="CS208" s="55"/>
      <c r="CT208" s="55"/>
      <c r="CU208" s="55"/>
      <c r="CV208" s="55"/>
      <c r="CW208" s="55"/>
      <c r="CX208" s="55"/>
      <c r="CY208" s="55"/>
      <c r="CZ208" s="55"/>
      <c r="DA208" s="55"/>
      <c r="DB208" s="55"/>
      <c r="DC208" s="55"/>
      <c r="DD208" s="55"/>
      <c r="DE208" s="55"/>
      <c r="DF208" s="55"/>
      <c r="DG208" s="55"/>
      <c r="DH208" s="55"/>
      <c r="DI208" s="55"/>
    </row>
    <row r="209" spans="1:113" x14ac:dyDescent="0.25">
      <c r="A209" s="152">
        <v>22</v>
      </c>
      <c r="B209" s="60" t="s">
        <v>261</v>
      </c>
      <c r="C209" s="80">
        <v>5000</v>
      </c>
      <c r="D209" s="142">
        <v>1277.32</v>
      </c>
      <c r="E209" s="43">
        <v>74</v>
      </c>
      <c r="F209" s="60"/>
      <c r="G209" s="139">
        <f t="shared" si="39"/>
        <v>74</v>
      </c>
      <c r="H209" s="55"/>
      <c r="I209" s="56">
        <f t="shared" si="40"/>
        <v>74</v>
      </c>
      <c r="J209" s="56">
        <f t="shared" si="41"/>
        <v>370000</v>
      </c>
      <c r="K209" s="57">
        <f t="shared" si="42"/>
        <v>94521.68</v>
      </c>
      <c r="L209"/>
      <c r="M209" s="314">
        <f t="shared" si="44"/>
        <v>0</v>
      </c>
      <c r="N209" s="310"/>
      <c r="O209" s="315"/>
      <c r="P209" s="315"/>
      <c r="Q209" s="315"/>
      <c r="R209" s="315"/>
      <c r="S209" s="55"/>
      <c r="T209" s="55"/>
      <c r="U209" s="55"/>
      <c r="V209" s="55"/>
      <c r="W209" s="55"/>
      <c r="X209" s="55"/>
      <c r="Y209" s="55"/>
      <c r="Z209" s="55"/>
      <c r="AA209" s="55"/>
      <c r="AB209" s="55"/>
      <c r="AC209" s="55"/>
      <c r="AD209" s="55"/>
      <c r="AE209" s="55"/>
      <c r="AF209" s="55"/>
      <c r="AG209" s="55"/>
      <c r="AH209" s="55"/>
      <c r="AI209" s="55"/>
      <c r="AJ209" s="55"/>
      <c r="AK209" s="55"/>
      <c r="AL209" s="55"/>
      <c r="AM209" s="55"/>
      <c r="AN209" s="55"/>
      <c r="AO209" s="55"/>
      <c r="AP209" s="55"/>
      <c r="AQ209" s="55"/>
      <c r="AR209" s="55"/>
      <c r="AS209" s="55"/>
      <c r="AT209" s="55"/>
      <c r="AU209" s="55"/>
      <c r="AV209" s="55"/>
      <c r="AW209" s="55"/>
      <c r="AX209" s="55"/>
      <c r="AY209" s="55"/>
      <c r="AZ209" s="55"/>
      <c r="BA209" s="55"/>
      <c r="BB209" s="55"/>
      <c r="BC209" s="55"/>
      <c r="BD209" s="55"/>
      <c r="BE209" s="55"/>
      <c r="BF209" s="55"/>
      <c r="BG209" s="55"/>
      <c r="BH209" s="55"/>
      <c r="BI209" s="55"/>
      <c r="BJ209" s="55"/>
      <c r="BK209" s="55"/>
      <c r="BL209" s="55"/>
      <c r="BM209" s="55"/>
      <c r="BN209" s="55"/>
      <c r="BO209" s="55"/>
      <c r="BP209" s="55"/>
      <c r="BQ209" s="55"/>
      <c r="BR209" s="55"/>
      <c r="BS209" s="55"/>
      <c r="BT209" s="55"/>
      <c r="BU209" s="55"/>
      <c r="BV209" s="55"/>
      <c r="BW209" s="55"/>
      <c r="BX209" s="55"/>
      <c r="BY209" s="55"/>
      <c r="BZ209" s="55"/>
      <c r="CA209" s="55"/>
      <c r="CB209" s="55"/>
      <c r="CC209" s="55"/>
      <c r="CD209" s="55"/>
      <c r="CE209" s="55"/>
      <c r="CF209" s="55"/>
      <c r="CG209" s="55"/>
      <c r="CH209" s="55"/>
      <c r="CI209" s="55"/>
      <c r="CJ209" s="55"/>
      <c r="CK209" s="55"/>
      <c r="CL209" s="55"/>
      <c r="CM209" s="55"/>
      <c r="CN209" s="55"/>
      <c r="CO209" s="55"/>
      <c r="CP209" s="55"/>
      <c r="CQ209" s="55"/>
      <c r="CR209" s="55"/>
      <c r="CS209" s="55"/>
      <c r="CT209" s="55"/>
      <c r="CU209" s="55"/>
      <c r="CV209" s="55"/>
      <c r="CW209" s="55"/>
      <c r="CX209" s="55"/>
      <c r="CY209" s="55"/>
      <c r="CZ209" s="55"/>
      <c r="DA209" s="55"/>
      <c r="DB209" s="55"/>
      <c r="DC209" s="55"/>
      <c r="DD209" s="55"/>
      <c r="DE209" s="55"/>
      <c r="DF209" s="55"/>
      <c r="DG209" s="55"/>
      <c r="DH209" s="55"/>
      <c r="DI209" s="55"/>
    </row>
    <row r="210" spans="1:113" x14ac:dyDescent="0.25">
      <c r="A210" s="152">
        <v>23</v>
      </c>
      <c r="B210" s="60" t="s">
        <v>374</v>
      </c>
      <c r="C210" s="80">
        <v>5000</v>
      </c>
      <c r="D210" s="142">
        <v>1277.32</v>
      </c>
      <c r="E210" s="43">
        <v>83</v>
      </c>
      <c r="F210" s="60"/>
      <c r="G210" s="139">
        <f t="shared" si="39"/>
        <v>83</v>
      </c>
      <c r="H210" s="55"/>
      <c r="I210" s="56">
        <f t="shared" si="40"/>
        <v>83</v>
      </c>
      <c r="J210" s="56">
        <f t="shared" si="41"/>
        <v>415000</v>
      </c>
      <c r="K210" s="57">
        <f t="shared" si="42"/>
        <v>106017.56</v>
      </c>
      <c r="L210"/>
      <c r="M210" s="314">
        <f t="shared" si="44"/>
        <v>0</v>
      </c>
      <c r="N210" s="310"/>
      <c r="O210" s="315"/>
      <c r="P210" s="315"/>
      <c r="Q210" s="315"/>
      <c r="R210" s="315"/>
      <c r="S210" s="55"/>
      <c r="T210" s="55"/>
      <c r="U210" s="55"/>
      <c r="V210" s="55"/>
      <c r="W210" s="55"/>
      <c r="X210" s="55"/>
      <c r="Y210" s="55"/>
      <c r="Z210" s="55"/>
      <c r="AA210" s="55"/>
      <c r="AB210" s="55"/>
      <c r="AC210" s="55"/>
      <c r="AD210" s="55"/>
      <c r="AE210" s="55"/>
      <c r="AF210" s="55"/>
      <c r="AG210" s="55"/>
      <c r="AH210" s="55"/>
      <c r="AI210" s="55"/>
      <c r="AJ210" s="55"/>
      <c r="AK210" s="55"/>
      <c r="AL210" s="55"/>
      <c r="AM210" s="55"/>
      <c r="AN210" s="55"/>
      <c r="AO210" s="55"/>
      <c r="AP210" s="55"/>
      <c r="AQ210" s="55"/>
      <c r="AR210" s="55"/>
      <c r="AS210" s="55"/>
      <c r="AT210" s="55"/>
      <c r="AU210" s="55"/>
      <c r="AV210" s="55"/>
      <c r="AW210" s="55"/>
      <c r="AX210" s="55"/>
      <c r="AY210" s="55"/>
      <c r="AZ210" s="55"/>
      <c r="BA210" s="55"/>
      <c r="BB210" s="55"/>
      <c r="BC210" s="55"/>
      <c r="BD210" s="55"/>
      <c r="BE210" s="55"/>
      <c r="BF210" s="55"/>
      <c r="BG210" s="55"/>
      <c r="BH210" s="55"/>
      <c r="BI210" s="55"/>
      <c r="BJ210" s="55"/>
      <c r="BK210" s="55"/>
      <c r="BL210" s="55"/>
      <c r="BM210" s="55"/>
      <c r="BN210" s="55"/>
      <c r="BO210" s="55"/>
      <c r="BP210" s="55"/>
      <c r="BQ210" s="55"/>
      <c r="BR210" s="55"/>
      <c r="BS210" s="55"/>
      <c r="BT210" s="55"/>
      <c r="BU210" s="55"/>
      <c r="BV210" s="55"/>
      <c r="BW210" s="55"/>
      <c r="BX210" s="55"/>
      <c r="BY210" s="55"/>
      <c r="BZ210" s="55"/>
      <c r="CA210" s="55"/>
      <c r="CB210" s="55"/>
      <c r="CC210" s="55"/>
      <c r="CD210" s="55"/>
      <c r="CE210" s="55"/>
      <c r="CF210" s="55"/>
      <c r="CG210" s="55"/>
      <c r="CH210" s="55"/>
      <c r="CI210" s="55"/>
      <c r="CJ210" s="55"/>
      <c r="CK210" s="55"/>
      <c r="CL210" s="55"/>
      <c r="CM210" s="55"/>
      <c r="CN210" s="55"/>
      <c r="CO210" s="55"/>
      <c r="CP210" s="55"/>
      <c r="CQ210" s="55"/>
      <c r="CR210" s="55"/>
      <c r="CS210" s="55"/>
      <c r="CT210" s="55"/>
      <c r="CU210" s="55"/>
      <c r="CV210" s="55"/>
      <c r="CW210" s="55"/>
      <c r="CX210" s="55"/>
      <c r="CY210" s="55"/>
      <c r="CZ210" s="55"/>
      <c r="DA210" s="55"/>
      <c r="DB210" s="55"/>
      <c r="DC210" s="55"/>
      <c r="DD210" s="55"/>
      <c r="DE210" s="55"/>
      <c r="DF210" s="55"/>
      <c r="DG210" s="55"/>
      <c r="DH210" s="55"/>
      <c r="DI210" s="55"/>
    </row>
    <row r="211" spans="1:113" x14ac:dyDescent="0.25">
      <c r="A211" s="152">
        <v>24</v>
      </c>
      <c r="B211" s="60" t="s">
        <v>375</v>
      </c>
      <c r="C211" s="80">
        <v>19000</v>
      </c>
      <c r="D211" s="142">
        <v>2938.8</v>
      </c>
      <c r="E211" s="43">
        <v>466</v>
      </c>
      <c r="F211" s="60"/>
      <c r="G211" s="139">
        <f t="shared" si="39"/>
        <v>466</v>
      </c>
      <c r="H211" s="55"/>
      <c r="I211" s="56">
        <f t="shared" si="40"/>
        <v>466</v>
      </c>
      <c r="J211" s="56">
        <f t="shared" si="41"/>
        <v>8854000</v>
      </c>
      <c r="K211" s="57">
        <f t="shared" si="42"/>
        <v>1369480.8</v>
      </c>
      <c r="L211"/>
      <c r="M211" s="314">
        <f t="shared" si="44"/>
        <v>0</v>
      </c>
      <c r="N211" s="310"/>
      <c r="O211" s="315"/>
      <c r="P211" s="315"/>
      <c r="Q211" s="315"/>
      <c r="R211" s="315"/>
      <c r="S211" s="55"/>
      <c r="T211" s="55"/>
      <c r="U211" s="55"/>
      <c r="V211" s="55"/>
      <c r="W211" s="55"/>
      <c r="X211" s="55"/>
      <c r="Y211" s="55"/>
      <c r="Z211" s="55"/>
      <c r="AA211" s="55"/>
      <c r="AB211" s="55"/>
      <c r="AC211" s="55"/>
      <c r="AD211" s="55"/>
      <c r="AE211" s="55"/>
      <c r="AF211" s="55"/>
      <c r="AG211" s="55"/>
      <c r="AH211" s="55"/>
      <c r="AI211" s="55"/>
      <c r="AJ211" s="55"/>
      <c r="AK211" s="55"/>
      <c r="AL211" s="55"/>
      <c r="AM211" s="55"/>
      <c r="AN211" s="55"/>
      <c r="AO211" s="55"/>
      <c r="AP211" s="55"/>
      <c r="AQ211" s="55"/>
      <c r="AR211" s="55"/>
      <c r="AS211" s="55"/>
      <c r="AT211" s="55"/>
      <c r="AU211" s="55"/>
      <c r="AV211" s="55"/>
      <c r="AW211" s="55"/>
      <c r="AX211" s="55"/>
      <c r="AY211" s="55"/>
      <c r="AZ211" s="55"/>
      <c r="BA211" s="55"/>
      <c r="BB211" s="55"/>
      <c r="BC211" s="55"/>
      <c r="BD211" s="55"/>
      <c r="BE211" s="55"/>
      <c r="BF211" s="55"/>
      <c r="BG211" s="55"/>
      <c r="BH211" s="55"/>
      <c r="BI211" s="55"/>
      <c r="BJ211" s="55"/>
      <c r="BK211" s="55"/>
      <c r="BL211" s="55"/>
      <c r="BM211" s="55"/>
      <c r="BN211" s="55"/>
      <c r="BO211" s="55"/>
      <c r="BP211" s="55"/>
      <c r="BQ211" s="55"/>
      <c r="BR211" s="55"/>
      <c r="BS211" s="55"/>
      <c r="BT211" s="55"/>
      <c r="BU211" s="55"/>
      <c r="BV211" s="55"/>
      <c r="BW211" s="55"/>
      <c r="BX211" s="55"/>
      <c r="BY211" s="55"/>
      <c r="BZ211" s="55"/>
      <c r="CA211" s="55"/>
      <c r="CB211" s="55"/>
      <c r="CC211" s="55"/>
      <c r="CD211" s="55"/>
      <c r="CE211" s="55"/>
      <c r="CF211" s="55"/>
      <c r="CG211" s="55"/>
      <c r="CH211" s="55"/>
      <c r="CI211" s="55"/>
      <c r="CJ211" s="55"/>
      <c r="CK211" s="55"/>
      <c r="CL211" s="55"/>
      <c r="CM211" s="55"/>
      <c r="CN211" s="55"/>
      <c r="CO211" s="55"/>
      <c r="CP211" s="55"/>
      <c r="CQ211" s="55"/>
      <c r="CR211" s="55"/>
      <c r="CS211" s="55"/>
      <c r="CT211" s="55"/>
      <c r="CU211" s="55"/>
      <c r="CV211" s="55"/>
      <c r="CW211" s="55"/>
      <c r="CX211" s="55"/>
      <c r="CY211" s="55"/>
      <c r="CZ211" s="55"/>
      <c r="DA211" s="55"/>
      <c r="DB211" s="55"/>
      <c r="DC211" s="55"/>
      <c r="DD211" s="55"/>
      <c r="DE211" s="55"/>
      <c r="DF211" s="55"/>
      <c r="DG211" s="55"/>
      <c r="DH211" s="55"/>
      <c r="DI211" s="55"/>
    </row>
    <row r="212" spans="1:113" x14ac:dyDescent="0.25">
      <c r="A212" s="152">
        <v>25</v>
      </c>
      <c r="B212" s="60" t="s">
        <v>376</v>
      </c>
      <c r="C212" s="80">
        <v>8000</v>
      </c>
      <c r="D212" s="142">
        <v>1682.02</v>
      </c>
      <c r="E212" s="43">
        <v>191</v>
      </c>
      <c r="F212" s="60"/>
      <c r="G212" s="139">
        <f t="shared" si="39"/>
        <v>191</v>
      </c>
      <c r="H212" s="55"/>
      <c r="I212" s="56">
        <f t="shared" si="40"/>
        <v>191</v>
      </c>
      <c r="J212" s="56">
        <f t="shared" si="41"/>
        <v>1528000</v>
      </c>
      <c r="K212" s="57">
        <f t="shared" si="42"/>
        <v>321265.82</v>
      </c>
      <c r="L212"/>
      <c r="M212" s="314">
        <f t="shared" si="44"/>
        <v>0</v>
      </c>
      <c r="N212" s="310"/>
      <c r="O212" s="315"/>
      <c r="P212" s="315"/>
      <c r="Q212" s="315"/>
      <c r="R212" s="315"/>
      <c r="S212" s="55"/>
      <c r="T212" s="55"/>
      <c r="U212" s="55"/>
      <c r="V212" s="55"/>
      <c r="W212" s="55"/>
      <c r="X212" s="55"/>
      <c r="Y212" s="55"/>
      <c r="Z212" s="55"/>
      <c r="AA212" s="55"/>
      <c r="AB212" s="55"/>
      <c r="AC212" s="55"/>
      <c r="AD212" s="55"/>
      <c r="AE212" s="55"/>
      <c r="AF212" s="55"/>
      <c r="AG212" s="55"/>
      <c r="AH212" s="55"/>
      <c r="AI212" s="55"/>
      <c r="AJ212" s="55"/>
      <c r="AK212" s="55"/>
      <c r="AL212" s="55"/>
      <c r="AM212" s="55"/>
      <c r="AN212" s="55"/>
      <c r="AO212" s="55"/>
      <c r="AP212" s="55"/>
      <c r="AQ212" s="55"/>
      <c r="AR212" s="55"/>
      <c r="AS212" s="55"/>
      <c r="AT212" s="55"/>
      <c r="AU212" s="55"/>
      <c r="AV212" s="55"/>
      <c r="AW212" s="55"/>
      <c r="AX212" s="55"/>
      <c r="AY212" s="55"/>
      <c r="AZ212" s="55"/>
      <c r="BA212" s="55"/>
      <c r="BB212" s="55"/>
      <c r="BC212" s="55"/>
      <c r="BD212" s="55"/>
      <c r="BE212" s="55"/>
      <c r="BF212" s="55"/>
      <c r="BG212" s="55"/>
      <c r="BH212" s="55"/>
      <c r="BI212" s="55"/>
      <c r="BJ212" s="55"/>
      <c r="BK212" s="55"/>
      <c r="BL212" s="55"/>
      <c r="BM212" s="55"/>
      <c r="BN212" s="55"/>
      <c r="BO212" s="55"/>
      <c r="BP212" s="55"/>
      <c r="BQ212" s="55"/>
      <c r="BR212" s="55"/>
      <c r="BS212" s="55"/>
      <c r="BT212" s="55"/>
      <c r="BU212" s="55"/>
      <c r="BV212" s="55"/>
      <c r="BW212" s="55"/>
      <c r="BX212" s="55"/>
      <c r="BY212" s="55"/>
      <c r="BZ212" s="55"/>
      <c r="CA212" s="55"/>
      <c r="CB212" s="55"/>
      <c r="CC212" s="55"/>
      <c r="CD212" s="55"/>
      <c r="CE212" s="55"/>
      <c r="CF212" s="55"/>
      <c r="CG212" s="55"/>
      <c r="CH212" s="55"/>
      <c r="CI212" s="55"/>
      <c r="CJ212" s="55"/>
      <c r="CK212" s="55"/>
      <c r="CL212" s="55"/>
      <c r="CM212" s="55"/>
      <c r="CN212" s="55"/>
      <c r="CO212" s="55"/>
      <c r="CP212" s="55"/>
      <c r="CQ212" s="55"/>
      <c r="CR212" s="55"/>
      <c r="CS212" s="55"/>
      <c r="CT212" s="55"/>
      <c r="CU212" s="55"/>
      <c r="CV212" s="55"/>
      <c r="CW212" s="55"/>
      <c r="CX212" s="55"/>
      <c r="CY212" s="55"/>
      <c r="CZ212" s="55"/>
      <c r="DA212" s="55"/>
      <c r="DB212" s="55"/>
      <c r="DC212" s="55"/>
      <c r="DD212" s="55"/>
      <c r="DE212" s="55"/>
      <c r="DF212" s="55"/>
      <c r="DG212" s="55"/>
      <c r="DH212" s="55"/>
      <c r="DI212" s="55"/>
    </row>
    <row r="213" spans="1:113" x14ac:dyDescent="0.25">
      <c r="A213" s="152">
        <v>26</v>
      </c>
      <c r="B213" s="60" t="s">
        <v>377</v>
      </c>
      <c r="C213" s="80">
        <v>5000</v>
      </c>
      <c r="D213" s="142">
        <v>1363.04</v>
      </c>
      <c r="E213" s="43">
        <v>123</v>
      </c>
      <c r="F213" s="60"/>
      <c r="G213" s="139">
        <f t="shared" si="39"/>
        <v>123</v>
      </c>
      <c r="H213" s="55"/>
      <c r="I213" s="56">
        <f t="shared" si="40"/>
        <v>123</v>
      </c>
      <c r="J213" s="56">
        <f t="shared" si="41"/>
        <v>615000</v>
      </c>
      <c r="K213" s="57">
        <f t="shared" si="42"/>
        <v>167653.91999999998</v>
      </c>
      <c r="L213"/>
      <c r="M213" s="314">
        <f t="shared" si="44"/>
        <v>0</v>
      </c>
      <c r="N213" s="310"/>
      <c r="O213" s="315"/>
      <c r="P213" s="315"/>
      <c r="Q213" s="315"/>
      <c r="R213" s="315"/>
      <c r="S213" s="55"/>
      <c r="T213" s="55"/>
      <c r="U213" s="55"/>
      <c r="V213" s="55"/>
      <c r="W213" s="55"/>
      <c r="X213" s="55"/>
      <c r="Y213" s="55"/>
      <c r="Z213" s="55"/>
      <c r="AA213" s="55"/>
      <c r="AB213" s="55"/>
      <c r="AC213" s="55"/>
      <c r="AD213" s="55"/>
      <c r="AE213" s="55"/>
      <c r="AF213" s="55"/>
      <c r="AG213" s="55"/>
      <c r="AH213" s="55"/>
      <c r="AI213" s="55"/>
      <c r="AJ213" s="55"/>
      <c r="AK213" s="55"/>
      <c r="AL213" s="55"/>
      <c r="AM213" s="55"/>
      <c r="AN213" s="55"/>
      <c r="AO213" s="55"/>
      <c r="AP213" s="55"/>
      <c r="AQ213" s="55"/>
      <c r="AR213" s="55"/>
      <c r="AS213" s="55"/>
      <c r="AT213" s="55"/>
      <c r="AU213" s="55"/>
      <c r="AV213" s="55"/>
      <c r="AW213" s="55"/>
      <c r="AX213" s="55"/>
      <c r="AY213" s="55"/>
      <c r="AZ213" s="55"/>
      <c r="BA213" s="55"/>
      <c r="BB213" s="55"/>
      <c r="BC213" s="55"/>
      <c r="BD213" s="55"/>
      <c r="BE213" s="55"/>
      <c r="BF213" s="55"/>
      <c r="BG213" s="55"/>
      <c r="BH213" s="55"/>
      <c r="BI213" s="55"/>
      <c r="BJ213" s="55"/>
      <c r="BK213" s="55"/>
      <c r="BL213" s="55"/>
      <c r="BM213" s="55"/>
      <c r="BN213" s="55"/>
      <c r="BO213" s="55"/>
      <c r="BP213" s="55"/>
      <c r="BQ213" s="55"/>
      <c r="BR213" s="55"/>
      <c r="BS213" s="55"/>
      <c r="BT213" s="55"/>
      <c r="BU213" s="55"/>
      <c r="BV213" s="55"/>
      <c r="BW213" s="55"/>
      <c r="BX213" s="55"/>
      <c r="BY213" s="55"/>
      <c r="BZ213" s="55"/>
      <c r="CA213" s="55"/>
      <c r="CB213" s="55"/>
      <c r="CC213" s="55"/>
      <c r="CD213" s="55"/>
      <c r="CE213" s="55"/>
      <c r="CF213" s="55"/>
      <c r="CG213" s="55"/>
      <c r="CH213" s="55"/>
      <c r="CI213" s="55"/>
      <c r="CJ213" s="55"/>
      <c r="CK213" s="55"/>
      <c r="CL213" s="55"/>
      <c r="CM213" s="55"/>
      <c r="CN213" s="55"/>
      <c r="CO213" s="55"/>
      <c r="CP213" s="55"/>
      <c r="CQ213" s="55"/>
      <c r="CR213" s="55"/>
      <c r="CS213" s="55"/>
      <c r="CT213" s="55"/>
      <c r="CU213" s="55"/>
      <c r="CV213" s="55"/>
      <c r="CW213" s="55"/>
      <c r="CX213" s="55"/>
      <c r="CY213" s="55"/>
      <c r="CZ213" s="55"/>
      <c r="DA213" s="55"/>
      <c r="DB213" s="55"/>
      <c r="DC213" s="55"/>
      <c r="DD213" s="55"/>
      <c r="DE213" s="55"/>
      <c r="DF213" s="55"/>
      <c r="DG213" s="55"/>
      <c r="DH213" s="55"/>
      <c r="DI213" s="55"/>
    </row>
    <row r="214" spans="1:113" x14ac:dyDescent="0.25">
      <c r="A214" s="152">
        <v>27</v>
      </c>
      <c r="B214" s="60" t="s">
        <v>378</v>
      </c>
      <c r="C214" s="80">
        <v>5000</v>
      </c>
      <c r="D214" s="142">
        <v>1277.32</v>
      </c>
      <c r="E214" s="43">
        <v>70</v>
      </c>
      <c r="F214" s="60"/>
      <c r="G214" s="139">
        <f t="shared" si="39"/>
        <v>70</v>
      </c>
      <c r="H214" s="55"/>
      <c r="I214" s="56">
        <f t="shared" si="40"/>
        <v>70</v>
      </c>
      <c r="J214" s="56">
        <f t="shared" si="41"/>
        <v>350000</v>
      </c>
      <c r="K214" s="57">
        <f t="shared" si="42"/>
        <v>89412.4</v>
      </c>
      <c r="L214"/>
      <c r="M214" s="314">
        <f t="shared" si="44"/>
        <v>0</v>
      </c>
      <c r="N214" s="310"/>
      <c r="O214" s="315"/>
      <c r="P214" s="315"/>
      <c r="Q214" s="315"/>
      <c r="R214" s="315"/>
      <c r="S214" s="55"/>
      <c r="T214" s="55"/>
      <c r="U214" s="55"/>
      <c r="V214" s="55"/>
      <c r="W214" s="55"/>
      <c r="X214" s="55"/>
      <c r="Y214" s="55"/>
      <c r="Z214" s="55"/>
      <c r="AA214" s="55"/>
      <c r="AB214" s="55"/>
      <c r="AC214" s="55"/>
      <c r="AD214" s="55"/>
      <c r="AE214" s="55"/>
      <c r="AF214" s="55"/>
      <c r="AG214" s="55"/>
      <c r="AH214" s="55"/>
      <c r="AI214" s="55"/>
      <c r="AJ214" s="55"/>
      <c r="AK214" s="55"/>
      <c r="AL214" s="55"/>
      <c r="AM214" s="55"/>
      <c r="AN214" s="55"/>
      <c r="AO214" s="55"/>
      <c r="AP214" s="55"/>
      <c r="AQ214" s="55"/>
      <c r="AR214" s="55"/>
      <c r="AS214" s="55"/>
      <c r="AT214" s="55"/>
      <c r="AU214" s="55"/>
      <c r="AV214" s="55"/>
      <c r="AW214" s="55"/>
      <c r="AX214" s="55"/>
      <c r="AY214" s="55"/>
      <c r="AZ214" s="55"/>
      <c r="BA214" s="55"/>
      <c r="BB214" s="55"/>
      <c r="BC214" s="55"/>
      <c r="BD214" s="55"/>
      <c r="BE214" s="55"/>
      <c r="BF214" s="55"/>
      <c r="BG214" s="55"/>
      <c r="BH214" s="55"/>
      <c r="BI214" s="55"/>
      <c r="BJ214" s="55"/>
      <c r="BK214" s="55"/>
      <c r="BL214" s="55"/>
      <c r="BM214" s="55"/>
      <c r="BN214" s="55"/>
      <c r="BO214" s="55"/>
      <c r="BP214" s="55"/>
      <c r="BQ214" s="55"/>
      <c r="BR214" s="55"/>
      <c r="BS214" s="55"/>
      <c r="BT214" s="55"/>
      <c r="BU214" s="55"/>
      <c r="BV214" s="55"/>
      <c r="BW214" s="55"/>
      <c r="BX214" s="55"/>
      <c r="BY214" s="55"/>
      <c r="BZ214" s="55"/>
      <c r="CA214" s="55"/>
      <c r="CB214" s="55"/>
      <c r="CC214" s="55"/>
      <c r="CD214" s="55"/>
      <c r="CE214" s="55"/>
      <c r="CF214" s="55"/>
      <c r="CG214" s="55"/>
      <c r="CH214" s="55"/>
      <c r="CI214" s="55"/>
      <c r="CJ214" s="55"/>
      <c r="CK214" s="55"/>
      <c r="CL214" s="55"/>
      <c r="CM214" s="55"/>
      <c r="CN214" s="55"/>
      <c r="CO214" s="55"/>
      <c r="CP214" s="55"/>
      <c r="CQ214" s="55"/>
      <c r="CR214" s="55"/>
      <c r="CS214" s="55"/>
      <c r="CT214" s="55"/>
      <c r="CU214" s="55"/>
      <c r="CV214" s="55"/>
      <c r="CW214" s="55"/>
      <c r="CX214" s="55"/>
      <c r="CY214" s="55"/>
      <c r="CZ214" s="55"/>
      <c r="DA214" s="55"/>
      <c r="DB214" s="55"/>
      <c r="DC214" s="55"/>
      <c r="DD214" s="55"/>
      <c r="DE214" s="55"/>
      <c r="DF214" s="55"/>
      <c r="DG214" s="55"/>
      <c r="DH214" s="55"/>
      <c r="DI214" s="55"/>
    </row>
    <row r="215" spans="1:113" x14ac:dyDescent="0.25">
      <c r="A215" s="152">
        <v>28</v>
      </c>
      <c r="B215" s="222" t="s">
        <v>379</v>
      </c>
      <c r="C215" s="80">
        <v>27500</v>
      </c>
      <c r="D215" s="142">
        <v>7683.28</v>
      </c>
      <c r="E215" s="43">
        <v>96</v>
      </c>
      <c r="F215" s="60"/>
      <c r="G215" s="139">
        <f t="shared" si="39"/>
        <v>96</v>
      </c>
      <c r="H215" s="55"/>
      <c r="I215" s="56">
        <f t="shared" si="40"/>
        <v>96</v>
      </c>
      <c r="J215" s="56">
        <f t="shared" si="41"/>
        <v>2640000</v>
      </c>
      <c r="K215" s="57">
        <f t="shared" si="42"/>
        <v>737594.88</v>
      </c>
      <c r="L215"/>
      <c r="M215" s="314">
        <f t="shared" si="44"/>
        <v>0</v>
      </c>
      <c r="N215" s="310"/>
      <c r="O215" s="315"/>
      <c r="P215" s="315"/>
      <c r="Q215" s="315"/>
      <c r="R215" s="315"/>
      <c r="S215" s="55"/>
      <c r="T215" s="55"/>
      <c r="U215" s="55"/>
      <c r="V215" s="55"/>
      <c r="W215" s="55"/>
      <c r="X215" s="55"/>
      <c r="Y215" s="55"/>
      <c r="Z215" s="55"/>
      <c r="AA215" s="55"/>
      <c r="AB215" s="55"/>
      <c r="AC215" s="55"/>
      <c r="AD215" s="55"/>
      <c r="AE215" s="55"/>
      <c r="AF215" s="55"/>
      <c r="AG215" s="55"/>
      <c r="AH215" s="55"/>
      <c r="AI215" s="55"/>
      <c r="AJ215" s="55"/>
      <c r="AK215" s="55"/>
      <c r="AL215" s="55"/>
      <c r="AM215" s="55"/>
      <c r="AN215" s="55"/>
      <c r="AO215" s="55"/>
      <c r="AP215" s="55"/>
      <c r="AQ215" s="55"/>
      <c r="AR215" s="55"/>
      <c r="AS215" s="55"/>
      <c r="AT215" s="55"/>
      <c r="AU215" s="55"/>
      <c r="AV215" s="55"/>
      <c r="AW215" s="55"/>
      <c r="AX215" s="55"/>
      <c r="AY215" s="55"/>
      <c r="AZ215" s="55"/>
      <c r="BA215" s="55"/>
      <c r="BB215" s="55"/>
      <c r="BC215" s="55"/>
      <c r="BD215" s="55"/>
      <c r="BE215" s="55"/>
      <c r="BF215" s="55"/>
      <c r="BG215" s="55"/>
      <c r="BH215" s="55"/>
      <c r="BI215" s="55"/>
      <c r="BJ215" s="55"/>
      <c r="BK215" s="55"/>
      <c r="BL215" s="55"/>
      <c r="BM215" s="55"/>
      <c r="BN215" s="55"/>
      <c r="BO215" s="55"/>
      <c r="BP215" s="55"/>
      <c r="BQ215" s="55"/>
      <c r="BR215" s="55"/>
      <c r="BS215" s="55"/>
      <c r="BT215" s="55"/>
      <c r="BU215" s="55"/>
      <c r="BV215" s="55"/>
      <c r="BW215" s="55"/>
      <c r="BX215" s="55"/>
      <c r="BY215" s="55"/>
      <c r="BZ215" s="55"/>
      <c r="CA215" s="55"/>
      <c r="CB215" s="55"/>
      <c r="CC215" s="55"/>
      <c r="CD215" s="55"/>
      <c r="CE215" s="55"/>
      <c r="CF215" s="55"/>
      <c r="CG215" s="55"/>
      <c r="CH215" s="55"/>
      <c r="CI215" s="55"/>
      <c r="CJ215" s="55"/>
      <c r="CK215" s="55"/>
      <c r="CL215" s="55"/>
      <c r="CM215" s="55"/>
      <c r="CN215" s="55"/>
      <c r="CO215" s="55"/>
      <c r="CP215" s="55"/>
      <c r="CQ215" s="55"/>
      <c r="CR215" s="55"/>
      <c r="CS215" s="55"/>
      <c r="CT215" s="55"/>
      <c r="CU215" s="55"/>
      <c r="CV215" s="55"/>
      <c r="CW215" s="55"/>
      <c r="CX215" s="55"/>
      <c r="CY215" s="55"/>
      <c r="CZ215" s="55"/>
      <c r="DA215" s="55"/>
      <c r="DB215" s="55"/>
      <c r="DC215" s="55"/>
      <c r="DD215" s="55"/>
      <c r="DE215" s="55"/>
      <c r="DF215" s="55"/>
      <c r="DG215" s="55"/>
      <c r="DH215" s="55"/>
      <c r="DI215" s="55"/>
    </row>
    <row r="216" spans="1:113" x14ac:dyDescent="0.25">
      <c r="A216" s="152">
        <v>29</v>
      </c>
      <c r="B216" s="221" t="s">
        <v>380</v>
      </c>
      <c r="C216" s="80">
        <v>49500</v>
      </c>
      <c r="D216" s="142">
        <v>14681.75</v>
      </c>
      <c r="E216" s="43">
        <v>279</v>
      </c>
      <c r="F216" s="60"/>
      <c r="G216" s="139">
        <f t="shared" si="39"/>
        <v>279</v>
      </c>
      <c r="H216" s="55"/>
      <c r="I216" s="56">
        <f t="shared" si="40"/>
        <v>279</v>
      </c>
      <c r="J216" s="56">
        <f t="shared" si="41"/>
        <v>13810500</v>
      </c>
      <c r="K216" s="57">
        <f t="shared" si="42"/>
        <v>4096208.25</v>
      </c>
      <c r="L216"/>
      <c r="M216" s="314">
        <f t="shared" si="44"/>
        <v>0</v>
      </c>
      <c r="N216" s="310"/>
      <c r="O216" s="315"/>
      <c r="P216" s="315"/>
      <c r="Q216" s="315"/>
      <c r="R216" s="315"/>
      <c r="S216" s="55"/>
      <c r="T216" s="55"/>
      <c r="U216" s="55"/>
      <c r="V216" s="55"/>
      <c r="W216" s="55"/>
      <c r="X216" s="55"/>
      <c r="Y216" s="55"/>
      <c r="Z216" s="55"/>
      <c r="AA216" s="55"/>
      <c r="AB216" s="55"/>
      <c r="AC216" s="55"/>
      <c r="AD216" s="55"/>
      <c r="AE216" s="55"/>
      <c r="AF216" s="55"/>
      <c r="AG216" s="55"/>
      <c r="AH216" s="55"/>
      <c r="AI216" s="55"/>
      <c r="AJ216" s="55"/>
      <c r="AK216" s="55"/>
      <c r="AL216" s="55"/>
      <c r="AM216" s="55"/>
      <c r="AN216" s="55"/>
      <c r="AO216" s="55"/>
      <c r="AP216" s="55"/>
      <c r="AQ216" s="55"/>
      <c r="AR216" s="55"/>
      <c r="AS216" s="55"/>
      <c r="AT216" s="55"/>
      <c r="AU216" s="55"/>
      <c r="AV216" s="55"/>
      <c r="AW216" s="55"/>
      <c r="AX216" s="55"/>
      <c r="AY216" s="55"/>
      <c r="AZ216" s="55"/>
      <c r="BA216" s="55"/>
      <c r="BB216" s="55"/>
      <c r="BC216" s="55"/>
      <c r="BD216" s="55"/>
      <c r="BE216" s="55"/>
      <c r="BF216" s="55"/>
      <c r="BG216" s="55"/>
      <c r="BH216" s="55"/>
      <c r="BI216" s="55"/>
      <c r="BJ216" s="55"/>
      <c r="BK216" s="55"/>
      <c r="BL216" s="55"/>
      <c r="BM216" s="55"/>
      <c r="BN216" s="55"/>
      <c r="BO216" s="55"/>
      <c r="BP216" s="55"/>
      <c r="BQ216" s="55"/>
      <c r="BR216" s="55"/>
      <c r="BS216" s="55"/>
      <c r="BT216" s="55"/>
      <c r="BU216" s="55"/>
      <c r="BV216" s="55"/>
      <c r="BW216" s="55"/>
      <c r="BX216" s="55"/>
      <c r="BY216" s="55"/>
      <c r="BZ216" s="55"/>
      <c r="CA216" s="55"/>
      <c r="CB216" s="55"/>
      <c r="CC216" s="55"/>
      <c r="CD216" s="55"/>
      <c r="CE216" s="55"/>
      <c r="CF216" s="55"/>
      <c r="CG216" s="55"/>
      <c r="CH216" s="55"/>
      <c r="CI216" s="55"/>
      <c r="CJ216" s="55"/>
      <c r="CK216" s="55"/>
      <c r="CL216" s="55"/>
      <c r="CM216" s="55"/>
      <c r="CN216" s="55"/>
      <c r="CO216" s="55"/>
      <c r="CP216" s="55"/>
      <c r="CQ216" s="55"/>
      <c r="CR216" s="55"/>
      <c r="CS216" s="55"/>
      <c r="CT216" s="55"/>
      <c r="CU216" s="55"/>
      <c r="CV216" s="55"/>
      <c r="CW216" s="55"/>
      <c r="CX216" s="55"/>
      <c r="CY216" s="55"/>
      <c r="CZ216" s="55"/>
      <c r="DA216" s="55"/>
      <c r="DB216" s="55"/>
      <c r="DC216" s="55"/>
      <c r="DD216" s="55"/>
      <c r="DE216" s="55"/>
      <c r="DF216" s="55"/>
      <c r="DG216" s="55"/>
      <c r="DH216" s="55"/>
      <c r="DI216" s="55"/>
    </row>
    <row r="217" spans="1:113" x14ac:dyDescent="0.25">
      <c r="A217" s="152">
        <v>30</v>
      </c>
      <c r="B217" s="60" t="s">
        <v>381</v>
      </c>
      <c r="C217" s="80">
        <v>5000</v>
      </c>
      <c r="D217" s="142">
        <v>1395.17</v>
      </c>
      <c r="E217" s="43">
        <v>88</v>
      </c>
      <c r="F217" s="60"/>
      <c r="G217" s="139">
        <f t="shared" si="39"/>
        <v>88</v>
      </c>
      <c r="H217" s="55"/>
      <c r="I217" s="56">
        <f t="shared" si="40"/>
        <v>88</v>
      </c>
      <c r="J217" s="56">
        <f t="shared" si="41"/>
        <v>440000</v>
      </c>
      <c r="K217" s="57">
        <f t="shared" si="42"/>
        <v>122774.96</v>
      </c>
      <c r="L217"/>
      <c r="M217" s="314">
        <f t="shared" si="44"/>
        <v>0</v>
      </c>
      <c r="N217" s="310"/>
      <c r="O217" s="315"/>
      <c r="P217" s="315"/>
      <c r="Q217" s="315"/>
      <c r="R217" s="315"/>
      <c r="S217" s="55"/>
      <c r="T217" s="55"/>
      <c r="U217" s="55"/>
      <c r="V217" s="55"/>
      <c r="W217" s="55"/>
      <c r="X217" s="55"/>
      <c r="Y217" s="55"/>
      <c r="Z217" s="55"/>
      <c r="AA217" s="55"/>
      <c r="AB217" s="55"/>
      <c r="AC217" s="55"/>
      <c r="AD217" s="55"/>
      <c r="AE217" s="55"/>
      <c r="AF217" s="55"/>
      <c r="AG217" s="55"/>
      <c r="AH217" s="55"/>
      <c r="AI217" s="55"/>
      <c r="AJ217" s="55"/>
      <c r="AK217" s="55"/>
      <c r="AL217" s="55"/>
      <c r="AM217" s="55"/>
      <c r="AN217" s="55"/>
      <c r="AO217" s="55"/>
      <c r="AP217" s="55"/>
      <c r="AQ217" s="55"/>
      <c r="AR217" s="55"/>
      <c r="AS217" s="55"/>
      <c r="AT217" s="55"/>
      <c r="AU217" s="55"/>
      <c r="AV217" s="55"/>
      <c r="AW217" s="55"/>
      <c r="AX217" s="55"/>
      <c r="AY217" s="55"/>
      <c r="AZ217" s="55"/>
      <c r="BA217" s="55"/>
      <c r="BB217" s="55"/>
      <c r="BC217" s="55"/>
      <c r="BD217" s="55"/>
      <c r="BE217" s="55"/>
      <c r="BF217" s="55"/>
      <c r="BG217" s="55"/>
      <c r="BH217" s="55"/>
      <c r="BI217" s="55"/>
      <c r="BJ217" s="55"/>
      <c r="BK217" s="55"/>
      <c r="BL217" s="55"/>
      <c r="BM217" s="55"/>
      <c r="BN217" s="55"/>
      <c r="BO217" s="55"/>
      <c r="BP217" s="55"/>
      <c r="BQ217" s="55"/>
      <c r="BR217" s="55"/>
      <c r="BS217" s="55"/>
      <c r="BT217" s="55"/>
      <c r="BU217" s="55"/>
      <c r="BV217" s="55"/>
      <c r="BW217" s="55"/>
      <c r="BX217" s="55"/>
      <c r="BY217" s="55"/>
      <c r="BZ217" s="55"/>
      <c r="CA217" s="55"/>
      <c r="CB217" s="55"/>
      <c r="CC217" s="55"/>
      <c r="CD217" s="55"/>
      <c r="CE217" s="55"/>
      <c r="CF217" s="55"/>
      <c r="CG217" s="55"/>
      <c r="CH217" s="55"/>
      <c r="CI217" s="55"/>
      <c r="CJ217" s="55"/>
      <c r="CK217" s="55"/>
      <c r="CL217" s="55"/>
      <c r="CM217" s="55"/>
      <c r="CN217" s="55"/>
      <c r="CO217" s="55"/>
      <c r="CP217" s="55"/>
      <c r="CQ217" s="55"/>
      <c r="CR217" s="55"/>
      <c r="CS217" s="55"/>
      <c r="CT217" s="55"/>
      <c r="CU217" s="55"/>
      <c r="CV217" s="55"/>
      <c r="CW217" s="55"/>
      <c r="CX217" s="55"/>
      <c r="CY217" s="55"/>
      <c r="CZ217" s="55"/>
      <c r="DA217" s="55"/>
      <c r="DB217" s="55"/>
      <c r="DC217" s="55"/>
      <c r="DD217" s="55"/>
      <c r="DE217" s="55"/>
      <c r="DF217" s="55"/>
      <c r="DG217" s="55"/>
      <c r="DH217" s="55"/>
      <c r="DI217" s="55"/>
    </row>
    <row r="218" spans="1:113" x14ac:dyDescent="0.25">
      <c r="A218" s="152">
        <v>31</v>
      </c>
      <c r="B218" s="221" t="s">
        <v>382</v>
      </c>
      <c r="C218" s="80">
        <v>17500</v>
      </c>
      <c r="D218" s="142">
        <v>2003.92</v>
      </c>
      <c r="E218" s="43">
        <v>112</v>
      </c>
      <c r="F218" s="60"/>
      <c r="G218" s="139">
        <f t="shared" si="39"/>
        <v>112</v>
      </c>
      <c r="H218" s="55"/>
      <c r="I218" s="56">
        <f t="shared" si="40"/>
        <v>112</v>
      </c>
      <c r="J218" s="56">
        <f t="shared" si="41"/>
        <v>1960000</v>
      </c>
      <c r="K218" s="57">
        <f t="shared" si="42"/>
        <v>224439.04000000001</v>
      </c>
      <c r="L218"/>
      <c r="M218" s="314">
        <f t="shared" si="44"/>
        <v>0</v>
      </c>
      <c r="N218" s="310"/>
      <c r="O218" s="315"/>
      <c r="P218" s="315"/>
      <c r="Q218" s="315"/>
      <c r="R218" s="315"/>
      <c r="S218" s="55"/>
      <c r="T218" s="55"/>
      <c r="U218" s="55"/>
      <c r="V218" s="55"/>
      <c r="W218" s="55"/>
      <c r="X218" s="55"/>
      <c r="Y218" s="55"/>
      <c r="Z218" s="55"/>
      <c r="AA218" s="55"/>
      <c r="AB218" s="55"/>
      <c r="AC218" s="55"/>
      <c r="AD218" s="55"/>
      <c r="AE218" s="55"/>
      <c r="AF218" s="55"/>
      <c r="AG218" s="55"/>
      <c r="AH218" s="55"/>
      <c r="AI218" s="55"/>
      <c r="AJ218" s="55"/>
      <c r="AK218" s="55"/>
      <c r="AL218" s="55"/>
      <c r="AM218" s="55"/>
      <c r="AN218" s="55"/>
      <c r="AO218" s="55"/>
      <c r="AP218" s="55"/>
      <c r="AQ218" s="55"/>
      <c r="AR218" s="55"/>
      <c r="AS218" s="55"/>
      <c r="AT218" s="55"/>
      <c r="AU218" s="55"/>
      <c r="AV218" s="55"/>
      <c r="AW218" s="55"/>
      <c r="AX218" s="55"/>
      <c r="AY218" s="55"/>
      <c r="AZ218" s="55"/>
      <c r="BA218" s="55"/>
      <c r="BB218" s="55"/>
      <c r="BC218" s="55"/>
      <c r="BD218" s="55"/>
      <c r="BE218" s="55"/>
      <c r="BF218" s="55"/>
      <c r="BG218" s="55"/>
      <c r="BH218" s="55"/>
      <c r="BI218" s="55"/>
      <c r="BJ218" s="55"/>
      <c r="BK218" s="55"/>
      <c r="BL218" s="55"/>
      <c r="BM218" s="55"/>
      <c r="BN218" s="55"/>
      <c r="BO218" s="55"/>
      <c r="BP218" s="55"/>
      <c r="BQ218" s="55"/>
      <c r="BR218" s="55"/>
      <c r="BS218" s="55"/>
      <c r="BT218" s="55"/>
      <c r="BU218" s="55"/>
      <c r="BV218" s="55"/>
      <c r="BW218" s="55"/>
      <c r="BX218" s="55"/>
      <c r="BY218" s="55"/>
      <c r="BZ218" s="55"/>
      <c r="CA218" s="55"/>
      <c r="CB218" s="55"/>
      <c r="CC218" s="55"/>
      <c r="CD218" s="55"/>
      <c r="CE218" s="55"/>
      <c r="CF218" s="55"/>
      <c r="CG218" s="55"/>
      <c r="CH218" s="55"/>
      <c r="CI218" s="55"/>
      <c r="CJ218" s="55"/>
      <c r="CK218" s="55"/>
      <c r="CL218" s="55"/>
      <c r="CM218" s="55"/>
      <c r="CN218" s="55"/>
      <c r="CO218" s="55"/>
      <c r="CP218" s="55"/>
      <c r="CQ218" s="55"/>
      <c r="CR218" s="55"/>
      <c r="CS218" s="55"/>
      <c r="CT218" s="55"/>
      <c r="CU218" s="55"/>
      <c r="CV218" s="55"/>
      <c r="CW218" s="55"/>
      <c r="CX218" s="55"/>
      <c r="CY218" s="55"/>
      <c r="CZ218" s="55"/>
      <c r="DA218" s="55"/>
      <c r="DB218" s="55"/>
      <c r="DC218" s="55"/>
      <c r="DD218" s="55"/>
      <c r="DE218" s="55"/>
      <c r="DF218" s="55"/>
      <c r="DG218" s="55"/>
      <c r="DH218" s="55"/>
      <c r="DI218" s="55"/>
    </row>
    <row r="219" spans="1:113" x14ac:dyDescent="0.25">
      <c r="A219" s="152">
        <v>32</v>
      </c>
      <c r="B219" s="221" t="s">
        <v>383</v>
      </c>
      <c r="C219" s="80">
        <v>33000</v>
      </c>
      <c r="D219" s="142">
        <v>21893.919999999998</v>
      </c>
      <c r="E219" s="43">
        <v>90</v>
      </c>
      <c r="F219" s="60"/>
      <c r="G219" s="139">
        <f t="shared" si="39"/>
        <v>90</v>
      </c>
      <c r="H219" s="55"/>
      <c r="I219" s="56">
        <f t="shared" si="40"/>
        <v>90</v>
      </c>
      <c r="J219" s="56">
        <f t="shared" si="41"/>
        <v>2970000</v>
      </c>
      <c r="K219" s="57">
        <f t="shared" si="42"/>
        <v>1970452.7999999998</v>
      </c>
      <c r="L219"/>
      <c r="M219" s="314">
        <f t="shared" si="44"/>
        <v>0</v>
      </c>
      <c r="N219" s="310"/>
      <c r="O219" s="315"/>
      <c r="P219" s="315"/>
      <c r="Q219" s="315"/>
      <c r="R219" s="315"/>
      <c r="S219" s="55"/>
      <c r="T219" s="55"/>
      <c r="U219" s="55"/>
      <c r="V219" s="55"/>
      <c r="W219" s="55"/>
      <c r="X219" s="55"/>
      <c r="Y219" s="55"/>
      <c r="Z219" s="55"/>
      <c r="AA219" s="55"/>
      <c r="AB219" s="55"/>
      <c r="AC219" s="55"/>
      <c r="AD219" s="55"/>
      <c r="AE219" s="55"/>
      <c r="AF219" s="55"/>
      <c r="AG219" s="55"/>
      <c r="AH219" s="55"/>
      <c r="AI219" s="55"/>
      <c r="AJ219" s="55"/>
      <c r="AK219" s="55"/>
      <c r="AL219" s="55"/>
      <c r="AM219" s="55"/>
      <c r="AN219" s="55"/>
      <c r="AO219" s="55"/>
      <c r="AP219" s="55"/>
      <c r="AQ219" s="55"/>
      <c r="AR219" s="55"/>
      <c r="AS219" s="55"/>
      <c r="AT219" s="55"/>
      <c r="AU219" s="55"/>
      <c r="AV219" s="55"/>
      <c r="AW219" s="55"/>
      <c r="AX219" s="55"/>
      <c r="AY219" s="55"/>
      <c r="AZ219" s="55"/>
      <c r="BA219" s="55"/>
      <c r="BB219" s="55"/>
      <c r="BC219" s="55"/>
      <c r="BD219" s="55"/>
      <c r="BE219" s="55"/>
      <c r="BF219" s="55"/>
      <c r="BG219" s="55"/>
      <c r="BH219" s="55"/>
      <c r="BI219" s="55"/>
      <c r="BJ219" s="55"/>
      <c r="BK219" s="55"/>
      <c r="BL219" s="55"/>
      <c r="BM219" s="55"/>
      <c r="BN219" s="55"/>
      <c r="BO219" s="55"/>
      <c r="BP219" s="55"/>
      <c r="BQ219" s="55"/>
      <c r="BR219" s="55"/>
      <c r="BS219" s="55"/>
      <c r="BT219" s="55"/>
      <c r="BU219" s="55"/>
      <c r="BV219" s="55"/>
      <c r="BW219" s="55"/>
      <c r="BX219" s="55"/>
      <c r="BY219" s="55"/>
      <c r="BZ219" s="55"/>
      <c r="CA219" s="55"/>
      <c r="CB219" s="55"/>
      <c r="CC219" s="55"/>
      <c r="CD219" s="55"/>
      <c r="CE219" s="55"/>
      <c r="CF219" s="55"/>
      <c r="CG219" s="55"/>
      <c r="CH219" s="55"/>
      <c r="CI219" s="55"/>
      <c r="CJ219" s="55"/>
      <c r="CK219" s="55"/>
      <c r="CL219" s="55"/>
      <c r="CM219" s="55"/>
      <c r="CN219" s="55"/>
      <c r="CO219" s="55"/>
      <c r="CP219" s="55"/>
      <c r="CQ219" s="55"/>
      <c r="CR219" s="55"/>
      <c r="CS219" s="55"/>
      <c r="CT219" s="55"/>
      <c r="CU219" s="55"/>
      <c r="CV219" s="55"/>
      <c r="CW219" s="55"/>
      <c r="CX219" s="55"/>
      <c r="CY219" s="55"/>
      <c r="CZ219" s="55"/>
      <c r="DA219" s="55"/>
      <c r="DB219" s="55"/>
      <c r="DC219" s="55"/>
      <c r="DD219" s="55"/>
      <c r="DE219" s="55"/>
      <c r="DF219" s="55"/>
      <c r="DG219" s="55"/>
      <c r="DH219" s="55"/>
      <c r="DI219" s="55"/>
    </row>
    <row r="220" spans="1:113" x14ac:dyDescent="0.25">
      <c r="A220" s="152">
        <v>33</v>
      </c>
      <c r="B220" s="60" t="s">
        <v>384</v>
      </c>
      <c r="C220" s="80">
        <v>31500</v>
      </c>
      <c r="D220" s="142">
        <f>5153.5+1760</f>
        <v>6913.5</v>
      </c>
      <c r="E220" s="43">
        <v>95</v>
      </c>
      <c r="F220" s="60"/>
      <c r="G220" s="139">
        <f t="shared" si="39"/>
        <v>95</v>
      </c>
      <c r="H220" s="55"/>
      <c r="I220" s="56">
        <f t="shared" si="40"/>
        <v>95</v>
      </c>
      <c r="J220" s="56">
        <f t="shared" si="41"/>
        <v>2992500</v>
      </c>
      <c r="K220" s="57">
        <f t="shared" si="42"/>
        <v>656782.5</v>
      </c>
      <c r="L220"/>
      <c r="M220" s="314">
        <f t="shared" si="44"/>
        <v>0</v>
      </c>
      <c r="N220" s="310"/>
      <c r="O220" s="315"/>
      <c r="P220" s="315"/>
      <c r="Q220" s="315"/>
      <c r="R220" s="315"/>
      <c r="S220" s="55"/>
      <c r="T220" s="55"/>
      <c r="U220" s="55"/>
      <c r="V220" s="55"/>
      <c r="W220" s="55"/>
      <c r="X220" s="55"/>
      <c r="Y220" s="55"/>
      <c r="Z220" s="55"/>
      <c r="AA220" s="55"/>
      <c r="AB220" s="55"/>
      <c r="AC220" s="55"/>
      <c r="AD220" s="55"/>
      <c r="AE220" s="55"/>
      <c r="AF220" s="55"/>
      <c r="AG220" s="55"/>
      <c r="AH220" s="55"/>
      <c r="AI220" s="55"/>
      <c r="AJ220" s="55"/>
      <c r="AK220" s="55"/>
      <c r="AL220" s="55"/>
      <c r="AM220" s="55"/>
      <c r="AN220" s="55"/>
      <c r="AO220" s="55"/>
      <c r="AP220" s="55"/>
      <c r="AQ220" s="55"/>
      <c r="AR220" s="55"/>
      <c r="AS220" s="55"/>
      <c r="AT220" s="55"/>
      <c r="AU220" s="55"/>
      <c r="AV220" s="55"/>
      <c r="AW220" s="55"/>
      <c r="AX220" s="55"/>
      <c r="AY220" s="55"/>
      <c r="AZ220" s="55"/>
      <c r="BA220" s="55"/>
      <c r="BB220" s="55"/>
      <c r="BC220" s="55"/>
      <c r="BD220" s="55"/>
      <c r="BE220" s="55"/>
      <c r="BF220" s="55"/>
      <c r="BG220" s="55"/>
      <c r="BH220" s="55"/>
      <c r="BI220" s="55"/>
      <c r="BJ220" s="55"/>
      <c r="BK220" s="55"/>
      <c r="BL220" s="55"/>
      <c r="BM220" s="55"/>
      <c r="BN220" s="55"/>
      <c r="BO220" s="55"/>
      <c r="BP220" s="55"/>
      <c r="BQ220" s="55"/>
      <c r="BR220" s="55"/>
      <c r="BS220" s="55"/>
      <c r="BT220" s="55"/>
      <c r="BU220" s="55"/>
      <c r="BV220" s="55"/>
      <c r="BW220" s="55"/>
      <c r="BX220" s="55"/>
      <c r="BY220" s="55"/>
      <c r="BZ220" s="55"/>
      <c r="CA220" s="55"/>
      <c r="CB220" s="55"/>
      <c r="CC220" s="55"/>
      <c r="CD220" s="55"/>
      <c r="CE220" s="55"/>
      <c r="CF220" s="55"/>
      <c r="CG220" s="55"/>
      <c r="CH220" s="55"/>
      <c r="CI220" s="55"/>
      <c r="CJ220" s="55"/>
      <c r="CK220" s="55"/>
      <c r="CL220" s="55"/>
      <c r="CM220" s="55"/>
      <c r="CN220" s="55"/>
      <c r="CO220" s="55"/>
      <c r="CP220" s="55"/>
      <c r="CQ220" s="55"/>
      <c r="CR220" s="55"/>
      <c r="CS220" s="55"/>
      <c r="CT220" s="55"/>
      <c r="CU220" s="55"/>
      <c r="CV220" s="55"/>
      <c r="CW220" s="55"/>
      <c r="CX220" s="55"/>
      <c r="CY220" s="55"/>
      <c r="CZ220" s="55"/>
      <c r="DA220" s="55"/>
      <c r="DB220" s="55"/>
      <c r="DC220" s="55"/>
      <c r="DD220" s="55"/>
      <c r="DE220" s="55"/>
      <c r="DF220" s="55"/>
      <c r="DG220" s="55"/>
      <c r="DH220" s="55"/>
      <c r="DI220" s="55"/>
    </row>
    <row r="221" spans="1:113" x14ac:dyDescent="0.25">
      <c r="A221" s="152">
        <v>34</v>
      </c>
      <c r="B221" s="60" t="s">
        <v>385</v>
      </c>
      <c r="C221" s="80">
        <v>5000</v>
      </c>
      <c r="D221" s="142">
        <f>1100+177.32</f>
        <v>1277.32</v>
      </c>
      <c r="E221" s="43">
        <v>2092</v>
      </c>
      <c r="F221" s="60"/>
      <c r="G221" s="139">
        <f t="shared" si="39"/>
        <v>2092</v>
      </c>
      <c r="H221" s="55"/>
      <c r="I221" s="56">
        <f t="shared" si="40"/>
        <v>2092</v>
      </c>
      <c r="J221" s="56">
        <f t="shared" si="41"/>
        <v>10460000</v>
      </c>
      <c r="K221" s="57">
        <f t="shared" si="42"/>
        <v>2672153.44</v>
      </c>
      <c r="L221"/>
      <c r="M221" s="314">
        <f t="shared" si="44"/>
        <v>0</v>
      </c>
      <c r="N221" s="310"/>
      <c r="O221" s="315"/>
      <c r="P221" s="315"/>
      <c r="Q221" s="315"/>
      <c r="R221" s="315"/>
      <c r="S221" s="55"/>
      <c r="T221" s="55"/>
      <c r="U221" s="55"/>
      <c r="V221" s="55"/>
      <c r="W221" s="55"/>
      <c r="X221" s="55"/>
      <c r="Y221" s="55"/>
      <c r="Z221" s="55"/>
      <c r="AA221" s="55"/>
      <c r="AB221" s="55"/>
      <c r="AC221" s="55"/>
      <c r="AD221" s="55"/>
      <c r="AE221" s="55"/>
      <c r="AF221" s="55"/>
      <c r="AG221" s="55"/>
      <c r="AH221" s="55"/>
      <c r="AI221" s="55"/>
      <c r="AJ221" s="55"/>
      <c r="AK221" s="55"/>
      <c r="AL221" s="55"/>
      <c r="AM221" s="55"/>
      <c r="AN221" s="55"/>
      <c r="AO221" s="55"/>
      <c r="AP221" s="55"/>
      <c r="AQ221" s="55"/>
      <c r="AR221" s="55"/>
      <c r="AS221" s="55"/>
      <c r="AT221" s="55"/>
      <c r="AU221" s="55"/>
      <c r="AV221" s="55"/>
      <c r="AW221" s="55"/>
      <c r="AX221" s="55"/>
      <c r="AY221" s="55"/>
      <c r="AZ221" s="55"/>
      <c r="BA221" s="55"/>
      <c r="BB221" s="55"/>
      <c r="BC221" s="55"/>
      <c r="BD221" s="55"/>
      <c r="BE221" s="55"/>
      <c r="BF221" s="55"/>
      <c r="BG221" s="55"/>
      <c r="BH221" s="55"/>
      <c r="BI221" s="55"/>
      <c r="BJ221" s="55"/>
      <c r="BK221" s="55"/>
      <c r="BL221" s="55"/>
      <c r="BM221" s="55"/>
      <c r="BN221" s="55"/>
      <c r="BO221" s="55"/>
      <c r="BP221" s="55"/>
      <c r="BQ221" s="55"/>
      <c r="BR221" s="55"/>
      <c r="BS221" s="55"/>
      <c r="BT221" s="55"/>
      <c r="BU221" s="55"/>
      <c r="BV221" s="55"/>
      <c r="BW221" s="55"/>
      <c r="BX221" s="55"/>
      <c r="BY221" s="55"/>
      <c r="BZ221" s="55"/>
      <c r="CA221" s="55"/>
      <c r="CB221" s="55"/>
      <c r="CC221" s="55"/>
      <c r="CD221" s="55"/>
      <c r="CE221" s="55"/>
      <c r="CF221" s="55"/>
      <c r="CG221" s="55"/>
      <c r="CH221" s="55"/>
      <c r="CI221" s="55"/>
      <c r="CJ221" s="55"/>
      <c r="CK221" s="55"/>
      <c r="CL221" s="55"/>
      <c r="CM221" s="55"/>
      <c r="CN221" s="55"/>
      <c r="CO221" s="55"/>
      <c r="CP221" s="55"/>
      <c r="CQ221" s="55"/>
      <c r="CR221" s="55"/>
      <c r="CS221" s="55"/>
      <c r="CT221" s="55"/>
      <c r="CU221" s="55"/>
      <c r="CV221" s="55"/>
      <c r="CW221" s="55"/>
      <c r="CX221" s="55"/>
      <c r="CY221" s="55"/>
      <c r="CZ221" s="55"/>
      <c r="DA221" s="55"/>
      <c r="DB221" s="55"/>
      <c r="DC221" s="55"/>
      <c r="DD221" s="55"/>
      <c r="DE221" s="55"/>
      <c r="DF221" s="55"/>
      <c r="DG221" s="55"/>
      <c r="DH221" s="55"/>
      <c r="DI221" s="55"/>
    </row>
    <row r="222" spans="1:113" x14ac:dyDescent="0.25">
      <c r="A222" s="152">
        <v>35</v>
      </c>
      <c r="B222" s="60" t="s">
        <v>386</v>
      </c>
      <c r="C222" s="80">
        <v>6500</v>
      </c>
      <c r="D222" s="142">
        <v>1369.08</v>
      </c>
      <c r="E222" s="43">
        <v>115</v>
      </c>
      <c r="F222" s="60"/>
      <c r="G222" s="139">
        <f t="shared" si="39"/>
        <v>115</v>
      </c>
      <c r="H222" s="55"/>
      <c r="I222" s="56">
        <f t="shared" si="40"/>
        <v>115</v>
      </c>
      <c r="J222" s="56">
        <f t="shared" si="41"/>
        <v>747500</v>
      </c>
      <c r="K222" s="57">
        <f t="shared" si="42"/>
        <v>157444.19999999998</v>
      </c>
      <c r="L222"/>
      <c r="M222" s="314">
        <f t="shared" si="44"/>
        <v>0</v>
      </c>
      <c r="N222" s="310"/>
      <c r="O222" s="315"/>
      <c r="P222" s="315"/>
      <c r="Q222" s="315"/>
      <c r="R222" s="315"/>
      <c r="S222" s="55"/>
      <c r="T222" s="55"/>
      <c r="U222" s="55"/>
      <c r="V222" s="55"/>
      <c r="W222" s="55"/>
      <c r="X222" s="55"/>
      <c r="Y222" s="55"/>
      <c r="Z222" s="55"/>
      <c r="AA222" s="55"/>
      <c r="AB222" s="55"/>
      <c r="AC222" s="55"/>
      <c r="AD222" s="55"/>
      <c r="AE222" s="55"/>
      <c r="AF222" s="55"/>
      <c r="AG222" s="55"/>
      <c r="AH222" s="55"/>
      <c r="AI222" s="55"/>
      <c r="AJ222" s="55"/>
      <c r="AK222" s="55"/>
      <c r="AL222" s="55"/>
      <c r="AM222" s="55"/>
      <c r="AN222" s="55"/>
      <c r="AO222" s="55"/>
      <c r="AP222" s="55"/>
      <c r="AQ222" s="55"/>
      <c r="AR222" s="55"/>
      <c r="AS222" s="55"/>
      <c r="AT222" s="55"/>
      <c r="AU222" s="55"/>
      <c r="AV222" s="55"/>
      <c r="AW222" s="55"/>
      <c r="AX222" s="55"/>
      <c r="AY222" s="55"/>
      <c r="AZ222" s="55"/>
      <c r="BA222" s="55"/>
      <c r="BB222" s="55"/>
      <c r="BC222" s="55"/>
      <c r="BD222" s="55"/>
      <c r="BE222" s="55"/>
      <c r="BF222" s="55"/>
      <c r="BG222" s="55"/>
      <c r="BH222" s="55"/>
      <c r="BI222" s="55"/>
      <c r="BJ222" s="55"/>
      <c r="BK222" s="55"/>
      <c r="BL222" s="55"/>
      <c r="BM222" s="55"/>
      <c r="BN222" s="55"/>
      <c r="BO222" s="55"/>
      <c r="BP222" s="55"/>
      <c r="BQ222" s="55"/>
      <c r="BR222" s="55"/>
      <c r="BS222" s="55"/>
      <c r="BT222" s="55"/>
      <c r="BU222" s="55"/>
      <c r="BV222" s="55"/>
      <c r="BW222" s="55"/>
      <c r="BX222" s="55"/>
      <c r="BY222" s="55"/>
      <c r="BZ222" s="55"/>
      <c r="CA222" s="55"/>
      <c r="CB222" s="55"/>
      <c r="CC222" s="55"/>
      <c r="CD222" s="55"/>
      <c r="CE222" s="55"/>
      <c r="CF222" s="55"/>
      <c r="CG222" s="55"/>
      <c r="CH222" s="55"/>
      <c r="CI222" s="55"/>
      <c r="CJ222" s="55"/>
      <c r="CK222" s="55"/>
      <c r="CL222" s="55"/>
      <c r="CM222" s="55"/>
      <c r="CN222" s="55"/>
      <c r="CO222" s="55"/>
      <c r="CP222" s="55"/>
      <c r="CQ222" s="55"/>
      <c r="CR222" s="55"/>
      <c r="CS222" s="55"/>
      <c r="CT222" s="55"/>
      <c r="CU222" s="55"/>
      <c r="CV222" s="55"/>
      <c r="CW222" s="55"/>
      <c r="CX222" s="55"/>
      <c r="CY222" s="55"/>
      <c r="CZ222" s="55"/>
      <c r="DA222" s="55"/>
      <c r="DB222" s="55"/>
      <c r="DC222" s="55"/>
      <c r="DD222" s="55"/>
      <c r="DE222" s="55"/>
      <c r="DF222" s="55"/>
      <c r="DG222" s="55"/>
      <c r="DH222" s="55"/>
      <c r="DI222" s="55"/>
    </row>
    <row r="223" spans="1:113" ht="15.75" thickBot="1" x14ac:dyDescent="0.3">
      <c r="A223" s="153">
        <v>36</v>
      </c>
      <c r="B223" s="156" t="s">
        <v>387</v>
      </c>
      <c r="C223" s="82">
        <v>11000</v>
      </c>
      <c r="D223" s="145">
        <v>1473.16</v>
      </c>
      <c r="E223" s="154">
        <v>26</v>
      </c>
      <c r="F223" s="156"/>
      <c r="G223" s="147">
        <f t="shared" si="39"/>
        <v>26</v>
      </c>
      <c r="H223" s="58"/>
      <c r="I223" s="64">
        <f t="shared" si="40"/>
        <v>26</v>
      </c>
      <c r="J223" s="64">
        <f t="shared" si="41"/>
        <v>286000</v>
      </c>
      <c r="K223" s="65">
        <f t="shared" si="42"/>
        <v>38302.160000000003</v>
      </c>
      <c r="L223"/>
      <c r="M223" s="314">
        <f t="shared" si="44"/>
        <v>0</v>
      </c>
      <c r="N223" s="310"/>
      <c r="O223" s="315"/>
      <c r="P223" s="315"/>
      <c r="Q223" s="315"/>
      <c r="R223" s="315"/>
      <c r="S223" s="55"/>
      <c r="T223" s="55"/>
      <c r="U223" s="55"/>
      <c r="V223" s="55"/>
      <c r="W223" s="55"/>
      <c r="X223" s="55"/>
      <c r="Y223" s="55"/>
      <c r="Z223" s="55"/>
      <c r="AA223" s="55"/>
      <c r="AB223" s="55"/>
      <c r="AC223" s="55"/>
      <c r="AD223" s="55"/>
      <c r="AE223" s="55"/>
      <c r="AF223" s="55"/>
      <c r="AG223" s="55"/>
      <c r="AH223" s="55"/>
      <c r="AI223" s="55"/>
      <c r="AJ223" s="55"/>
      <c r="AK223" s="55"/>
      <c r="AL223" s="55"/>
      <c r="AM223" s="55"/>
      <c r="AN223" s="55"/>
      <c r="AO223" s="55"/>
      <c r="AP223" s="55"/>
      <c r="AQ223" s="55"/>
      <c r="AR223" s="55"/>
      <c r="AS223" s="55"/>
      <c r="AT223" s="55"/>
      <c r="AU223" s="55"/>
      <c r="AV223" s="55"/>
      <c r="AW223" s="55"/>
      <c r="AX223" s="55"/>
      <c r="AY223" s="55"/>
      <c r="AZ223" s="55"/>
      <c r="BA223" s="55"/>
      <c r="BB223" s="55"/>
      <c r="BC223" s="55"/>
      <c r="BD223" s="55"/>
      <c r="BE223" s="55"/>
      <c r="BF223" s="55"/>
      <c r="BG223" s="55"/>
      <c r="BH223" s="55"/>
      <c r="BI223" s="55"/>
      <c r="BJ223" s="55"/>
      <c r="BK223" s="55"/>
      <c r="BL223" s="55"/>
      <c r="BM223" s="55"/>
      <c r="BN223" s="55"/>
      <c r="BO223" s="55"/>
      <c r="BP223" s="55"/>
      <c r="BQ223" s="55"/>
      <c r="BR223" s="55"/>
      <c r="BS223" s="55"/>
      <c r="BT223" s="55"/>
      <c r="BU223" s="55"/>
      <c r="BV223" s="55"/>
      <c r="BW223" s="55"/>
      <c r="BX223" s="55"/>
      <c r="BY223" s="55"/>
      <c r="BZ223" s="55"/>
      <c r="CA223" s="55"/>
      <c r="CB223" s="55"/>
      <c r="CC223" s="55"/>
      <c r="CD223" s="55"/>
      <c r="CE223" s="55"/>
      <c r="CF223" s="55"/>
      <c r="CG223" s="55"/>
      <c r="CH223" s="55"/>
      <c r="CI223" s="55"/>
      <c r="CJ223" s="55"/>
      <c r="CK223" s="55"/>
      <c r="CL223" s="55"/>
      <c r="CM223" s="55"/>
      <c r="CN223" s="55"/>
      <c r="CO223" s="55"/>
      <c r="CP223" s="55"/>
      <c r="CQ223" s="55"/>
      <c r="CR223" s="55"/>
      <c r="CS223" s="55"/>
      <c r="CT223" s="55"/>
      <c r="CU223" s="55"/>
      <c r="CV223" s="55"/>
      <c r="CW223" s="55"/>
      <c r="CX223" s="55"/>
      <c r="CY223" s="55"/>
      <c r="CZ223" s="55"/>
      <c r="DA223" s="55"/>
      <c r="DB223" s="55"/>
      <c r="DC223" s="55"/>
      <c r="DD223" s="55"/>
      <c r="DE223" s="55"/>
      <c r="DF223" s="55"/>
      <c r="DG223" s="55"/>
      <c r="DH223" s="55"/>
      <c r="DI223" s="55"/>
    </row>
    <row r="224" spans="1:113" ht="15.75" thickBot="1" x14ac:dyDescent="0.3">
      <c r="A224" s="128"/>
      <c r="B224" s="119" t="s">
        <v>670</v>
      </c>
      <c r="C224" s="36"/>
      <c r="D224" s="36"/>
      <c r="E224" s="29">
        <f>SUM(E188:E223)</f>
        <v>7515</v>
      </c>
      <c r="F224" s="29">
        <f>SUM(F188:F223)</f>
        <v>0</v>
      </c>
      <c r="G224" s="29">
        <f>SUM(G188:G223)</f>
        <v>7515</v>
      </c>
      <c r="H224" s="29">
        <f>SUM(H188:H223)</f>
        <v>0</v>
      </c>
      <c r="I224" s="29">
        <f>SUM(I188:I223)</f>
        <v>7515</v>
      </c>
      <c r="J224" s="29">
        <f t="shared" ref="J224:K224" si="45">SUM(J188:J223)</f>
        <v>80113000</v>
      </c>
      <c r="K224" s="47">
        <f t="shared" si="45"/>
        <v>20394111.090000004</v>
      </c>
      <c r="L224"/>
      <c r="M224" s="326">
        <f t="shared" si="44"/>
        <v>0</v>
      </c>
      <c r="N224" s="325"/>
      <c r="O224" s="325"/>
      <c r="P224" s="325"/>
      <c r="Q224" s="325"/>
      <c r="R224" s="325"/>
      <c r="S224" s="324"/>
      <c r="T224" s="324"/>
      <c r="U224" s="324"/>
      <c r="V224" s="324"/>
      <c r="W224" s="324"/>
      <c r="X224" s="324"/>
      <c r="Y224" s="324"/>
      <c r="Z224" s="324"/>
      <c r="AA224" s="324"/>
      <c r="AB224" s="324"/>
      <c r="AC224" s="324"/>
      <c r="AD224" s="324"/>
      <c r="AE224" s="324"/>
      <c r="AF224" s="324"/>
      <c r="AG224" s="324"/>
      <c r="AH224" s="324"/>
      <c r="AI224" s="324"/>
      <c r="AJ224" s="324"/>
      <c r="AK224" s="324"/>
      <c r="AL224" s="324"/>
      <c r="AM224" s="324"/>
      <c r="AN224" s="324"/>
      <c r="AO224" s="324"/>
      <c r="AP224" s="324"/>
      <c r="AQ224" s="324"/>
      <c r="AR224" s="324"/>
      <c r="AS224" s="324"/>
      <c r="AT224" s="324"/>
      <c r="AU224" s="324"/>
      <c r="AV224" s="324"/>
      <c r="AW224" s="324"/>
      <c r="AX224" s="324"/>
      <c r="AY224" s="324"/>
      <c r="AZ224" s="324"/>
      <c r="BA224" s="324"/>
      <c r="BB224" s="324"/>
      <c r="BC224" s="324"/>
      <c r="BD224" s="324"/>
      <c r="BE224" s="324"/>
      <c r="BF224" s="324"/>
      <c r="BG224" s="324"/>
      <c r="BH224" s="324"/>
      <c r="BI224" s="324"/>
      <c r="BJ224" s="324"/>
      <c r="BK224" s="324"/>
      <c r="BL224" s="324"/>
      <c r="BM224" s="324"/>
      <c r="BN224" s="324"/>
      <c r="BO224" s="324"/>
      <c r="BP224" s="324"/>
      <c r="BQ224" s="324"/>
      <c r="BR224" s="324"/>
      <c r="BS224" s="324"/>
      <c r="BT224" s="324"/>
      <c r="BU224" s="324"/>
      <c r="BV224" s="324"/>
      <c r="BW224" s="324"/>
      <c r="BX224" s="324"/>
      <c r="BY224" s="324"/>
      <c r="BZ224" s="324"/>
      <c r="CA224" s="324"/>
      <c r="CB224" s="324"/>
      <c r="CC224" s="324"/>
      <c r="CD224" s="324"/>
      <c r="CE224" s="324"/>
      <c r="CF224" s="324"/>
      <c r="CG224" s="324"/>
      <c r="CH224" s="324"/>
      <c r="CI224" s="324"/>
      <c r="CJ224" s="324"/>
      <c r="CK224" s="324"/>
      <c r="CL224" s="324"/>
      <c r="CM224" s="324"/>
      <c r="CN224" s="324"/>
      <c r="CO224" s="324"/>
      <c r="CP224" s="324"/>
      <c r="CQ224" s="324"/>
      <c r="CR224" s="324"/>
      <c r="CS224" s="324"/>
      <c r="CT224" s="324"/>
      <c r="CU224" s="324"/>
      <c r="CV224" s="324"/>
      <c r="CW224" s="324"/>
      <c r="CX224" s="324"/>
      <c r="CY224" s="324"/>
      <c r="CZ224" s="324"/>
      <c r="DA224" s="324"/>
      <c r="DB224" s="324"/>
      <c r="DC224" s="324"/>
      <c r="DD224" s="324"/>
      <c r="DE224" s="324"/>
      <c r="DF224" s="324"/>
      <c r="DG224" s="324"/>
      <c r="DH224" s="324"/>
      <c r="DI224" s="324"/>
    </row>
    <row r="225" spans="1:113" ht="15.75" thickBot="1" x14ac:dyDescent="0.3">
      <c r="B225" s="161"/>
      <c r="C225" s="162"/>
      <c r="D225" s="163"/>
      <c r="E225" s="164"/>
      <c r="F225" s="67"/>
      <c r="G225" s="164"/>
      <c r="H225" s="164"/>
      <c r="I225" s="164"/>
      <c r="J225" s="164"/>
      <c r="K225" s="163"/>
      <c r="L225"/>
      <c r="M225"/>
      <c r="N225"/>
      <c r="O225"/>
      <c r="P225"/>
      <c r="Q225"/>
      <c r="R225"/>
      <c r="S225"/>
      <c r="T225"/>
      <c r="U225"/>
      <c r="V225"/>
    </row>
    <row r="226" spans="1:113" ht="15.75" thickBot="1" x14ac:dyDescent="0.3">
      <c r="A226" s="407" t="s">
        <v>657</v>
      </c>
      <c r="B226" s="414" t="s">
        <v>708</v>
      </c>
      <c r="C226" s="414" t="s">
        <v>1</v>
      </c>
      <c r="D226" s="415" t="s">
        <v>649</v>
      </c>
      <c r="E226" s="416" t="s">
        <v>19</v>
      </c>
      <c r="F226" s="416"/>
      <c r="G226" s="416"/>
      <c r="H226" s="416"/>
      <c r="I226" s="416"/>
      <c r="J226" s="410" t="s">
        <v>21</v>
      </c>
      <c r="K226" s="417" t="s">
        <v>602</v>
      </c>
      <c r="L226"/>
      <c r="M226" s="403" t="s">
        <v>601</v>
      </c>
      <c r="N226" s="403" t="s">
        <v>924</v>
      </c>
      <c r="O226" s="403"/>
      <c r="P226" s="403"/>
      <c r="Q226" s="403"/>
      <c r="R226" s="403"/>
      <c r="S226" s="403"/>
      <c r="T226" s="403"/>
      <c r="U226" s="403"/>
      <c r="V226" s="403"/>
      <c r="W226" s="403"/>
      <c r="X226" s="403"/>
      <c r="Y226" s="403"/>
      <c r="Z226" s="403"/>
      <c r="AA226" s="403"/>
      <c r="AB226" s="403"/>
      <c r="AC226" s="403"/>
      <c r="AD226" s="403"/>
      <c r="AE226" s="403"/>
      <c r="AF226" s="403"/>
      <c r="AG226" s="403"/>
      <c r="AH226" s="403"/>
      <c r="AI226" s="403"/>
      <c r="AJ226" s="403"/>
      <c r="AK226" s="403"/>
      <c r="AL226" s="403"/>
      <c r="AM226" s="403"/>
      <c r="AN226" s="403"/>
      <c r="AO226" s="403"/>
      <c r="AP226" s="403"/>
      <c r="AQ226" s="403"/>
      <c r="AR226" s="403"/>
      <c r="AS226" s="403"/>
      <c r="AT226" s="403"/>
      <c r="AU226" s="403"/>
      <c r="AV226" s="403"/>
      <c r="AW226" s="403"/>
      <c r="AX226" s="403"/>
      <c r="AY226" s="403"/>
      <c r="AZ226" s="403"/>
      <c r="BA226" s="403"/>
      <c r="BB226" s="403"/>
      <c r="BC226" s="403"/>
      <c r="BD226" s="403"/>
      <c r="BE226" s="403"/>
      <c r="BF226" s="403"/>
      <c r="BG226" s="403"/>
      <c r="BH226" s="403"/>
      <c r="BI226" s="403"/>
      <c r="BJ226" s="403"/>
      <c r="BK226" s="403"/>
      <c r="BL226" s="403"/>
      <c r="BM226" s="403"/>
      <c r="BN226" s="403"/>
      <c r="BO226" s="403"/>
      <c r="BP226" s="403"/>
      <c r="BQ226" s="403"/>
      <c r="BR226" s="403"/>
      <c r="BS226" s="403"/>
      <c r="BT226" s="403"/>
      <c r="BU226" s="403"/>
      <c r="BV226" s="403"/>
      <c r="BW226" s="403"/>
      <c r="BX226" s="403"/>
      <c r="BY226" s="403"/>
      <c r="BZ226" s="403"/>
      <c r="CA226" s="403"/>
      <c r="CB226" s="403"/>
      <c r="CC226" s="403"/>
      <c r="CD226" s="403"/>
      <c r="CE226" s="403"/>
      <c r="CF226" s="403"/>
      <c r="CG226" s="403"/>
      <c r="CH226" s="403"/>
      <c r="CI226" s="403"/>
      <c r="CJ226" s="403"/>
      <c r="CK226" s="403"/>
      <c r="CL226" s="403"/>
      <c r="CM226" s="403"/>
      <c r="CN226" s="403"/>
      <c r="CO226" s="403"/>
      <c r="CP226" s="403"/>
      <c r="CQ226" s="403"/>
      <c r="CR226" s="403"/>
      <c r="CS226" s="403"/>
      <c r="CT226" s="403"/>
      <c r="CU226" s="403"/>
      <c r="CV226" s="403"/>
      <c r="CW226" s="403"/>
      <c r="CX226" s="403"/>
      <c r="CY226" s="403"/>
      <c r="CZ226" s="403"/>
      <c r="DA226" s="403"/>
      <c r="DB226" s="403"/>
      <c r="DC226" s="403"/>
      <c r="DD226" s="403"/>
      <c r="DE226" s="403"/>
      <c r="DF226" s="403"/>
      <c r="DG226" s="403"/>
      <c r="DH226" s="403"/>
      <c r="DI226" s="403"/>
    </row>
    <row r="227" spans="1:113" ht="30.75" thickBot="1" x14ac:dyDescent="0.3">
      <c r="A227" s="408"/>
      <c r="B227" s="414"/>
      <c r="C227" s="414"/>
      <c r="D227" s="415"/>
      <c r="E227" s="68" t="s">
        <v>22</v>
      </c>
      <c r="F227" s="68" t="s">
        <v>600</v>
      </c>
      <c r="G227" s="68" t="s">
        <v>601</v>
      </c>
      <c r="H227" s="68" t="s">
        <v>589</v>
      </c>
      <c r="I227" s="68" t="s">
        <v>601</v>
      </c>
      <c r="J227" s="411"/>
      <c r="K227" s="418"/>
      <c r="L227"/>
      <c r="M227" s="403"/>
      <c r="N227" s="400" t="s">
        <v>925</v>
      </c>
      <c r="O227" s="400" t="s">
        <v>926</v>
      </c>
      <c r="P227" s="400"/>
      <c r="Q227" s="400"/>
      <c r="R227" s="400"/>
      <c r="S227" s="398"/>
      <c r="T227" s="398"/>
      <c r="U227" s="398"/>
      <c r="V227" s="398"/>
      <c r="W227" s="398"/>
      <c r="X227" s="398"/>
      <c r="Y227" s="398"/>
      <c r="Z227" s="398"/>
      <c r="AA227" s="398"/>
      <c r="AB227" s="398"/>
      <c r="AC227" s="398"/>
      <c r="AD227" s="398"/>
      <c r="AE227" s="398"/>
      <c r="AF227" s="398"/>
      <c r="AG227" s="398"/>
      <c r="AH227" s="398"/>
      <c r="AI227" s="398"/>
      <c r="AJ227" s="398"/>
      <c r="AK227" s="398"/>
      <c r="AL227" s="398"/>
      <c r="AM227" s="398"/>
      <c r="AN227" s="398"/>
      <c r="AO227" s="398"/>
      <c r="AP227" s="398"/>
      <c r="AQ227" s="398"/>
      <c r="AR227" s="398"/>
      <c r="AS227" s="398"/>
      <c r="AT227" s="398"/>
      <c r="AU227" s="398"/>
      <c r="AV227" s="398"/>
      <c r="AW227" s="398"/>
      <c r="AX227" s="398"/>
      <c r="AY227" s="398"/>
      <c r="AZ227" s="398"/>
      <c r="BA227" s="398"/>
      <c r="BB227" s="398"/>
      <c r="BC227" s="398"/>
      <c r="BD227" s="398"/>
      <c r="BE227" s="398"/>
      <c r="BF227" s="398"/>
      <c r="BG227" s="398"/>
      <c r="BH227" s="398"/>
      <c r="BI227" s="398"/>
      <c r="BJ227" s="398"/>
      <c r="BK227" s="398"/>
      <c r="BL227" s="398"/>
      <c r="BM227" s="398"/>
      <c r="BN227" s="398"/>
      <c r="BO227" s="398"/>
      <c r="BP227" s="398"/>
      <c r="BQ227" s="398"/>
      <c r="BR227" s="398"/>
      <c r="BS227" s="398"/>
      <c r="BT227" s="398"/>
      <c r="BU227" s="398"/>
      <c r="BV227" s="398"/>
      <c r="BW227" s="398"/>
      <c r="BX227" s="398"/>
      <c r="BY227" s="398"/>
      <c r="BZ227" s="398"/>
      <c r="CA227" s="398"/>
      <c r="CB227" s="398"/>
      <c r="CC227" s="398"/>
      <c r="CD227" s="398"/>
      <c r="CE227" s="398"/>
      <c r="CF227" s="398"/>
      <c r="CG227" s="398"/>
      <c r="CH227" s="398"/>
      <c r="CI227" s="398"/>
      <c r="CJ227" s="398"/>
      <c r="CK227" s="398"/>
      <c r="CL227" s="398"/>
      <c r="CM227" s="398"/>
      <c r="CN227" s="398"/>
      <c r="CO227" s="398"/>
      <c r="CP227" s="398"/>
      <c r="CQ227" s="398"/>
      <c r="CR227" s="398"/>
      <c r="CS227" s="398"/>
      <c r="CT227" s="398"/>
      <c r="CU227" s="398"/>
      <c r="CV227" s="398"/>
      <c r="CW227" s="398"/>
      <c r="CX227" s="398"/>
      <c r="CY227" s="398"/>
      <c r="CZ227" s="398"/>
      <c r="DA227" s="398"/>
      <c r="DB227" s="398"/>
      <c r="DC227" s="398"/>
      <c r="DD227" s="398"/>
      <c r="DE227" s="398"/>
      <c r="DF227" s="398"/>
      <c r="DG227" s="398"/>
      <c r="DH227" s="398"/>
      <c r="DI227" s="398"/>
    </row>
    <row r="228" spans="1:113" ht="15.75" thickBot="1" x14ac:dyDescent="0.3">
      <c r="A228" s="409"/>
      <c r="B228" s="185">
        <v>1</v>
      </c>
      <c r="C228" s="185">
        <v>2</v>
      </c>
      <c r="D228" s="185">
        <v>3</v>
      </c>
      <c r="E228" s="70">
        <v>4</v>
      </c>
      <c r="F228" s="70">
        <f>+E228+1</f>
        <v>5</v>
      </c>
      <c r="G228" s="70" t="s">
        <v>652</v>
      </c>
      <c r="H228" s="70">
        <v>7</v>
      </c>
      <c r="I228" s="71" t="s">
        <v>651</v>
      </c>
      <c r="J228" s="42" t="s">
        <v>650</v>
      </c>
      <c r="K228" s="42" t="s">
        <v>653</v>
      </c>
      <c r="L228"/>
      <c r="M228" s="403"/>
      <c r="N228" s="402"/>
      <c r="O228" s="402"/>
      <c r="P228" s="402"/>
      <c r="Q228" s="402"/>
      <c r="R228" s="402"/>
      <c r="S228" s="399"/>
      <c r="T228" s="399"/>
      <c r="U228" s="399"/>
      <c r="V228" s="399"/>
      <c r="W228" s="399"/>
      <c r="X228" s="399"/>
      <c r="Y228" s="399"/>
      <c r="Z228" s="399"/>
      <c r="AA228" s="399"/>
      <c r="AB228" s="399"/>
      <c r="AC228" s="399"/>
      <c r="AD228" s="399"/>
      <c r="AE228" s="399"/>
      <c r="AF228" s="399"/>
      <c r="AG228" s="399"/>
      <c r="AH228" s="399"/>
      <c r="AI228" s="399"/>
      <c r="AJ228" s="399"/>
      <c r="AK228" s="399"/>
      <c r="AL228" s="399"/>
      <c r="AM228" s="399"/>
      <c r="AN228" s="399"/>
      <c r="AO228" s="399"/>
      <c r="AP228" s="399"/>
      <c r="AQ228" s="399"/>
      <c r="AR228" s="399"/>
      <c r="AS228" s="399"/>
      <c r="AT228" s="399"/>
      <c r="AU228" s="399"/>
      <c r="AV228" s="399"/>
      <c r="AW228" s="399"/>
      <c r="AX228" s="399"/>
      <c r="AY228" s="399"/>
      <c r="AZ228" s="399"/>
      <c r="BA228" s="399"/>
      <c r="BB228" s="399"/>
      <c r="BC228" s="399"/>
      <c r="BD228" s="399"/>
      <c r="BE228" s="399"/>
      <c r="BF228" s="399"/>
      <c r="BG228" s="399"/>
      <c r="BH228" s="399"/>
      <c r="BI228" s="399"/>
      <c r="BJ228" s="399"/>
      <c r="BK228" s="399"/>
      <c r="BL228" s="399"/>
      <c r="BM228" s="399"/>
      <c r="BN228" s="399"/>
      <c r="BO228" s="399"/>
      <c r="BP228" s="399"/>
      <c r="BQ228" s="399"/>
      <c r="BR228" s="399"/>
      <c r="BS228" s="399"/>
      <c r="BT228" s="399"/>
      <c r="BU228" s="399"/>
      <c r="BV228" s="399"/>
      <c r="BW228" s="399"/>
      <c r="BX228" s="399"/>
      <c r="BY228" s="399"/>
      <c r="BZ228" s="399"/>
      <c r="CA228" s="399"/>
      <c r="CB228" s="399"/>
      <c r="CC228" s="399"/>
      <c r="CD228" s="399"/>
      <c r="CE228" s="399"/>
      <c r="CF228" s="399"/>
      <c r="CG228" s="399"/>
      <c r="CH228" s="399"/>
      <c r="CI228" s="399"/>
      <c r="CJ228" s="399"/>
      <c r="CK228" s="399"/>
      <c r="CL228" s="399"/>
      <c r="CM228" s="399"/>
      <c r="CN228" s="399"/>
      <c r="CO228" s="399"/>
      <c r="CP228" s="399"/>
      <c r="CQ228" s="399"/>
      <c r="CR228" s="399"/>
      <c r="CS228" s="399"/>
      <c r="CT228" s="399"/>
      <c r="CU228" s="399"/>
      <c r="CV228" s="399"/>
      <c r="CW228" s="399"/>
      <c r="CX228" s="399"/>
      <c r="CY228" s="399"/>
      <c r="CZ228" s="399"/>
      <c r="DA228" s="399"/>
      <c r="DB228" s="399"/>
      <c r="DC228" s="399"/>
      <c r="DD228" s="399"/>
      <c r="DE228" s="399"/>
      <c r="DF228" s="399"/>
      <c r="DG228" s="399"/>
      <c r="DH228" s="399"/>
      <c r="DI228" s="399"/>
    </row>
    <row r="229" spans="1:113" x14ac:dyDescent="0.25">
      <c r="A229" s="160"/>
      <c r="B229" s="72" t="s">
        <v>704</v>
      </c>
      <c r="C229" s="54"/>
      <c r="D229" s="54"/>
      <c r="E229" s="54"/>
      <c r="F229" s="54"/>
      <c r="G229" s="54"/>
      <c r="H229" s="54"/>
      <c r="I229" s="54"/>
      <c r="J229" s="54"/>
      <c r="K229" s="54"/>
      <c r="L229"/>
      <c r="M229" s="314">
        <f t="shared" ref="M229:M251" si="46">SUM(N229:DJ229)</f>
        <v>0</v>
      </c>
      <c r="N229" s="310"/>
      <c r="O229" s="315"/>
      <c r="P229" s="315"/>
      <c r="Q229" s="315"/>
      <c r="R229" s="315"/>
      <c r="S229" s="55"/>
      <c r="T229" s="55"/>
      <c r="U229" s="55"/>
      <c r="V229" s="55"/>
      <c r="W229" s="55"/>
      <c r="X229" s="55"/>
      <c r="Y229" s="55"/>
      <c r="Z229" s="55"/>
      <c r="AA229" s="55"/>
      <c r="AB229" s="55"/>
      <c r="AC229" s="55"/>
      <c r="AD229" s="55"/>
      <c r="AE229" s="55"/>
      <c r="AF229" s="55"/>
      <c r="AG229" s="55"/>
      <c r="AH229" s="55"/>
      <c r="AI229" s="55"/>
      <c r="AJ229" s="55"/>
      <c r="AK229" s="55"/>
      <c r="AL229" s="55"/>
      <c r="AM229" s="55"/>
      <c r="AN229" s="55"/>
      <c r="AO229" s="55"/>
      <c r="AP229" s="55"/>
      <c r="AQ229" s="55"/>
      <c r="AR229" s="55"/>
      <c r="AS229" s="55"/>
      <c r="AT229" s="55"/>
      <c r="AU229" s="55"/>
      <c r="AV229" s="55"/>
      <c r="AW229" s="55"/>
      <c r="AX229" s="55"/>
      <c r="AY229" s="55"/>
      <c r="AZ229" s="55"/>
      <c r="BA229" s="55"/>
      <c r="BB229" s="55"/>
      <c r="BC229" s="55"/>
      <c r="BD229" s="55"/>
      <c r="BE229" s="55"/>
      <c r="BF229" s="55"/>
      <c r="BG229" s="55"/>
      <c r="BH229" s="55"/>
      <c r="BI229" s="55"/>
      <c r="BJ229" s="55"/>
      <c r="BK229" s="55"/>
      <c r="BL229" s="55"/>
      <c r="BM229" s="55"/>
      <c r="BN229" s="55"/>
      <c r="BO229" s="55"/>
      <c r="BP229" s="55"/>
      <c r="BQ229" s="55"/>
      <c r="BR229" s="55"/>
      <c r="BS229" s="55"/>
      <c r="BT229" s="55"/>
      <c r="BU229" s="55"/>
      <c r="BV229" s="55"/>
      <c r="BW229" s="55"/>
      <c r="BX229" s="55"/>
      <c r="BY229" s="55"/>
      <c r="BZ229" s="55"/>
      <c r="CA229" s="55"/>
      <c r="CB229" s="55"/>
      <c r="CC229" s="55"/>
      <c r="CD229" s="55"/>
      <c r="CE229" s="55"/>
      <c r="CF229" s="55"/>
      <c r="CG229" s="55"/>
      <c r="CH229" s="55"/>
      <c r="CI229" s="55"/>
      <c r="CJ229" s="55"/>
      <c r="CK229" s="55"/>
      <c r="CL229" s="55"/>
      <c r="CM229" s="55"/>
      <c r="CN229" s="55"/>
      <c r="CO229" s="55"/>
      <c r="CP229" s="55"/>
      <c r="CQ229" s="55"/>
      <c r="CR229" s="55"/>
      <c r="CS229" s="55"/>
      <c r="CT229" s="55"/>
      <c r="CU229" s="55"/>
      <c r="CV229" s="55"/>
      <c r="CW229" s="55"/>
      <c r="CX229" s="55"/>
      <c r="CY229" s="55"/>
      <c r="CZ229" s="55"/>
      <c r="DA229" s="55"/>
      <c r="DB229" s="55"/>
      <c r="DC229" s="55"/>
      <c r="DD229" s="55"/>
      <c r="DE229" s="55"/>
      <c r="DF229" s="55"/>
      <c r="DG229" s="55"/>
      <c r="DH229" s="55"/>
      <c r="DI229" s="55"/>
    </row>
    <row r="230" spans="1:113" x14ac:dyDescent="0.25">
      <c r="A230" s="152">
        <v>1</v>
      </c>
      <c r="B230" s="60" t="s">
        <v>388</v>
      </c>
      <c r="C230" s="80">
        <v>7000</v>
      </c>
      <c r="D230" s="142">
        <f>600.3+1375</f>
        <v>1975.3</v>
      </c>
      <c r="E230" s="43">
        <v>5</v>
      </c>
      <c r="F230" s="60"/>
      <c r="G230" s="139">
        <f t="shared" ref="G230:G251" si="47">+E230+F230</f>
        <v>5</v>
      </c>
      <c r="H230" s="55"/>
      <c r="I230" s="56">
        <f t="shared" ref="I230:I251" si="48">+G230-H230</f>
        <v>5</v>
      </c>
      <c r="J230" s="56">
        <f t="shared" ref="J230:J251" si="49">I230*C230</f>
        <v>35000</v>
      </c>
      <c r="K230" s="57">
        <f t="shared" ref="K230:K251" si="50">+D230*I230</f>
        <v>9876.5</v>
      </c>
      <c r="L230"/>
      <c r="M230" s="314">
        <f t="shared" si="46"/>
        <v>0</v>
      </c>
      <c r="N230" s="310"/>
      <c r="O230" s="315"/>
      <c r="P230" s="315"/>
      <c r="Q230" s="315"/>
      <c r="R230" s="315"/>
      <c r="S230" s="55"/>
      <c r="T230" s="55"/>
      <c r="U230" s="55"/>
      <c r="V230" s="55"/>
      <c r="W230" s="55"/>
      <c r="X230" s="55"/>
      <c r="Y230" s="55"/>
      <c r="Z230" s="55"/>
      <c r="AA230" s="55"/>
      <c r="AB230" s="55"/>
      <c r="AC230" s="55"/>
      <c r="AD230" s="55"/>
      <c r="AE230" s="55"/>
      <c r="AF230" s="55"/>
      <c r="AG230" s="55"/>
      <c r="AH230" s="55"/>
      <c r="AI230" s="55"/>
      <c r="AJ230" s="55"/>
      <c r="AK230" s="55"/>
      <c r="AL230" s="55"/>
      <c r="AM230" s="55"/>
      <c r="AN230" s="55"/>
      <c r="AO230" s="55"/>
      <c r="AP230" s="55"/>
      <c r="AQ230" s="55"/>
      <c r="AR230" s="55"/>
      <c r="AS230" s="55"/>
      <c r="AT230" s="55"/>
      <c r="AU230" s="55"/>
      <c r="AV230" s="55"/>
      <c r="AW230" s="55"/>
      <c r="AX230" s="55"/>
      <c r="AY230" s="55"/>
      <c r="AZ230" s="55"/>
      <c r="BA230" s="55"/>
      <c r="BB230" s="55"/>
      <c r="BC230" s="55"/>
      <c r="BD230" s="55"/>
      <c r="BE230" s="55"/>
      <c r="BF230" s="55"/>
      <c r="BG230" s="55"/>
      <c r="BH230" s="55"/>
      <c r="BI230" s="55"/>
      <c r="BJ230" s="55"/>
      <c r="BK230" s="55"/>
      <c r="BL230" s="55"/>
      <c r="BM230" s="55"/>
      <c r="BN230" s="55"/>
      <c r="BO230" s="55"/>
      <c r="BP230" s="55"/>
      <c r="BQ230" s="55"/>
      <c r="BR230" s="55"/>
      <c r="BS230" s="55"/>
      <c r="BT230" s="55"/>
      <c r="BU230" s="55"/>
      <c r="BV230" s="55"/>
      <c r="BW230" s="55"/>
      <c r="BX230" s="55"/>
      <c r="BY230" s="55"/>
      <c r="BZ230" s="55"/>
      <c r="CA230" s="55"/>
      <c r="CB230" s="55"/>
      <c r="CC230" s="55"/>
      <c r="CD230" s="55"/>
      <c r="CE230" s="55"/>
      <c r="CF230" s="55"/>
      <c r="CG230" s="55"/>
      <c r="CH230" s="55"/>
      <c r="CI230" s="55"/>
      <c r="CJ230" s="55"/>
      <c r="CK230" s="55"/>
      <c r="CL230" s="55"/>
      <c r="CM230" s="55"/>
      <c r="CN230" s="55"/>
      <c r="CO230" s="55"/>
      <c r="CP230" s="55"/>
      <c r="CQ230" s="55"/>
      <c r="CR230" s="55"/>
      <c r="CS230" s="55"/>
      <c r="CT230" s="55"/>
      <c r="CU230" s="55"/>
      <c r="CV230" s="55"/>
      <c r="CW230" s="55"/>
      <c r="CX230" s="55"/>
      <c r="CY230" s="55"/>
      <c r="CZ230" s="55"/>
      <c r="DA230" s="55"/>
      <c r="DB230" s="55"/>
      <c r="DC230" s="55"/>
      <c r="DD230" s="55"/>
      <c r="DE230" s="55"/>
      <c r="DF230" s="55"/>
      <c r="DG230" s="55"/>
      <c r="DH230" s="55"/>
      <c r="DI230" s="55"/>
    </row>
    <row r="231" spans="1:113" x14ac:dyDescent="0.25">
      <c r="A231" s="152">
        <v>2</v>
      </c>
      <c r="B231" s="222" t="s">
        <v>389</v>
      </c>
      <c r="C231" s="80">
        <v>14500</v>
      </c>
      <c r="D231" s="142">
        <f>1375+177.1</f>
        <v>1552.1</v>
      </c>
      <c r="E231" s="43">
        <v>10</v>
      </c>
      <c r="F231" s="60"/>
      <c r="G231" s="139">
        <f t="shared" si="47"/>
        <v>10</v>
      </c>
      <c r="H231" s="55"/>
      <c r="I231" s="56">
        <f t="shared" si="48"/>
        <v>10</v>
      </c>
      <c r="J231" s="56">
        <f t="shared" si="49"/>
        <v>145000</v>
      </c>
      <c r="K231" s="57">
        <f t="shared" si="50"/>
        <v>15521</v>
      </c>
      <c r="L231"/>
      <c r="M231" s="314">
        <f t="shared" si="46"/>
        <v>0</v>
      </c>
      <c r="N231" s="310"/>
      <c r="O231" s="315"/>
      <c r="P231" s="315"/>
      <c r="Q231" s="315"/>
      <c r="R231" s="315"/>
      <c r="S231" s="55"/>
      <c r="T231" s="55"/>
      <c r="U231" s="55"/>
      <c r="V231" s="55"/>
      <c r="W231" s="55"/>
      <c r="X231" s="55"/>
      <c r="Y231" s="55"/>
      <c r="Z231" s="55"/>
      <c r="AA231" s="55"/>
      <c r="AB231" s="55"/>
      <c r="AC231" s="55"/>
      <c r="AD231" s="55"/>
      <c r="AE231" s="55"/>
      <c r="AF231" s="55"/>
      <c r="AG231" s="55"/>
      <c r="AH231" s="55"/>
      <c r="AI231" s="55"/>
      <c r="AJ231" s="55"/>
      <c r="AK231" s="55"/>
      <c r="AL231" s="55"/>
      <c r="AM231" s="55"/>
      <c r="AN231" s="55"/>
      <c r="AO231" s="55"/>
      <c r="AP231" s="55"/>
      <c r="AQ231" s="55"/>
      <c r="AR231" s="55"/>
      <c r="AS231" s="55"/>
      <c r="AT231" s="55"/>
      <c r="AU231" s="55"/>
      <c r="AV231" s="55"/>
      <c r="AW231" s="55"/>
      <c r="AX231" s="55"/>
      <c r="AY231" s="55"/>
      <c r="AZ231" s="55"/>
      <c r="BA231" s="55"/>
      <c r="BB231" s="55"/>
      <c r="BC231" s="55"/>
      <c r="BD231" s="55"/>
      <c r="BE231" s="55"/>
      <c r="BF231" s="55"/>
      <c r="BG231" s="55"/>
      <c r="BH231" s="55"/>
      <c r="BI231" s="55"/>
      <c r="BJ231" s="55"/>
      <c r="BK231" s="55"/>
      <c r="BL231" s="55"/>
      <c r="BM231" s="55"/>
      <c r="BN231" s="55"/>
      <c r="BO231" s="55"/>
      <c r="BP231" s="55"/>
      <c r="BQ231" s="55"/>
      <c r="BR231" s="55"/>
      <c r="BS231" s="55"/>
      <c r="BT231" s="55"/>
      <c r="BU231" s="55"/>
      <c r="BV231" s="55"/>
      <c r="BW231" s="55"/>
      <c r="BX231" s="55"/>
      <c r="BY231" s="55"/>
      <c r="BZ231" s="55"/>
      <c r="CA231" s="55"/>
      <c r="CB231" s="55"/>
      <c r="CC231" s="55"/>
      <c r="CD231" s="55"/>
      <c r="CE231" s="55"/>
      <c r="CF231" s="55"/>
      <c r="CG231" s="55"/>
      <c r="CH231" s="55"/>
      <c r="CI231" s="55"/>
      <c r="CJ231" s="55"/>
      <c r="CK231" s="55"/>
      <c r="CL231" s="55"/>
      <c r="CM231" s="55"/>
      <c r="CN231" s="55"/>
      <c r="CO231" s="55"/>
      <c r="CP231" s="55"/>
      <c r="CQ231" s="55"/>
      <c r="CR231" s="55"/>
      <c r="CS231" s="55"/>
      <c r="CT231" s="55"/>
      <c r="CU231" s="55"/>
      <c r="CV231" s="55"/>
      <c r="CW231" s="55"/>
      <c r="CX231" s="55"/>
      <c r="CY231" s="55"/>
      <c r="CZ231" s="55"/>
      <c r="DA231" s="55"/>
      <c r="DB231" s="55"/>
      <c r="DC231" s="55"/>
      <c r="DD231" s="55"/>
      <c r="DE231" s="55"/>
      <c r="DF231" s="55"/>
      <c r="DG231" s="55"/>
      <c r="DH231" s="55"/>
      <c r="DI231" s="55"/>
    </row>
    <row r="232" spans="1:113" x14ac:dyDescent="0.25">
      <c r="A232" s="152">
        <v>3</v>
      </c>
      <c r="B232" s="222" t="s">
        <v>390</v>
      </c>
      <c r="C232" s="80">
        <v>19000</v>
      </c>
      <c r="D232" s="142">
        <f>82.22*6+3135</f>
        <v>3628.32</v>
      </c>
      <c r="E232" s="43">
        <v>25</v>
      </c>
      <c r="F232" s="60"/>
      <c r="G232" s="139">
        <f t="shared" si="47"/>
        <v>25</v>
      </c>
      <c r="H232" s="55"/>
      <c r="I232" s="56">
        <f t="shared" si="48"/>
        <v>25</v>
      </c>
      <c r="J232" s="56">
        <f t="shared" si="49"/>
        <v>475000</v>
      </c>
      <c r="K232" s="57">
        <f t="shared" si="50"/>
        <v>90708</v>
      </c>
      <c r="L232"/>
      <c r="M232" s="314">
        <f t="shared" si="46"/>
        <v>0</v>
      </c>
      <c r="N232" s="310"/>
      <c r="O232" s="315"/>
      <c r="P232" s="315"/>
      <c r="Q232" s="315"/>
      <c r="R232" s="315"/>
      <c r="S232" s="55"/>
      <c r="T232" s="55"/>
      <c r="U232" s="55"/>
      <c r="V232" s="55"/>
      <c r="W232" s="55"/>
      <c r="X232" s="55"/>
      <c r="Y232" s="55"/>
      <c r="Z232" s="55"/>
      <c r="AA232" s="55"/>
      <c r="AB232" s="55"/>
      <c r="AC232" s="55"/>
      <c r="AD232" s="55"/>
      <c r="AE232" s="55"/>
      <c r="AF232" s="55"/>
      <c r="AG232" s="55"/>
      <c r="AH232" s="55"/>
      <c r="AI232" s="55"/>
      <c r="AJ232" s="55"/>
      <c r="AK232" s="55"/>
      <c r="AL232" s="55"/>
      <c r="AM232" s="55"/>
      <c r="AN232" s="55"/>
      <c r="AO232" s="55"/>
      <c r="AP232" s="55"/>
      <c r="AQ232" s="55"/>
      <c r="AR232" s="55"/>
      <c r="AS232" s="55"/>
      <c r="AT232" s="55"/>
      <c r="AU232" s="55"/>
      <c r="AV232" s="55"/>
      <c r="AW232" s="55"/>
      <c r="AX232" s="55"/>
      <c r="AY232" s="55"/>
      <c r="AZ232" s="55"/>
      <c r="BA232" s="55"/>
      <c r="BB232" s="55"/>
      <c r="BC232" s="55"/>
      <c r="BD232" s="55"/>
      <c r="BE232" s="55"/>
      <c r="BF232" s="55"/>
      <c r="BG232" s="55"/>
      <c r="BH232" s="55"/>
      <c r="BI232" s="55"/>
      <c r="BJ232" s="55"/>
      <c r="BK232" s="55"/>
      <c r="BL232" s="55"/>
      <c r="BM232" s="55"/>
      <c r="BN232" s="55"/>
      <c r="BO232" s="55"/>
      <c r="BP232" s="55"/>
      <c r="BQ232" s="55"/>
      <c r="BR232" s="55"/>
      <c r="BS232" s="55"/>
      <c r="BT232" s="55"/>
      <c r="BU232" s="55"/>
      <c r="BV232" s="55"/>
      <c r="BW232" s="55"/>
      <c r="BX232" s="55"/>
      <c r="BY232" s="55"/>
      <c r="BZ232" s="55"/>
      <c r="CA232" s="55"/>
      <c r="CB232" s="55"/>
      <c r="CC232" s="55"/>
      <c r="CD232" s="55"/>
      <c r="CE232" s="55"/>
      <c r="CF232" s="55"/>
      <c r="CG232" s="55"/>
      <c r="CH232" s="55"/>
      <c r="CI232" s="55"/>
      <c r="CJ232" s="55"/>
      <c r="CK232" s="55"/>
      <c r="CL232" s="55"/>
      <c r="CM232" s="55"/>
      <c r="CN232" s="55"/>
      <c r="CO232" s="55"/>
      <c r="CP232" s="55"/>
      <c r="CQ232" s="55"/>
      <c r="CR232" s="55"/>
      <c r="CS232" s="55"/>
      <c r="CT232" s="55"/>
      <c r="CU232" s="55"/>
      <c r="CV232" s="55"/>
      <c r="CW232" s="55"/>
      <c r="CX232" s="55"/>
      <c r="CY232" s="55"/>
      <c r="CZ232" s="55"/>
      <c r="DA232" s="55"/>
      <c r="DB232" s="55"/>
      <c r="DC232" s="55"/>
      <c r="DD232" s="55"/>
      <c r="DE232" s="55"/>
      <c r="DF232" s="55"/>
      <c r="DG232" s="55"/>
      <c r="DH232" s="55"/>
      <c r="DI232" s="55"/>
    </row>
    <row r="233" spans="1:113" x14ac:dyDescent="0.25">
      <c r="A233" s="152">
        <v>4</v>
      </c>
      <c r="B233" s="222" t="s">
        <v>391</v>
      </c>
      <c r="C233" s="80">
        <v>14000</v>
      </c>
      <c r="D233" s="142">
        <f>3135+582.69+582.69</f>
        <v>4300.38</v>
      </c>
      <c r="E233" s="43">
        <v>25</v>
      </c>
      <c r="F233" s="60"/>
      <c r="G233" s="139">
        <f t="shared" si="47"/>
        <v>25</v>
      </c>
      <c r="H233" s="55"/>
      <c r="I233" s="56">
        <f t="shared" si="48"/>
        <v>25</v>
      </c>
      <c r="J233" s="56">
        <f t="shared" si="49"/>
        <v>350000</v>
      </c>
      <c r="K233" s="57">
        <f t="shared" si="50"/>
        <v>107509.5</v>
      </c>
      <c r="L233"/>
      <c r="M233" s="314">
        <f t="shared" si="46"/>
        <v>0</v>
      </c>
      <c r="N233" s="310"/>
      <c r="O233" s="315"/>
      <c r="P233" s="315"/>
      <c r="Q233" s="315"/>
      <c r="R233" s="315"/>
      <c r="S233" s="55"/>
      <c r="T233" s="55"/>
      <c r="U233" s="55"/>
      <c r="V233" s="55"/>
      <c r="W233" s="55"/>
      <c r="X233" s="55"/>
      <c r="Y233" s="55"/>
      <c r="Z233" s="55"/>
      <c r="AA233" s="55"/>
      <c r="AB233" s="55"/>
      <c r="AC233" s="55"/>
      <c r="AD233" s="55"/>
      <c r="AE233" s="55"/>
      <c r="AF233" s="55"/>
      <c r="AG233" s="55"/>
      <c r="AH233" s="55"/>
      <c r="AI233" s="55"/>
      <c r="AJ233" s="55"/>
      <c r="AK233" s="55"/>
      <c r="AL233" s="55"/>
      <c r="AM233" s="55"/>
      <c r="AN233" s="55"/>
      <c r="AO233" s="55"/>
      <c r="AP233" s="55"/>
      <c r="AQ233" s="55"/>
      <c r="AR233" s="55"/>
      <c r="AS233" s="55"/>
      <c r="AT233" s="55"/>
      <c r="AU233" s="55"/>
      <c r="AV233" s="55"/>
      <c r="AW233" s="55"/>
      <c r="AX233" s="55"/>
      <c r="AY233" s="55"/>
      <c r="AZ233" s="55"/>
      <c r="BA233" s="55"/>
      <c r="BB233" s="55"/>
      <c r="BC233" s="55"/>
      <c r="BD233" s="55"/>
      <c r="BE233" s="55"/>
      <c r="BF233" s="55"/>
      <c r="BG233" s="55"/>
      <c r="BH233" s="55"/>
      <c r="BI233" s="55"/>
      <c r="BJ233" s="55"/>
      <c r="BK233" s="55"/>
      <c r="BL233" s="55"/>
      <c r="BM233" s="55"/>
      <c r="BN233" s="55"/>
      <c r="BO233" s="55"/>
      <c r="BP233" s="55"/>
      <c r="BQ233" s="55"/>
      <c r="BR233" s="55"/>
      <c r="BS233" s="55"/>
      <c r="BT233" s="55"/>
      <c r="BU233" s="55"/>
      <c r="BV233" s="55"/>
      <c r="BW233" s="55"/>
      <c r="BX233" s="55"/>
      <c r="BY233" s="55"/>
      <c r="BZ233" s="55"/>
      <c r="CA233" s="55"/>
      <c r="CB233" s="55"/>
      <c r="CC233" s="55"/>
      <c r="CD233" s="55"/>
      <c r="CE233" s="55"/>
      <c r="CF233" s="55"/>
      <c r="CG233" s="55"/>
      <c r="CH233" s="55"/>
      <c r="CI233" s="55"/>
      <c r="CJ233" s="55"/>
      <c r="CK233" s="55"/>
      <c r="CL233" s="55"/>
      <c r="CM233" s="55"/>
      <c r="CN233" s="55"/>
      <c r="CO233" s="55"/>
      <c r="CP233" s="55"/>
      <c r="CQ233" s="55"/>
      <c r="CR233" s="55"/>
      <c r="CS233" s="55"/>
      <c r="CT233" s="55"/>
      <c r="CU233" s="55"/>
      <c r="CV233" s="55"/>
      <c r="CW233" s="55"/>
      <c r="CX233" s="55"/>
      <c r="CY233" s="55"/>
      <c r="CZ233" s="55"/>
      <c r="DA233" s="55"/>
      <c r="DB233" s="55"/>
      <c r="DC233" s="55"/>
      <c r="DD233" s="55"/>
      <c r="DE233" s="55"/>
      <c r="DF233" s="55"/>
      <c r="DG233" s="55"/>
      <c r="DH233" s="55"/>
      <c r="DI233" s="55"/>
    </row>
    <row r="234" spans="1:113" x14ac:dyDescent="0.25">
      <c r="A234" s="152">
        <v>5</v>
      </c>
      <c r="B234" s="60" t="s">
        <v>392</v>
      </c>
      <c r="C234" s="80">
        <v>8000</v>
      </c>
      <c r="D234" s="142">
        <f>1760+4*176.31</f>
        <v>2465.2399999999998</v>
      </c>
      <c r="E234" s="43">
        <v>125</v>
      </c>
      <c r="F234" s="60"/>
      <c r="G234" s="139">
        <f t="shared" si="47"/>
        <v>125</v>
      </c>
      <c r="H234" s="55"/>
      <c r="I234" s="56">
        <f t="shared" si="48"/>
        <v>125</v>
      </c>
      <c r="J234" s="56">
        <f t="shared" si="49"/>
        <v>1000000</v>
      </c>
      <c r="K234" s="57">
        <f t="shared" si="50"/>
        <v>308155</v>
      </c>
      <c r="L234"/>
      <c r="M234" s="314">
        <f t="shared" si="46"/>
        <v>0</v>
      </c>
      <c r="N234" s="310"/>
      <c r="O234" s="315"/>
      <c r="P234" s="315"/>
      <c r="Q234" s="315"/>
      <c r="R234" s="315"/>
      <c r="S234" s="55"/>
      <c r="T234" s="55"/>
      <c r="U234" s="55"/>
      <c r="V234" s="55"/>
      <c r="W234" s="55"/>
      <c r="X234" s="55"/>
      <c r="Y234" s="55"/>
      <c r="Z234" s="55"/>
      <c r="AA234" s="55"/>
      <c r="AB234" s="55"/>
      <c r="AC234" s="55"/>
      <c r="AD234" s="55"/>
      <c r="AE234" s="55"/>
      <c r="AF234" s="55"/>
      <c r="AG234" s="55"/>
      <c r="AH234" s="55"/>
      <c r="AI234" s="55"/>
      <c r="AJ234" s="55"/>
      <c r="AK234" s="55"/>
      <c r="AL234" s="55"/>
      <c r="AM234" s="55"/>
      <c r="AN234" s="55"/>
      <c r="AO234" s="55"/>
      <c r="AP234" s="55"/>
      <c r="AQ234" s="55"/>
      <c r="AR234" s="55"/>
      <c r="AS234" s="55"/>
      <c r="AT234" s="55"/>
      <c r="AU234" s="55"/>
      <c r="AV234" s="55"/>
      <c r="AW234" s="55"/>
      <c r="AX234" s="55"/>
      <c r="AY234" s="55"/>
      <c r="AZ234" s="55"/>
      <c r="BA234" s="55"/>
      <c r="BB234" s="55"/>
      <c r="BC234" s="55"/>
      <c r="BD234" s="55"/>
      <c r="BE234" s="55"/>
      <c r="BF234" s="55"/>
      <c r="BG234" s="55"/>
      <c r="BH234" s="55"/>
      <c r="BI234" s="55"/>
      <c r="BJ234" s="55"/>
      <c r="BK234" s="55"/>
      <c r="BL234" s="55"/>
      <c r="BM234" s="55"/>
      <c r="BN234" s="55"/>
      <c r="BO234" s="55"/>
      <c r="BP234" s="55"/>
      <c r="BQ234" s="55"/>
      <c r="BR234" s="55"/>
      <c r="BS234" s="55"/>
      <c r="BT234" s="55"/>
      <c r="BU234" s="55"/>
      <c r="BV234" s="55"/>
      <c r="BW234" s="55"/>
      <c r="BX234" s="55"/>
      <c r="BY234" s="55"/>
      <c r="BZ234" s="55"/>
      <c r="CA234" s="55"/>
      <c r="CB234" s="55"/>
      <c r="CC234" s="55"/>
      <c r="CD234" s="55"/>
      <c r="CE234" s="55"/>
      <c r="CF234" s="55"/>
      <c r="CG234" s="55"/>
      <c r="CH234" s="55"/>
      <c r="CI234" s="55"/>
      <c r="CJ234" s="55"/>
      <c r="CK234" s="55"/>
      <c r="CL234" s="55"/>
      <c r="CM234" s="55"/>
      <c r="CN234" s="55"/>
      <c r="CO234" s="55"/>
      <c r="CP234" s="55"/>
      <c r="CQ234" s="55"/>
      <c r="CR234" s="55"/>
      <c r="CS234" s="55"/>
      <c r="CT234" s="55"/>
      <c r="CU234" s="55"/>
      <c r="CV234" s="55"/>
      <c r="CW234" s="55"/>
      <c r="CX234" s="55"/>
      <c r="CY234" s="55"/>
      <c r="CZ234" s="55"/>
      <c r="DA234" s="55"/>
      <c r="DB234" s="55"/>
      <c r="DC234" s="55"/>
      <c r="DD234" s="55"/>
      <c r="DE234" s="55"/>
      <c r="DF234" s="55"/>
      <c r="DG234" s="55"/>
      <c r="DH234" s="55"/>
      <c r="DI234" s="55"/>
    </row>
    <row r="235" spans="1:113" x14ac:dyDescent="0.25">
      <c r="A235" s="152">
        <v>6</v>
      </c>
      <c r="B235" s="60" t="s">
        <v>318</v>
      </c>
      <c r="C235" s="80">
        <v>6500</v>
      </c>
      <c r="D235" s="142">
        <f>131.72*3+1760</f>
        <v>2155.16</v>
      </c>
      <c r="E235" s="43">
        <v>135</v>
      </c>
      <c r="F235" s="60"/>
      <c r="G235" s="139">
        <f t="shared" si="47"/>
        <v>135</v>
      </c>
      <c r="H235" s="55"/>
      <c r="I235" s="56">
        <f t="shared" si="48"/>
        <v>135</v>
      </c>
      <c r="J235" s="56">
        <f t="shared" si="49"/>
        <v>877500</v>
      </c>
      <c r="K235" s="57">
        <f t="shared" si="50"/>
        <v>290946.59999999998</v>
      </c>
      <c r="L235"/>
      <c r="M235" s="314">
        <f t="shared" si="46"/>
        <v>0</v>
      </c>
      <c r="N235" s="310"/>
      <c r="O235" s="315"/>
      <c r="P235" s="315"/>
      <c r="Q235" s="315"/>
      <c r="R235" s="315"/>
      <c r="S235" s="55"/>
      <c r="T235" s="55"/>
      <c r="U235" s="55"/>
      <c r="V235" s="55"/>
      <c r="W235" s="55"/>
      <c r="X235" s="55"/>
      <c r="Y235" s="55"/>
      <c r="Z235" s="55"/>
      <c r="AA235" s="55"/>
      <c r="AB235" s="55"/>
      <c r="AC235" s="55"/>
      <c r="AD235" s="55"/>
      <c r="AE235" s="55"/>
      <c r="AF235" s="55"/>
      <c r="AG235" s="55"/>
      <c r="AH235" s="55"/>
      <c r="AI235" s="55"/>
      <c r="AJ235" s="55"/>
      <c r="AK235" s="55"/>
      <c r="AL235" s="55"/>
      <c r="AM235" s="55"/>
      <c r="AN235" s="55"/>
      <c r="AO235" s="55"/>
      <c r="AP235" s="55"/>
      <c r="AQ235" s="55"/>
      <c r="AR235" s="55"/>
      <c r="AS235" s="55"/>
      <c r="AT235" s="55"/>
      <c r="AU235" s="55"/>
      <c r="AV235" s="55"/>
      <c r="AW235" s="55"/>
      <c r="AX235" s="55"/>
      <c r="AY235" s="55"/>
      <c r="AZ235" s="55"/>
      <c r="BA235" s="55"/>
      <c r="BB235" s="55"/>
      <c r="BC235" s="55"/>
      <c r="BD235" s="55"/>
      <c r="BE235" s="55"/>
      <c r="BF235" s="55"/>
      <c r="BG235" s="55"/>
      <c r="BH235" s="55"/>
      <c r="BI235" s="55"/>
      <c r="BJ235" s="55"/>
      <c r="BK235" s="55"/>
      <c r="BL235" s="55"/>
      <c r="BM235" s="55"/>
      <c r="BN235" s="55"/>
      <c r="BO235" s="55"/>
      <c r="BP235" s="55"/>
      <c r="BQ235" s="55"/>
      <c r="BR235" s="55"/>
      <c r="BS235" s="55"/>
      <c r="BT235" s="55"/>
      <c r="BU235" s="55"/>
      <c r="BV235" s="55"/>
      <c r="BW235" s="55"/>
      <c r="BX235" s="55"/>
      <c r="BY235" s="55"/>
      <c r="BZ235" s="55"/>
      <c r="CA235" s="55"/>
      <c r="CB235" s="55"/>
      <c r="CC235" s="55"/>
      <c r="CD235" s="55"/>
      <c r="CE235" s="55"/>
      <c r="CF235" s="55"/>
      <c r="CG235" s="55"/>
      <c r="CH235" s="55"/>
      <c r="CI235" s="55"/>
      <c r="CJ235" s="55"/>
      <c r="CK235" s="55"/>
      <c r="CL235" s="55"/>
      <c r="CM235" s="55"/>
      <c r="CN235" s="55"/>
      <c r="CO235" s="55"/>
      <c r="CP235" s="55"/>
      <c r="CQ235" s="55"/>
      <c r="CR235" s="55"/>
      <c r="CS235" s="55"/>
      <c r="CT235" s="55"/>
      <c r="CU235" s="55"/>
      <c r="CV235" s="55"/>
      <c r="CW235" s="55"/>
      <c r="CX235" s="55"/>
      <c r="CY235" s="55"/>
      <c r="CZ235" s="55"/>
      <c r="DA235" s="55"/>
      <c r="DB235" s="55"/>
      <c r="DC235" s="55"/>
      <c r="DD235" s="55"/>
      <c r="DE235" s="55"/>
      <c r="DF235" s="55"/>
      <c r="DG235" s="55"/>
      <c r="DH235" s="55"/>
      <c r="DI235" s="55"/>
    </row>
    <row r="236" spans="1:113" x14ac:dyDescent="0.25">
      <c r="A236" s="152">
        <v>7</v>
      </c>
      <c r="B236" s="60" t="s">
        <v>393</v>
      </c>
      <c r="C236" s="80">
        <v>7000</v>
      </c>
      <c r="D236" s="142">
        <f>539.53+1760</f>
        <v>2299.5299999999997</v>
      </c>
      <c r="E236" s="43">
        <v>135</v>
      </c>
      <c r="F236" s="60"/>
      <c r="G236" s="139">
        <f t="shared" si="47"/>
        <v>135</v>
      </c>
      <c r="H236" s="55"/>
      <c r="I236" s="56">
        <f t="shared" si="48"/>
        <v>135</v>
      </c>
      <c r="J236" s="56">
        <f t="shared" si="49"/>
        <v>945000</v>
      </c>
      <c r="K236" s="57">
        <f t="shared" si="50"/>
        <v>310436.55</v>
      </c>
      <c r="L236"/>
      <c r="M236" s="314">
        <f t="shared" si="46"/>
        <v>0</v>
      </c>
      <c r="N236" s="310"/>
      <c r="O236" s="315"/>
      <c r="P236" s="315"/>
      <c r="Q236" s="315"/>
      <c r="R236" s="315"/>
      <c r="S236" s="55"/>
      <c r="T236" s="55"/>
      <c r="U236" s="55"/>
      <c r="V236" s="55"/>
      <c r="W236" s="55"/>
      <c r="X236" s="55"/>
      <c r="Y236" s="55"/>
      <c r="Z236" s="55"/>
      <c r="AA236" s="55"/>
      <c r="AB236" s="55"/>
      <c r="AC236" s="55"/>
      <c r="AD236" s="55"/>
      <c r="AE236" s="55"/>
      <c r="AF236" s="55"/>
      <c r="AG236" s="55"/>
      <c r="AH236" s="55"/>
      <c r="AI236" s="55"/>
      <c r="AJ236" s="55"/>
      <c r="AK236" s="55"/>
      <c r="AL236" s="55"/>
      <c r="AM236" s="55"/>
      <c r="AN236" s="55"/>
      <c r="AO236" s="55"/>
      <c r="AP236" s="55"/>
      <c r="AQ236" s="55"/>
      <c r="AR236" s="55"/>
      <c r="AS236" s="55"/>
      <c r="AT236" s="55"/>
      <c r="AU236" s="55"/>
      <c r="AV236" s="55"/>
      <c r="AW236" s="55"/>
      <c r="AX236" s="55"/>
      <c r="AY236" s="55"/>
      <c r="AZ236" s="55"/>
      <c r="BA236" s="55"/>
      <c r="BB236" s="55"/>
      <c r="BC236" s="55"/>
      <c r="BD236" s="55"/>
      <c r="BE236" s="55"/>
      <c r="BF236" s="55"/>
      <c r="BG236" s="55"/>
      <c r="BH236" s="55"/>
      <c r="BI236" s="55"/>
      <c r="BJ236" s="55"/>
      <c r="BK236" s="55"/>
      <c r="BL236" s="55"/>
      <c r="BM236" s="55"/>
      <c r="BN236" s="55"/>
      <c r="BO236" s="55"/>
      <c r="BP236" s="55"/>
      <c r="BQ236" s="55"/>
      <c r="BR236" s="55"/>
      <c r="BS236" s="55"/>
      <c r="BT236" s="55"/>
      <c r="BU236" s="55"/>
      <c r="BV236" s="55"/>
      <c r="BW236" s="55"/>
      <c r="BX236" s="55"/>
      <c r="BY236" s="55"/>
      <c r="BZ236" s="55"/>
      <c r="CA236" s="55"/>
      <c r="CB236" s="55"/>
      <c r="CC236" s="55"/>
      <c r="CD236" s="55"/>
      <c r="CE236" s="55"/>
      <c r="CF236" s="55"/>
      <c r="CG236" s="55"/>
      <c r="CH236" s="55"/>
      <c r="CI236" s="55"/>
      <c r="CJ236" s="55"/>
      <c r="CK236" s="55"/>
      <c r="CL236" s="55"/>
      <c r="CM236" s="55"/>
      <c r="CN236" s="55"/>
      <c r="CO236" s="55"/>
      <c r="CP236" s="55"/>
      <c r="CQ236" s="55"/>
      <c r="CR236" s="55"/>
      <c r="CS236" s="55"/>
      <c r="CT236" s="55"/>
      <c r="CU236" s="55"/>
      <c r="CV236" s="55"/>
      <c r="CW236" s="55"/>
      <c r="CX236" s="55"/>
      <c r="CY236" s="55"/>
      <c r="CZ236" s="55"/>
      <c r="DA236" s="55"/>
      <c r="DB236" s="55"/>
      <c r="DC236" s="55"/>
      <c r="DD236" s="55"/>
      <c r="DE236" s="55"/>
      <c r="DF236" s="55"/>
      <c r="DG236" s="55"/>
      <c r="DH236" s="55"/>
      <c r="DI236" s="55"/>
    </row>
    <row r="237" spans="1:113" x14ac:dyDescent="0.25">
      <c r="A237" s="152">
        <v>8</v>
      </c>
      <c r="B237" s="60" t="s">
        <v>394</v>
      </c>
      <c r="C237" s="80">
        <v>6500</v>
      </c>
      <c r="D237" s="142">
        <f>1760+3*170.53</f>
        <v>2271.59</v>
      </c>
      <c r="E237" s="43">
        <v>50</v>
      </c>
      <c r="F237" s="60"/>
      <c r="G237" s="139">
        <f t="shared" si="47"/>
        <v>50</v>
      </c>
      <c r="H237" s="55"/>
      <c r="I237" s="56">
        <f t="shared" si="48"/>
        <v>50</v>
      </c>
      <c r="J237" s="56">
        <f t="shared" si="49"/>
        <v>325000</v>
      </c>
      <c r="K237" s="57">
        <f t="shared" si="50"/>
        <v>113579.5</v>
      </c>
      <c r="L237"/>
      <c r="M237" s="314">
        <f t="shared" si="46"/>
        <v>0</v>
      </c>
      <c r="N237" s="310"/>
      <c r="O237" s="315"/>
      <c r="P237" s="315"/>
      <c r="Q237" s="315"/>
      <c r="R237" s="315"/>
      <c r="S237" s="55"/>
      <c r="T237" s="55"/>
      <c r="U237" s="55"/>
      <c r="V237" s="55"/>
      <c r="W237" s="55"/>
      <c r="X237" s="55"/>
      <c r="Y237" s="55"/>
      <c r="Z237" s="55"/>
      <c r="AA237" s="55"/>
      <c r="AB237" s="55"/>
      <c r="AC237" s="55"/>
      <c r="AD237" s="55"/>
      <c r="AE237" s="55"/>
      <c r="AF237" s="55"/>
      <c r="AG237" s="55"/>
      <c r="AH237" s="55"/>
      <c r="AI237" s="55"/>
      <c r="AJ237" s="55"/>
      <c r="AK237" s="55"/>
      <c r="AL237" s="55"/>
      <c r="AM237" s="55"/>
      <c r="AN237" s="55"/>
      <c r="AO237" s="55"/>
      <c r="AP237" s="55"/>
      <c r="AQ237" s="55"/>
      <c r="AR237" s="55"/>
      <c r="AS237" s="55"/>
      <c r="AT237" s="55"/>
      <c r="AU237" s="55"/>
      <c r="AV237" s="55"/>
      <c r="AW237" s="55"/>
      <c r="AX237" s="55"/>
      <c r="AY237" s="55"/>
      <c r="AZ237" s="55"/>
      <c r="BA237" s="55"/>
      <c r="BB237" s="55"/>
      <c r="BC237" s="55"/>
      <c r="BD237" s="55"/>
      <c r="BE237" s="55"/>
      <c r="BF237" s="55"/>
      <c r="BG237" s="55"/>
      <c r="BH237" s="55"/>
      <c r="BI237" s="55"/>
      <c r="BJ237" s="55"/>
      <c r="BK237" s="55"/>
      <c r="BL237" s="55"/>
      <c r="BM237" s="55"/>
      <c r="BN237" s="55"/>
      <c r="BO237" s="55"/>
      <c r="BP237" s="55"/>
      <c r="BQ237" s="55"/>
      <c r="BR237" s="55"/>
      <c r="BS237" s="55"/>
      <c r="BT237" s="55"/>
      <c r="BU237" s="55"/>
      <c r="BV237" s="55"/>
      <c r="BW237" s="55"/>
      <c r="BX237" s="55"/>
      <c r="BY237" s="55"/>
      <c r="BZ237" s="55"/>
      <c r="CA237" s="55"/>
      <c r="CB237" s="55"/>
      <c r="CC237" s="55"/>
      <c r="CD237" s="55"/>
      <c r="CE237" s="55"/>
      <c r="CF237" s="55"/>
      <c r="CG237" s="55"/>
      <c r="CH237" s="55"/>
      <c r="CI237" s="55"/>
      <c r="CJ237" s="55"/>
      <c r="CK237" s="55"/>
      <c r="CL237" s="55"/>
      <c r="CM237" s="55"/>
      <c r="CN237" s="55"/>
      <c r="CO237" s="55"/>
      <c r="CP237" s="55"/>
      <c r="CQ237" s="55"/>
      <c r="CR237" s="55"/>
      <c r="CS237" s="55"/>
      <c r="CT237" s="55"/>
      <c r="CU237" s="55"/>
      <c r="CV237" s="55"/>
      <c r="CW237" s="55"/>
      <c r="CX237" s="55"/>
      <c r="CY237" s="55"/>
      <c r="CZ237" s="55"/>
      <c r="DA237" s="55"/>
      <c r="DB237" s="55"/>
      <c r="DC237" s="55"/>
      <c r="DD237" s="55"/>
      <c r="DE237" s="55"/>
      <c r="DF237" s="55"/>
      <c r="DG237" s="55"/>
      <c r="DH237" s="55"/>
      <c r="DI237" s="55"/>
    </row>
    <row r="238" spans="1:113" x14ac:dyDescent="0.25">
      <c r="A238" s="152">
        <v>9</v>
      </c>
      <c r="B238" s="60" t="s">
        <v>395</v>
      </c>
      <c r="C238" s="80">
        <v>14000</v>
      </c>
      <c r="D238" s="142">
        <f>4400+1282.4</f>
        <v>5682.4</v>
      </c>
      <c r="E238" s="43">
        <v>110</v>
      </c>
      <c r="F238" s="60"/>
      <c r="G238" s="139">
        <f t="shared" si="47"/>
        <v>110</v>
      </c>
      <c r="H238" s="55"/>
      <c r="I238" s="56">
        <f t="shared" si="48"/>
        <v>110</v>
      </c>
      <c r="J238" s="56">
        <f t="shared" si="49"/>
        <v>1540000</v>
      </c>
      <c r="K238" s="57">
        <f t="shared" si="50"/>
        <v>625064</v>
      </c>
      <c r="L238"/>
      <c r="M238" s="314">
        <f t="shared" si="46"/>
        <v>0</v>
      </c>
      <c r="N238" s="310"/>
      <c r="O238" s="315"/>
      <c r="P238" s="315"/>
      <c r="Q238" s="315"/>
      <c r="R238" s="315"/>
      <c r="S238" s="55"/>
      <c r="T238" s="55"/>
      <c r="U238" s="55"/>
      <c r="V238" s="55"/>
      <c r="W238" s="55"/>
      <c r="X238" s="55"/>
      <c r="Y238" s="55"/>
      <c r="Z238" s="55"/>
      <c r="AA238" s="55"/>
      <c r="AB238" s="55"/>
      <c r="AC238" s="55"/>
      <c r="AD238" s="55"/>
      <c r="AE238" s="55"/>
      <c r="AF238" s="55"/>
      <c r="AG238" s="55"/>
      <c r="AH238" s="55"/>
      <c r="AI238" s="55"/>
      <c r="AJ238" s="55"/>
      <c r="AK238" s="55"/>
      <c r="AL238" s="55"/>
      <c r="AM238" s="55"/>
      <c r="AN238" s="55"/>
      <c r="AO238" s="55"/>
      <c r="AP238" s="55"/>
      <c r="AQ238" s="55"/>
      <c r="AR238" s="55"/>
      <c r="AS238" s="55"/>
      <c r="AT238" s="55"/>
      <c r="AU238" s="55"/>
      <c r="AV238" s="55"/>
      <c r="AW238" s="55"/>
      <c r="AX238" s="55"/>
      <c r="AY238" s="55"/>
      <c r="AZ238" s="55"/>
      <c r="BA238" s="55"/>
      <c r="BB238" s="55"/>
      <c r="BC238" s="55"/>
      <c r="BD238" s="55"/>
      <c r="BE238" s="55"/>
      <c r="BF238" s="55"/>
      <c r="BG238" s="55"/>
      <c r="BH238" s="55"/>
      <c r="BI238" s="55"/>
      <c r="BJ238" s="55"/>
      <c r="BK238" s="55"/>
      <c r="BL238" s="55"/>
      <c r="BM238" s="55"/>
      <c r="BN238" s="55"/>
      <c r="BO238" s="55"/>
      <c r="BP238" s="55"/>
      <c r="BQ238" s="55"/>
      <c r="BR238" s="55"/>
      <c r="BS238" s="55"/>
      <c r="BT238" s="55"/>
      <c r="BU238" s="55"/>
      <c r="BV238" s="55"/>
      <c r="BW238" s="55"/>
      <c r="BX238" s="55"/>
      <c r="BY238" s="55"/>
      <c r="BZ238" s="55"/>
      <c r="CA238" s="55"/>
      <c r="CB238" s="55"/>
      <c r="CC238" s="55"/>
      <c r="CD238" s="55"/>
      <c r="CE238" s="55"/>
      <c r="CF238" s="55"/>
      <c r="CG238" s="55"/>
      <c r="CH238" s="55"/>
      <c r="CI238" s="55"/>
      <c r="CJ238" s="55"/>
      <c r="CK238" s="55"/>
      <c r="CL238" s="55"/>
      <c r="CM238" s="55"/>
      <c r="CN238" s="55"/>
      <c r="CO238" s="55"/>
      <c r="CP238" s="55"/>
      <c r="CQ238" s="55"/>
      <c r="CR238" s="55"/>
      <c r="CS238" s="55"/>
      <c r="CT238" s="55"/>
      <c r="CU238" s="55"/>
      <c r="CV238" s="55"/>
      <c r="CW238" s="55"/>
      <c r="CX238" s="55"/>
      <c r="CY238" s="55"/>
      <c r="CZ238" s="55"/>
      <c r="DA238" s="55"/>
      <c r="DB238" s="55"/>
      <c r="DC238" s="55"/>
      <c r="DD238" s="55"/>
      <c r="DE238" s="55"/>
      <c r="DF238" s="55"/>
      <c r="DG238" s="55"/>
      <c r="DH238" s="55"/>
      <c r="DI238" s="55"/>
    </row>
    <row r="239" spans="1:113" x14ac:dyDescent="0.25">
      <c r="A239" s="152">
        <v>10</v>
      </c>
      <c r="B239" s="60" t="s">
        <v>396</v>
      </c>
      <c r="C239" s="80">
        <v>5000</v>
      </c>
      <c r="D239" s="142">
        <f>192.39+2200</f>
        <v>2392.39</v>
      </c>
      <c r="E239" s="43">
        <v>25</v>
      </c>
      <c r="F239" s="60"/>
      <c r="G239" s="139">
        <f t="shared" si="47"/>
        <v>25</v>
      </c>
      <c r="H239" s="55"/>
      <c r="I239" s="56">
        <f t="shared" si="48"/>
        <v>25</v>
      </c>
      <c r="J239" s="56">
        <f t="shared" si="49"/>
        <v>125000</v>
      </c>
      <c r="K239" s="57">
        <f t="shared" si="50"/>
        <v>59809.75</v>
      </c>
      <c r="L239"/>
      <c r="M239" s="314">
        <f t="shared" si="46"/>
        <v>0</v>
      </c>
      <c r="N239" s="310"/>
      <c r="O239" s="315"/>
      <c r="P239" s="315"/>
      <c r="Q239" s="315"/>
      <c r="R239" s="315"/>
      <c r="S239" s="55"/>
      <c r="T239" s="55"/>
      <c r="U239" s="55"/>
      <c r="V239" s="55"/>
      <c r="W239" s="55"/>
      <c r="X239" s="55"/>
      <c r="Y239" s="55"/>
      <c r="Z239" s="55"/>
      <c r="AA239" s="55"/>
      <c r="AB239" s="55"/>
      <c r="AC239" s="55"/>
      <c r="AD239" s="55"/>
      <c r="AE239" s="55"/>
      <c r="AF239" s="55"/>
      <c r="AG239" s="55"/>
      <c r="AH239" s="55"/>
      <c r="AI239" s="55"/>
      <c r="AJ239" s="55"/>
      <c r="AK239" s="55"/>
      <c r="AL239" s="55"/>
      <c r="AM239" s="55"/>
      <c r="AN239" s="55"/>
      <c r="AO239" s="55"/>
      <c r="AP239" s="55"/>
      <c r="AQ239" s="55"/>
      <c r="AR239" s="55"/>
      <c r="AS239" s="55"/>
      <c r="AT239" s="55"/>
      <c r="AU239" s="55"/>
      <c r="AV239" s="55"/>
      <c r="AW239" s="55"/>
      <c r="AX239" s="55"/>
      <c r="AY239" s="55"/>
      <c r="AZ239" s="55"/>
      <c r="BA239" s="55"/>
      <c r="BB239" s="55"/>
      <c r="BC239" s="55"/>
      <c r="BD239" s="55"/>
      <c r="BE239" s="55"/>
      <c r="BF239" s="55"/>
      <c r="BG239" s="55"/>
      <c r="BH239" s="55"/>
      <c r="BI239" s="55"/>
      <c r="BJ239" s="55"/>
      <c r="BK239" s="55"/>
      <c r="BL239" s="55"/>
      <c r="BM239" s="55"/>
      <c r="BN239" s="55"/>
      <c r="BO239" s="55"/>
      <c r="BP239" s="55"/>
      <c r="BQ239" s="55"/>
      <c r="BR239" s="55"/>
      <c r="BS239" s="55"/>
      <c r="BT239" s="55"/>
      <c r="BU239" s="55"/>
      <c r="BV239" s="55"/>
      <c r="BW239" s="55"/>
      <c r="BX239" s="55"/>
      <c r="BY239" s="55"/>
      <c r="BZ239" s="55"/>
      <c r="CA239" s="55"/>
      <c r="CB239" s="55"/>
      <c r="CC239" s="55"/>
      <c r="CD239" s="55"/>
      <c r="CE239" s="55"/>
      <c r="CF239" s="55"/>
      <c r="CG239" s="55"/>
      <c r="CH239" s="55"/>
      <c r="CI239" s="55"/>
      <c r="CJ239" s="55"/>
      <c r="CK239" s="55"/>
      <c r="CL239" s="55"/>
      <c r="CM239" s="55"/>
      <c r="CN239" s="55"/>
      <c r="CO239" s="55"/>
      <c r="CP239" s="55"/>
      <c r="CQ239" s="55"/>
      <c r="CR239" s="55"/>
      <c r="CS239" s="55"/>
      <c r="CT239" s="55"/>
      <c r="CU239" s="55"/>
      <c r="CV239" s="55"/>
      <c r="CW239" s="55"/>
      <c r="CX239" s="55"/>
      <c r="CY239" s="55"/>
      <c r="CZ239" s="55"/>
      <c r="DA239" s="55"/>
      <c r="DB239" s="55"/>
      <c r="DC239" s="55"/>
      <c r="DD239" s="55"/>
      <c r="DE239" s="55"/>
      <c r="DF239" s="55"/>
      <c r="DG239" s="55"/>
      <c r="DH239" s="55"/>
      <c r="DI239" s="55"/>
    </row>
    <row r="240" spans="1:113" x14ac:dyDescent="0.25">
      <c r="A240" s="152">
        <v>11</v>
      </c>
      <c r="B240" s="221" t="s">
        <v>397</v>
      </c>
      <c r="C240" s="80">
        <v>7000</v>
      </c>
      <c r="D240" s="142">
        <f>328.16+3960</f>
        <v>4288.16</v>
      </c>
      <c r="E240" s="43">
        <v>0</v>
      </c>
      <c r="F240" s="60"/>
      <c r="G240" s="139">
        <f t="shared" si="47"/>
        <v>0</v>
      </c>
      <c r="H240" s="55">
        <f>15-15</f>
        <v>0</v>
      </c>
      <c r="I240" s="56">
        <f t="shared" si="48"/>
        <v>0</v>
      </c>
      <c r="J240" s="56">
        <f t="shared" si="49"/>
        <v>0</v>
      </c>
      <c r="K240" s="57">
        <f t="shared" si="50"/>
        <v>0</v>
      </c>
      <c r="L240"/>
      <c r="M240" s="314">
        <f t="shared" si="46"/>
        <v>0</v>
      </c>
      <c r="N240" s="310"/>
      <c r="O240" s="315"/>
      <c r="P240" s="315"/>
      <c r="Q240" s="315"/>
      <c r="R240" s="315"/>
      <c r="S240" s="55"/>
      <c r="T240" s="55"/>
      <c r="U240" s="55"/>
      <c r="V240" s="55"/>
      <c r="W240" s="55"/>
      <c r="X240" s="55"/>
      <c r="Y240" s="55"/>
      <c r="Z240" s="55"/>
      <c r="AA240" s="55"/>
      <c r="AB240" s="55"/>
      <c r="AC240" s="55"/>
      <c r="AD240" s="55"/>
      <c r="AE240" s="55"/>
      <c r="AF240" s="55"/>
      <c r="AG240" s="55"/>
      <c r="AH240" s="55"/>
      <c r="AI240" s="55"/>
      <c r="AJ240" s="55"/>
      <c r="AK240" s="55"/>
      <c r="AL240" s="55"/>
      <c r="AM240" s="55"/>
      <c r="AN240" s="55"/>
      <c r="AO240" s="55"/>
      <c r="AP240" s="55"/>
      <c r="AQ240" s="55"/>
      <c r="AR240" s="55"/>
      <c r="AS240" s="55"/>
      <c r="AT240" s="55"/>
      <c r="AU240" s="55"/>
      <c r="AV240" s="55"/>
      <c r="AW240" s="55"/>
      <c r="AX240" s="55"/>
      <c r="AY240" s="55"/>
      <c r="AZ240" s="55"/>
      <c r="BA240" s="55"/>
      <c r="BB240" s="55"/>
      <c r="BC240" s="55"/>
      <c r="BD240" s="55"/>
      <c r="BE240" s="55"/>
      <c r="BF240" s="55"/>
      <c r="BG240" s="55"/>
      <c r="BH240" s="55"/>
      <c r="BI240" s="55"/>
      <c r="BJ240" s="55"/>
      <c r="BK240" s="55"/>
      <c r="BL240" s="55"/>
      <c r="BM240" s="55"/>
      <c r="BN240" s="55"/>
      <c r="BO240" s="55"/>
      <c r="BP240" s="55"/>
      <c r="BQ240" s="55"/>
      <c r="BR240" s="55"/>
      <c r="BS240" s="55"/>
      <c r="BT240" s="55"/>
      <c r="BU240" s="55"/>
      <c r="BV240" s="55"/>
      <c r="BW240" s="55"/>
      <c r="BX240" s="55"/>
      <c r="BY240" s="55"/>
      <c r="BZ240" s="55"/>
      <c r="CA240" s="55"/>
      <c r="CB240" s="55"/>
      <c r="CC240" s="55"/>
      <c r="CD240" s="55"/>
      <c r="CE240" s="55"/>
      <c r="CF240" s="55"/>
      <c r="CG240" s="55"/>
      <c r="CH240" s="55"/>
      <c r="CI240" s="55"/>
      <c r="CJ240" s="55"/>
      <c r="CK240" s="55"/>
      <c r="CL240" s="55"/>
      <c r="CM240" s="55"/>
      <c r="CN240" s="55"/>
      <c r="CO240" s="55"/>
      <c r="CP240" s="55"/>
      <c r="CQ240" s="55"/>
      <c r="CR240" s="55"/>
      <c r="CS240" s="55"/>
      <c r="CT240" s="55"/>
      <c r="CU240" s="55"/>
      <c r="CV240" s="55"/>
      <c r="CW240" s="55"/>
      <c r="CX240" s="55"/>
      <c r="CY240" s="55"/>
      <c r="CZ240" s="55"/>
      <c r="DA240" s="55"/>
      <c r="DB240" s="55"/>
      <c r="DC240" s="55"/>
      <c r="DD240" s="55"/>
      <c r="DE240" s="55"/>
      <c r="DF240" s="55"/>
      <c r="DG240" s="55"/>
      <c r="DH240" s="55"/>
      <c r="DI240" s="55"/>
    </row>
    <row r="241" spans="1:113" x14ac:dyDescent="0.25">
      <c r="A241" s="152">
        <v>12</v>
      </c>
      <c r="B241" s="221" t="s">
        <v>398</v>
      </c>
      <c r="C241" s="80">
        <v>7000</v>
      </c>
      <c r="D241" s="142">
        <f>3960+735.57</f>
        <v>4695.57</v>
      </c>
      <c r="E241" s="43">
        <v>50</v>
      </c>
      <c r="F241" s="60"/>
      <c r="G241" s="139">
        <f t="shared" si="47"/>
        <v>50</v>
      </c>
      <c r="H241" s="55"/>
      <c r="I241" s="56">
        <f t="shared" si="48"/>
        <v>50</v>
      </c>
      <c r="J241" s="56">
        <f t="shared" si="49"/>
        <v>350000</v>
      </c>
      <c r="K241" s="57">
        <f t="shared" si="50"/>
        <v>234778.5</v>
      </c>
      <c r="L241"/>
      <c r="M241" s="314">
        <f t="shared" si="46"/>
        <v>0</v>
      </c>
      <c r="N241" s="310"/>
      <c r="O241" s="315"/>
      <c r="P241" s="315"/>
      <c r="Q241" s="315"/>
      <c r="R241" s="315"/>
      <c r="S241" s="55"/>
      <c r="T241" s="55"/>
      <c r="U241" s="55"/>
      <c r="V241" s="55"/>
      <c r="W241" s="55"/>
      <c r="X241" s="55"/>
      <c r="Y241" s="55"/>
      <c r="Z241" s="55"/>
      <c r="AA241" s="55"/>
      <c r="AB241" s="55"/>
      <c r="AC241" s="55"/>
      <c r="AD241" s="55"/>
      <c r="AE241" s="55"/>
      <c r="AF241" s="55"/>
      <c r="AG241" s="55"/>
      <c r="AH241" s="55"/>
      <c r="AI241" s="55"/>
      <c r="AJ241" s="55"/>
      <c r="AK241" s="55"/>
      <c r="AL241" s="55"/>
      <c r="AM241" s="55"/>
      <c r="AN241" s="55"/>
      <c r="AO241" s="55"/>
      <c r="AP241" s="55"/>
      <c r="AQ241" s="55"/>
      <c r="AR241" s="55"/>
      <c r="AS241" s="55"/>
      <c r="AT241" s="55"/>
      <c r="AU241" s="55"/>
      <c r="AV241" s="55"/>
      <c r="AW241" s="55"/>
      <c r="AX241" s="55"/>
      <c r="AY241" s="55"/>
      <c r="AZ241" s="55"/>
      <c r="BA241" s="55"/>
      <c r="BB241" s="55"/>
      <c r="BC241" s="55"/>
      <c r="BD241" s="55"/>
      <c r="BE241" s="55"/>
      <c r="BF241" s="55"/>
      <c r="BG241" s="55"/>
      <c r="BH241" s="55"/>
      <c r="BI241" s="55"/>
      <c r="BJ241" s="55"/>
      <c r="BK241" s="55"/>
      <c r="BL241" s="55"/>
      <c r="BM241" s="55"/>
      <c r="BN241" s="55"/>
      <c r="BO241" s="55"/>
      <c r="BP241" s="55"/>
      <c r="BQ241" s="55"/>
      <c r="BR241" s="55"/>
      <c r="BS241" s="55"/>
      <c r="BT241" s="55"/>
      <c r="BU241" s="55"/>
      <c r="BV241" s="55"/>
      <c r="BW241" s="55"/>
      <c r="BX241" s="55"/>
      <c r="BY241" s="55"/>
      <c r="BZ241" s="55"/>
      <c r="CA241" s="55"/>
      <c r="CB241" s="55"/>
      <c r="CC241" s="55"/>
      <c r="CD241" s="55"/>
      <c r="CE241" s="55"/>
      <c r="CF241" s="55"/>
      <c r="CG241" s="55"/>
      <c r="CH241" s="55"/>
      <c r="CI241" s="55"/>
      <c r="CJ241" s="55"/>
      <c r="CK241" s="55"/>
      <c r="CL241" s="55"/>
      <c r="CM241" s="55"/>
      <c r="CN241" s="55"/>
      <c r="CO241" s="55"/>
      <c r="CP241" s="55"/>
      <c r="CQ241" s="55"/>
      <c r="CR241" s="55"/>
      <c r="CS241" s="55"/>
      <c r="CT241" s="55"/>
      <c r="CU241" s="55"/>
      <c r="CV241" s="55"/>
      <c r="CW241" s="55"/>
      <c r="CX241" s="55"/>
      <c r="CY241" s="55"/>
      <c r="CZ241" s="55"/>
      <c r="DA241" s="55"/>
      <c r="DB241" s="55"/>
      <c r="DC241" s="55"/>
      <c r="DD241" s="55"/>
      <c r="DE241" s="55"/>
      <c r="DF241" s="55"/>
      <c r="DG241" s="55"/>
      <c r="DH241" s="55"/>
      <c r="DI241" s="55"/>
    </row>
    <row r="242" spans="1:113" x14ac:dyDescent="0.25">
      <c r="A242" s="152">
        <v>13</v>
      </c>
      <c r="B242" s="60" t="s">
        <v>399</v>
      </c>
      <c r="C242" s="80">
        <v>5000</v>
      </c>
      <c r="D242" s="142">
        <v>1842.39</v>
      </c>
      <c r="E242" s="43">
        <v>0</v>
      </c>
      <c r="F242" s="60"/>
      <c r="G242" s="139">
        <f t="shared" si="47"/>
        <v>0</v>
      </c>
      <c r="H242" s="55">
        <f>10-10</f>
        <v>0</v>
      </c>
      <c r="I242" s="56">
        <f t="shared" si="48"/>
        <v>0</v>
      </c>
      <c r="J242" s="56">
        <f t="shared" si="49"/>
        <v>0</v>
      </c>
      <c r="K242" s="57">
        <f t="shared" si="50"/>
        <v>0</v>
      </c>
      <c r="L242"/>
      <c r="M242" s="314">
        <f t="shared" si="46"/>
        <v>0</v>
      </c>
      <c r="N242" s="310"/>
      <c r="O242" s="315"/>
      <c r="P242" s="315"/>
      <c r="Q242" s="315"/>
      <c r="R242" s="315"/>
      <c r="S242" s="55"/>
      <c r="T242" s="55"/>
      <c r="U242" s="55"/>
      <c r="V242" s="55"/>
      <c r="W242" s="55"/>
      <c r="X242" s="55"/>
      <c r="Y242" s="55"/>
      <c r="Z242" s="55"/>
      <c r="AA242" s="55"/>
      <c r="AB242" s="55"/>
      <c r="AC242" s="55"/>
      <c r="AD242" s="55"/>
      <c r="AE242" s="55"/>
      <c r="AF242" s="55"/>
      <c r="AG242" s="55"/>
      <c r="AH242" s="55"/>
      <c r="AI242" s="55"/>
      <c r="AJ242" s="55"/>
      <c r="AK242" s="55"/>
      <c r="AL242" s="55"/>
      <c r="AM242" s="55"/>
      <c r="AN242" s="55"/>
      <c r="AO242" s="55"/>
      <c r="AP242" s="55"/>
      <c r="AQ242" s="55"/>
      <c r="AR242" s="55"/>
      <c r="AS242" s="55"/>
      <c r="AT242" s="55"/>
      <c r="AU242" s="55"/>
      <c r="AV242" s="55"/>
      <c r="AW242" s="55"/>
      <c r="AX242" s="55"/>
      <c r="AY242" s="55"/>
      <c r="AZ242" s="55"/>
      <c r="BA242" s="55"/>
      <c r="BB242" s="55"/>
      <c r="BC242" s="55"/>
      <c r="BD242" s="55"/>
      <c r="BE242" s="55"/>
      <c r="BF242" s="55"/>
      <c r="BG242" s="55"/>
      <c r="BH242" s="55"/>
      <c r="BI242" s="55"/>
      <c r="BJ242" s="55"/>
      <c r="BK242" s="55"/>
      <c r="BL242" s="55"/>
      <c r="BM242" s="55"/>
      <c r="BN242" s="55"/>
      <c r="BO242" s="55"/>
      <c r="BP242" s="55"/>
      <c r="BQ242" s="55"/>
      <c r="BR242" s="55"/>
      <c r="BS242" s="55"/>
      <c r="BT242" s="55"/>
      <c r="BU242" s="55"/>
      <c r="BV242" s="55"/>
      <c r="BW242" s="55"/>
      <c r="BX242" s="55"/>
      <c r="BY242" s="55"/>
      <c r="BZ242" s="55"/>
      <c r="CA242" s="55"/>
      <c r="CB242" s="55"/>
      <c r="CC242" s="55"/>
      <c r="CD242" s="55"/>
      <c r="CE242" s="55"/>
      <c r="CF242" s="55"/>
      <c r="CG242" s="55"/>
      <c r="CH242" s="55"/>
      <c r="CI242" s="55"/>
      <c r="CJ242" s="55"/>
      <c r="CK242" s="55"/>
      <c r="CL242" s="55"/>
      <c r="CM242" s="55"/>
      <c r="CN242" s="55"/>
      <c r="CO242" s="55"/>
      <c r="CP242" s="55"/>
      <c r="CQ242" s="55"/>
      <c r="CR242" s="55"/>
      <c r="CS242" s="55"/>
      <c r="CT242" s="55"/>
      <c r="CU242" s="55"/>
      <c r="CV242" s="55"/>
      <c r="CW242" s="55"/>
      <c r="CX242" s="55"/>
      <c r="CY242" s="55"/>
      <c r="CZ242" s="55"/>
      <c r="DA242" s="55"/>
      <c r="DB242" s="55"/>
      <c r="DC242" s="55"/>
      <c r="DD242" s="55"/>
      <c r="DE242" s="55"/>
      <c r="DF242" s="55"/>
      <c r="DG242" s="55"/>
      <c r="DH242" s="55"/>
      <c r="DI242" s="55"/>
    </row>
    <row r="243" spans="1:113" x14ac:dyDescent="0.25">
      <c r="A243" s="152">
        <v>14</v>
      </c>
      <c r="B243" s="220" t="s">
        <v>400</v>
      </c>
      <c r="C243" s="80">
        <v>7000</v>
      </c>
      <c r="D243" s="142">
        <f>182.09*4+1760</f>
        <v>2488.36</v>
      </c>
      <c r="E243" s="43">
        <v>100</v>
      </c>
      <c r="F243" s="60"/>
      <c r="G243" s="139">
        <f t="shared" si="47"/>
        <v>100</v>
      </c>
      <c r="H243" s="55">
        <f>64-64</f>
        <v>0</v>
      </c>
      <c r="I243" s="56">
        <f t="shared" si="48"/>
        <v>100</v>
      </c>
      <c r="J243" s="56">
        <f t="shared" si="49"/>
        <v>700000</v>
      </c>
      <c r="K243" s="57">
        <f t="shared" si="50"/>
        <v>248836</v>
      </c>
      <c r="L243"/>
      <c r="M243" s="314">
        <f t="shared" si="46"/>
        <v>0</v>
      </c>
      <c r="N243" s="310"/>
      <c r="O243" s="315"/>
      <c r="P243" s="315"/>
      <c r="Q243" s="315"/>
      <c r="R243" s="315"/>
      <c r="S243" s="55"/>
      <c r="T243" s="55"/>
      <c r="U243" s="55"/>
      <c r="V243" s="55"/>
      <c r="W243" s="55"/>
      <c r="X243" s="55"/>
      <c r="Y243" s="55"/>
      <c r="Z243" s="55"/>
      <c r="AA243" s="55"/>
      <c r="AB243" s="55"/>
      <c r="AC243" s="55"/>
      <c r="AD243" s="55"/>
      <c r="AE243" s="55"/>
      <c r="AF243" s="55"/>
      <c r="AG243" s="55"/>
      <c r="AH243" s="55"/>
      <c r="AI243" s="55"/>
      <c r="AJ243" s="55"/>
      <c r="AK243" s="55"/>
      <c r="AL243" s="55"/>
      <c r="AM243" s="55"/>
      <c r="AN243" s="55"/>
      <c r="AO243" s="55"/>
      <c r="AP243" s="55"/>
      <c r="AQ243" s="55"/>
      <c r="AR243" s="55"/>
      <c r="AS243" s="55"/>
      <c r="AT243" s="55"/>
      <c r="AU243" s="55"/>
      <c r="AV243" s="55"/>
      <c r="AW243" s="55"/>
      <c r="AX243" s="55"/>
      <c r="AY243" s="55"/>
      <c r="AZ243" s="55"/>
      <c r="BA243" s="55"/>
      <c r="BB243" s="55"/>
      <c r="BC243" s="55"/>
      <c r="BD243" s="55"/>
      <c r="BE243" s="55"/>
      <c r="BF243" s="55"/>
      <c r="BG243" s="55"/>
      <c r="BH243" s="55"/>
      <c r="BI243" s="55"/>
      <c r="BJ243" s="55"/>
      <c r="BK243" s="55"/>
      <c r="BL243" s="55"/>
      <c r="BM243" s="55"/>
      <c r="BN243" s="55"/>
      <c r="BO243" s="55"/>
      <c r="BP243" s="55"/>
      <c r="BQ243" s="55"/>
      <c r="BR243" s="55"/>
      <c r="BS243" s="55"/>
      <c r="BT243" s="55"/>
      <c r="BU243" s="55"/>
      <c r="BV243" s="55"/>
      <c r="BW243" s="55"/>
      <c r="BX243" s="55"/>
      <c r="BY243" s="55"/>
      <c r="BZ243" s="55"/>
      <c r="CA243" s="55"/>
      <c r="CB243" s="55"/>
      <c r="CC243" s="55"/>
      <c r="CD243" s="55"/>
      <c r="CE243" s="55"/>
      <c r="CF243" s="55"/>
      <c r="CG243" s="55"/>
      <c r="CH243" s="55"/>
      <c r="CI243" s="55"/>
      <c r="CJ243" s="55"/>
      <c r="CK243" s="55"/>
      <c r="CL243" s="55"/>
      <c r="CM243" s="55"/>
      <c r="CN243" s="55"/>
      <c r="CO243" s="55"/>
      <c r="CP243" s="55"/>
      <c r="CQ243" s="55"/>
      <c r="CR243" s="55"/>
      <c r="CS243" s="55"/>
      <c r="CT243" s="55"/>
      <c r="CU243" s="55"/>
      <c r="CV243" s="55"/>
      <c r="CW243" s="55"/>
      <c r="CX243" s="55"/>
      <c r="CY243" s="55"/>
      <c r="CZ243" s="55"/>
      <c r="DA243" s="55"/>
      <c r="DB243" s="55"/>
      <c r="DC243" s="55"/>
      <c r="DD243" s="55"/>
      <c r="DE243" s="55"/>
      <c r="DF243" s="55"/>
      <c r="DG243" s="55"/>
      <c r="DH243" s="55"/>
      <c r="DI243" s="55"/>
    </row>
    <row r="244" spans="1:113" x14ac:dyDescent="0.25">
      <c r="A244" s="152">
        <v>15</v>
      </c>
      <c r="B244" s="220" t="s">
        <v>401</v>
      </c>
      <c r="C244" s="80">
        <v>7000</v>
      </c>
      <c r="D244" s="142">
        <f>634.7+1760</f>
        <v>2394.6999999999998</v>
      </c>
      <c r="E244" s="43">
        <v>165</v>
      </c>
      <c r="F244" s="60"/>
      <c r="G244" s="139">
        <f t="shared" si="47"/>
        <v>165</v>
      </c>
      <c r="H244" s="55"/>
      <c r="I244" s="56">
        <f t="shared" si="48"/>
        <v>165</v>
      </c>
      <c r="J244" s="56">
        <f t="shared" si="49"/>
        <v>1155000</v>
      </c>
      <c r="K244" s="57">
        <f t="shared" si="50"/>
        <v>395125.49999999994</v>
      </c>
      <c r="L244"/>
      <c r="M244" s="314">
        <f t="shared" si="46"/>
        <v>0</v>
      </c>
      <c r="N244" s="310"/>
      <c r="O244" s="315"/>
      <c r="P244" s="315"/>
      <c r="Q244" s="315"/>
      <c r="R244" s="315"/>
      <c r="S244" s="55"/>
      <c r="T244" s="55"/>
      <c r="U244" s="55"/>
      <c r="V244" s="55"/>
      <c r="W244" s="55"/>
      <c r="X244" s="55"/>
      <c r="Y244" s="55"/>
      <c r="Z244" s="55"/>
      <c r="AA244" s="55"/>
      <c r="AB244" s="55"/>
      <c r="AC244" s="55"/>
      <c r="AD244" s="55"/>
      <c r="AE244" s="55"/>
      <c r="AF244" s="55"/>
      <c r="AG244" s="55"/>
      <c r="AH244" s="55"/>
      <c r="AI244" s="55"/>
      <c r="AJ244" s="55"/>
      <c r="AK244" s="55"/>
      <c r="AL244" s="55"/>
      <c r="AM244" s="55"/>
      <c r="AN244" s="55"/>
      <c r="AO244" s="55"/>
      <c r="AP244" s="55"/>
      <c r="AQ244" s="55"/>
      <c r="AR244" s="55"/>
      <c r="AS244" s="55"/>
      <c r="AT244" s="55"/>
      <c r="AU244" s="55"/>
      <c r="AV244" s="55"/>
      <c r="AW244" s="55"/>
      <c r="AX244" s="55"/>
      <c r="AY244" s="55"/>
      <c r="AZ244" s="55"/>
      <c r="BA244" s="55"/>
      <c r="BB244" s="55"/>
      <c r="BC244" s="55"/>
      <c r="BD244" s="55"/>
      <c r="BE244" s="55"/>
      <c r="BF244" s="55"/>
      <c r="BG244" s="55"/>
      <c r="BH244" s="55"/>
      <c r="BI244" s="55"/>
      <c r="BJ244" s="55"/>
      <c r="BK244" s="55"/>
      <c r="BL244" s="55"/>
      <c r="BM244" s="55"/>
      <c r="BN244" s="55"/>
      <c r="BO244" s="55"/>
      <c r="BP244" s="55"/>
      <c r="BQ244" s="55"/>
      <c r="BR244" s="55"/>
      <c r="BS244" s="55"/>
      <c r="BT244" s="55"/>
      <c r="BU244" s="55"/>
      <c r="BV244" s="55"/>
      <c r="BW244" s="55"/>
      <c r="BX244" s="55"/>
      <c r="BY244" s="55"/>
      <c r="BZ244" s="55"/>
      <c r="CA244" s="55"/>
      <c r="CB244" s="55"/>
      <c r="CC244" s="55"/>
      <c r="CD244" s="55"/>
      <c r="CE244" s="55"/>
      <c r="CF244" s="55"/>
      <c r="CG244" s="55"/>
      <c r="CH244" s="55"/>
      <c r="CI244" s="55"/>
      <c r="CJ244" s="55"/>
      <c r="CK244" s="55"/>
      <c r="CL244" s="55"/>
      <c r="CM244" s="55"/>
      <c r="CN244" s="55"/>
      <c r="CO244" s="55"/>
      <c r="CP244" s="55"/>
      <c r="CQ244" s="55"/>
      <c r="CR244" s="55"/>
      <c r="CS244" s="55"/>
      <c r="CT244" s="55"/>
      <c r="CU244" s="55"/>
      <c r="CV244" s="55"/>
      <c r="CW244" s="55"/>
      <c r="CX244" s="55"/>
      <c r="CY244" s="55"/>
      <c r="CZ244" s="55"/>
      <c r="DA244" s="55"/>
      <c r="DB244" s="55"/>
      <c r="DC244" s="55"/>
      <c r="DD244" s="55"/>
      <c r="DE244" s="55"/>
      <c r="DF244" s="55"/>
      <c r="DG244" s="55"/>
      <c r="DH244" s="55"/>
      <c r="DI244" s="55"/>
    </row>
    <row r="245" spans="1:113" x14ac:dyDescent="0.25">
      <c r="A245" s="152">
        <v>16</v>
      </c>
      <c r="B245" s="220" t="s">
        <v>402</v>
      </c>
      <c r="C245" s="80">
        <v>8000</v>
      </c>
      <c r="D245" s="142">
        <f>136.57*2+2050</f>
        <v>2323.14</v>
      </c>
      <c r="E245" s="43">
        <v>50</v>
      </c>
      <c r="F245" s="60"/>
      <c r="G245" s="139">
        <f t="shared" si="47"/>
        <v>50</v>
      </c>
      <c r="H245" s="55"/>
      <c r="I245" s="56">
        <f t="shared" si="48"/>
        <v>50</v>
      </c>
      <c r="J245" s="56">
        <f t="shared" si="49"/>
        <v>400000</v>
      </c>
      <c r="K245" s="57">
        <f t="shared" si="50"/>
        <v>116157</v>
      </c>
      <c r="L245"/>
      <c r="M245" s="314">
        <f t="shared" si="46"/>
        <v>0</v>
      </c>
      <c r="N245" s="310"/>
      <c r="O245" s="315"/>
      <c r="P245" s="315"/>
      <c r="Q245" s="315"/>
      <c r="R245" s="315"/>
      <c r="S245" s="55"/>
      <c r="T245" s="55"/>
      <c r="U245" s="55"/>
      <c r="V245" s="55"/>
      <c r="W245" s="55"/>
      <c r="X245" s="55"/>
      <c r="Y245" s="55"/>
      <c r="Z245" s="55"/>
      <c r="AA245" s="55"/>
      <c r="AB245" s="55"/>
      <c r="AC245" s="55"/>
      <c r="AD245" s="55"/>
      <c r="AE245" s="55"/>
      <c r="AF245" s="55"/>
      <c r="AG245" s="55"/>
      <c r="AH245" s="55"/>
      <c r="AI245" s="55"/>
      <c r="AJ245" s="55"/>
      <c r="AK245" s="55"/>
      <c r="AL245" s="55"/>
      <c r="AM245" s="55"/>
      <c r="AN245" s="55"/>
      <c r="AO245" s="55"/>
      <c r="AP245" s="55"/>
      <c r="AQ245" s="55"/>
      <c r="AR245" s="55"/>
      <c r="AS245" s="55"/>
      <c r="AT245" s="55"/>
      <c r="AU245" s="55"/>
      <c r="AV245" s="55"/>
      <c r="AW245" s="55"/>
      <c r="AX245" s="55"/>
      <c r="AY245" s="55"/>
      <c r="AZ245" s="55"/>
      <c r="BA245" s="55"/>
      <c r="BB245" s="55"/>
      <c r="BC245" s="55"/>
      <c r="BD245" s="55"/>
      <c r="BE245" s="55"/>
      <c r="BF245" s="55"/>
      <c r="BG245" s="55"/>
      <c r="BH245" s="55"/>
      <c r="BI245" s="55"/>
      <c r="BJ245" s="55"/>
      <c r="BK245" s="55"/>
      <c r="BL245" s="55"/>
      <c r="BM245" s="55"/>
      <c r="BN245" s="55"/>
      <c r="BO245" s="55"/>
      <c r="BP245" s="55"/>
      <c r="BQ245" s="55"/>
      <c r="BR245" s="55"/>
      <c r="BS245" s="55"/>
      <c r="BT245" s="55"/>
      <c r="BU245" s="55"/>
      <c r="BV245" s="55"/>
      <c r="BW245" s="55"/>
      <c r="BX245" s="55"/>
      <c r="BY245" s="55"/>
      <c r="BZ245" s="55"/>
      <c r="CA245" s="55"/>
      <c r="CB245" s="55"/>
      <c r="CC245" s="55"/>
      <c r="CD245" s="55"/>
      <c r="CE245" s="55"/>
      <c r="CF245" s="55"/>
      <c r="CG245" s="55"/>
      <c r="CH245" s="55"/>
      <c r="CI245" s="55"/>
      <c r="CJ245" s="55"/>
      <c r="CK245" s="55"/>
      <c r="CL245" s="55"/>
      <c r="CM245" s="55"/>
      <c r="CN245" s="55"/>
      <c r="CO245" s="55"/>
      <c r="CP245" s="55"/>
      <c r="CQ245" s="55"/>
      <c r="CR245" s="55"/>
      <c r="CS245" s="55"/>
      <c r="CT245" s="55"/>
      <c r="CU245" s="55"/>
      <c r="CV245" s="55"/>
      <c r="CW245" s="55"/>
      <c r="CX245" s="55"/>
      <c r="CY245" s="55"/>
      <c r="CZ245" s="55"/>
      <c r="DA245" s="55"/>
      <c r="DB245" s="55"/>
      <c r="DC245" s="55"/>
      <c r="DD245" s="55"/>
      <c r="DE245" s="55"/>
      <c r="DF245" s="55"/>
      <c r="DG245" s="55"/>
      <c r="DH245" s="55"/>
      <c r="DI245" s="55"/>
    </row>
    <row r="246" spans="1:113" x14ac:dyDescent="0.25">
      <c r="A246" s="152">
        <v>17</v>
      </c>
      <c r="B246" s="60" t="s">
        <v>403</v>
      </c>
      <c r="C246" s="80">
        <v>20000</v>
      </c>
      <c r="D246" s="142">
        <f>2860+116.35*11</f>
        <v>4139.8500000000004</v>
      </c>
      <c r="E246" s="43">
        <v>90</v>
      </c>
      <c r="F246" s="60"/>
      <c r="G246" s="139">
        <f t="shared" si="47"/>
        <v>90</v>
      </c>
      <c r="H246" s="55"/>
      <c r="I246" s="56">
        <f t="shared" si="48"/>
        <v>90</v>
      </c>
      <c r="J246" s="56">
        <f t="shared" si="49"/>
        <v>1800000</v>
      </c>
      <c r="K246" s="57">
        <f t="shared" si="50"/>
        <v>372586.50000000006</v>
      </c>
      <c r="L246"/>
      <c r="M246" s="314">
        <f t="shared" si="46"/>
        <v>0</v>
      </c>
      <c r="N246" s="310"/>
      <c r="O246" s="315"/>
      <c r="P246" s="315"/>
      <c r="Q246" s="315"/>
      <c r="R246" s="315"/>
      <c r="S246" s="55"/>
      <c r="T246" s="55"/>
      <c r="U246" s="55"/>
      <c r="V246" s="55"/>
      <c r="W246" s="55"/>
      <c r="X246" s="55"/>
      <c r="Y246" s="55"/>
      <c r="Z246" s="55"/>
      <c r="AA246" s="55"/>
      <c r="AB246" s="55"/>
      <c r="AC246" s="55"/>
      <c r="AD246" s="55"/>
      <c r="AE246" s="55"/>
      <c r="AF246" s="55"/>
      <c r="AG246" s="55"/>
      <c r="AH246" s="55"/>
      <c r="AI246" s="55"/>
      <c r="AJ246" s="55"/>
      <c r="AK246" s="55"/>
      <c r="AL246" s="55"/>
      <c r="AM246" s="55"/>
      <c r="AN246" s="55"/>
      <c r="AO246" s="55"/>
      <c r="AP246" s="55"/>
      <c r="AQ246" s="55"/>
      <c r="AR246" s="55"/>
      <c r="AS246" s="55"/>
      <c r="AT246" s="55"/>
      <c r="AU246" s="55"/>
      <c r="AV246" s="55"/>
      <c r="AW246" s="55"/>
      <c r="AX246" s="55"/>
      <c r="AY246" s="55"/>
      <c r="AZ246" s="55"/>
      <c r="BA246" s="55"/>
      <c r="BB246" s="55"/>
      <c r="BC246" s="55"/>
      <c r="BD246" s="55"/>
      <c r="BE246" s="55"/>
      <c r="BF246" s="55"/>
      <c r="BG246" s="55"/>
      <c r="BH246" s="55"/>
      <c r="BI246" s="55"/>
      <c r="BJ246" s="55"/>
      <c r="BK246" s="55"/>
      <c r="BL246" s="55"/>
      <c r="BM246" s="55"/>
      <c r="BN246" s="55"/>
      <c r="BO246" s="55"/>
      <c r="BP246" s="55"/>
      <c r="BQ246" s="55"/>
      <c r="BR246" s="55"/>
      <c r="BS246" s="55"/>
      <c r="BT246" s="55"/>
      <c r="BU246" s="55"/>
      <c r="BV246" s="55"/>
      <c r="BW246" s="55"/>
      <c r="BX246" s="55"/>
      <c r="BY246" s="55"/>
      <c r="BZ246" s="55"/>
      <c r="CA246" s="55"/>
      <c r="CB246" s="55"/>
      <c r="CC246" s="55"/>
      <c r="CD246" s="55"/>
      <c r="CE246" s="55"/>
      <c r="CF246" s="55"/>
      <c r="CG246" s="55"/>
      <c r="CH246" s="55"/>
      <c r="CI246" s="55"/>
      <c r="CJ246" s="55"/>
      <c r="CK246" s="55"/>
      <c r="CL246" s="55"/>
      <c r="CM246" s="55"/>
      <c r="CN246" s="55"/>
      <c r="CO246" s="55"/>
      <c r="CP246" s="55"/>
      <c r="CQ246" s="55"/>
      <c r="CR246" s="55"/>
      <c r="CS246" s="55"/>
      <c r="CT246" s="55"/>
      <c r="CU246" s="55"/>
      <c r="CV246" s="55"/>
      <c r="CW246" s="55"/>
      <c r="CX246" s="55"/>
      <c r="CY246" s="55"/>
      <c r="CZ246" s="55"/>
      <c r="DA246" s="55"/>
      <c r="DB246" s="55"/>
      <c r="DC246" s="55"/>
      <c r="DD246" s="55"/>
      <c r="DE246" s="55"/>
      <c r="DF246" s="55"/>
      <c r="DG246" s="55"/>
      <c r="DH246" s="55"/>
      <c r="DI246" s="55"/>
    </row>
    <row r="247" spans="1:113" x14ac:dyDescent="0.25">
      <c r="A247" s="152">
        <v>18</v>
      </c>
      <c r="B247" s="60" t="s">
        <v>404</v>
      </c>
      <c r="C247" s="80">
        <v>5000</v>
      </c>
      <c r="D247" s="142">
        <f>111.78*2+1760</f>
        <v>1983.56</v>
      </c>
      <c r="E247" s="43">
        <v>50</v>
      </c>
      <c r="F247" s="60"/>
      <c r="G247" s="139">
        <f t="shared" si="47"/>
        <v>50</v>
      </c>
      <c r="H247" s="55"/>
      <c r="I247" s="56">
        <f t="shared" si="48"/>
        <v>50</v>
      </c>
      <c r="J247" s="56">
        <f t="shared" si="49"/>
        <v>250000</v>
      </c>
      <c r="K247" s="57">
        <f t="shared" si="50"/>
        <v>99178</v>
      </c>
      <c r="L247"/>
      <c r="M247" s="314">
        <f t="shared" si="46"/>
        <v>0</v>
      </c>
      <c r="N247" s="310"/>
      <c r="O247" s="315"/>
      <c r="P247" s="315"/>
      <c r="Q247" s="315"/>
      <c r="R247" s="315"/>
      <c r="S247" s="55"/>
      <c r="T247" s="55"/>
      <c r="U247" s="55"/>
      <c r="V247" s="55"/>
      <c r="W247" s="55"/>
      <c r="X247" s="55"/>
      <c r="Y247" s="55"/>
      <c r="Z247" s="55"/>
      <c r="AA247" s="55"/>
      <c r="AB247" s="55"/>
      <c r="AC247" s="55"/>
      <c r="AD247" s="55"/>
      <c r="AE247" s="55"/>
      <c r="AF247" s="55"/>
      <c r="AG247" s="55"/>
      <c r="AH247" s="55"/>
      <c r="AI247" s="55"/>
      <c r="AJ247" s="55"/>
      <c r="AK247" s="55"/>
      <c r="AL247" s="55"/>
      <c r="AM247" s="55"/>
      <c r="AN247" s="55"/>
      <c r="AO247" s="55"/>
      <c r="AP247" s="55"/>
      <c r="AQ247" s="55"/>
      <c r="AR247" s="55"/>
      <c r="AS247" s="55"/>
      <c r="AT247" s="55"/>
      <c r="AU247" s="55"/>
      <c r="AV247" s="55"/>
      <c r="AW247" s="55"/>
      <c r="AX247" s="55"/>
      <c r="AY247" s="55"/>
      <c r="AZ247" s="55"/>
      <c r="BA247" s="55"/>
      <c r="BB247" s="55"/>
      <c r="BC247" s="55"/>
      <c r="BD247" s="55"/>
      <c r="BE247" s="55"/>
      <c r="BF247" s="55"/>
      <c r="BG247" s="55"/>
      <c r="BH247" s="55"/>
      <c r="BI247" s="55"/>
      <c r="BJ247" s="55"/>
      <c r="BK247" s="55"/>
      <c r="BL247" s="55"/>
      <c r="BM247" s="55"/>
      <c r="BN247" s="55"/>
      <c r="BO247" s="55"/>
      <c r="BP247" s="55"/>
      <c r="BQ247" s="55"/>
      <c r="BR247" s="55"/>
      <c r="BS247" s="55"/>
      <c r="BT247" s="55"/>
      <c r="BU247" s="55"/>
      <c r="BV247" s="55"/>
      <c r="BW247" s="55"/>
      <c r="BX247" s="55"/>
      <c r="BY247" s="55"/>
      <c r="BZ247" s="55"/>
      <c r="CA247" s="55"/>
      <c r="CB247" s="55"/>
      <c r="CC247" s="55"/>
      <c r="CD247" s="55"/>
      <c r="CE247" s="55"/>
      <c r="CF247" s="55"/>
      <c r="CG247" s="55"/>
      <c r="CH247" s="55"/>
      <c r="CI247" s="55"/>
      <c r="CJ247" s="55"/>
      <c r="CK247" s="55"/>
      <c r="CL247" s="55"/>
      <c r="CM247" s="55"/>
      <c r="CN247" s="55"/>
      <c r="CO247" s="55"/>
      <c r="CP247" s="55"/>
      <c r="CQ247" s="55"/>
      <c r="CR247" s="55"/>
      <c r="CS247" s="55"/>
      <c r="CT247" s="55"/>
      <c r="CU247" s="55"/>
      <c r="CV247" s="55"/>
      <c r="CW247" s="55"/>
      <c r="CX247" s="55"/>
      <c r="CY247" s="55"/>
      <c r="CZ247" s="55"/>
      <c r="DA247" s="55"/>
      <c r="DB247" s="55"/>
      <c r="DC247" s="55"/>
      <c r="DD247" s="55"/>
      <c r="DE247" s="55"/>
      <c r="DF247" s="55"/>
      <c r="DG247" s="55"/>
      <c r="DH247" s="55"/>
      <c r="DI247" s="55"/>
    </row>
    <row r="248" spans="1:113" x14ac:dyDescent="0.25">
      <c r="A248" s="152">
        <v>19</v>
      </c>
      <c r="B248" s="60" t="s">
        <v>405</v>
      </c>
      <c r="C248" s="80">
        <v>7000</v>
      </c>
      <c r="D248" s="142">
        <f>1650+872.71</f>
        <v>2522.71</v>
      </c>
      <c r="E248" s="43">
        <v>25</v>
      </c>
      <c r="F248" s="60"/>
      <c r="G248" s="139">
        <f t="shared" si="47"/>
        <v>25</v>
      </c>
      <c r="H248" s="55"/>
      <c r="I248" s="56">
        <f t="shared" si="48"/>
        <v>25</v>
      </c>
      <c r="J248" s="56">
        <f t="shared" si="49"/>
        <v>175000</v>
      </c>
      <c r="K248" s="57">
        <f t="shared" si="50"/>
        <v>63067.75</v>
      </c>
      <c r="L248"/>
      <c r="M248" s="314">
        <f t="shared" si="46"/>
        <v>0</v>
      </c>
      <c r="N248" s="310"/>
      <c r="O248" s="315"/>
      <c r="P248" s="315"/>
      <c r="Q248" s="315"/>
      <c r="R248" s="315"/>
      <c r="S248" s="55"/>
      <c r="T248" s="55"/>
      <c r="U248" s="55"/>
      <c r="V248" s="55"/>
      <c r="W248" s="55"/>
      <c r="X248" s="55"/>
      <c r="Y248" s="55"/>
      <c r="Z248" s="55"/>
      <c r="AA248" s="55"/>
      <c r="AB248" s="55"/>
      <c r="AC248" s="55"/>
      <c r="AD248" s="55"/>
      <c r="AE248" s="55"/>
      <c r="AF248" s="55"/>
      <c r="AG248" s="55"/>
      <c r="AH248" s="55"/>
      <c r="AI248" s="55"/>
      <c r="AJ248" s="55"/>
      <c r="AK248" s="55"/>
      <c r="AL248" s="55"/>
      <c r="AM248" s="55"/>
      <c r="AN248" s="55"/>
      <c r="AO248" s="55"/>
      <c r="AP248" s="55"/>
      <c r="AQ248" s="55"/>
      <c r="AR248" s="55"/>
      <c r="AS248" s="55"/>
      <c r="AT248" s="55"/>
      <c r="AU248" s="55"/>
      <c r="AV248" s="55"/>
      <c r="AW248" s="55"/>
      <c r="AX248" s="55"/>
      <c r="AY248" s="55"/>
      <c r="AZ248" s="55"/>
      <c r="BA248" s="55"/>
      <c r="BB248" s="55"/>
      <c r="BC248" s="55"/>
      <c r="BD248" s="55"/>
      <c r="BE248" s="55"/>
      <c r="BF248" s="55"/>
      <c r="BG248" s="55"/>
      <c r="BH248" s="55"/>
      <c r="BI248" s="55"/>
      <c r="BJ248" s="55"/>
      <c r="BK248" s="55"/>
      <c r="BL248" s="55"/>
      <c r="BM248" s="55"/>
      <c r="BN248" s="55"/>
      <c r="BO248" s="55"/>
      <c r="BP248" s="55"/>
      <c r="BQ248" s="55"/>
      <c r="BR248" s="55"/>
      <c r="BS248" s="55"/>
      <c r="BT248" s="55"/>
      <c r="BU248" s="55"/>
      <c r="BV248" s="55"/>
      <c r="BW248" s="55"/>
      <c r="BX248" s="55"/>
      <c r="BY248" s="55"/>
      <c r="BZ248" s="55"/>
      <c r="CA248" s="55"/>
      <c r="CB248" s="55"/>
      <c r="CC248" s="55"/>
      <c r="CD248" s="55"/>
      <c r="CE248" s="55"/>
      <c r="CF248" s="55"/>
      <c r="CG248" s="55"/>
      <c r="CH248" s="55"/>
      <c r="CI248" s="55"/>
      <c r="CJ248" s="55"/>
      <c r="CK248" s="55"/>
      <c r="CL248" s="55"/>
      <c r="CM248" s="55"/>
      <c r="CN248" s="55"/>
      <c r="CO248" s="55"/>
      <c r="CP248" s="55"/>
      <c r="CQ248" s="55"/>
      <c r="CR248" s="55"/>
      <c r="CS248" s="55"/>
      <c r="CT248" s="55"/>
      <c r="CU248" s="55"/>
      <c r="CV248" s="55"/>
      <c r="CW248" s="55"/>
      <c r="CX248" s="55"/>
      <c r="CY248" s="55"/>
      <c r="CZ248" s="55"/>
      <c r="DA248" s="55"/>
      <c r="DB248" s="55"/>
      <c r="DC248" s="55"/>
      <c r="DD248" s="55"/>
      <c r="DE248" s="55"/>
      <c r="DF248" s="55"/>
      <c r="DG248" s="55"/>
      <c r="DH248" s="55"/>
      <c r="DI248" s="55"/>
    </row>
    <row r="249" spans="1:113" x14ac:dyDescent="0.25">
      <c r="A249" s="152">
        <v>20</v>
      </c>
      <c r="B249" s="60" t="s">
        <v>406</v>
      </c>
      <c r="C249" s="80">
        <v>5000</v>
      </c>
      <c r="D249" s="142">
        <f>1650+192.39</f>
        <v>1842.3899999999999</v>
      </c>
      <c r="E249" s="43">
        <v>25</v>
      </c>
      <c r="F249" s="60"/>
      <c r="G249" s="139">
        <f t="shared" si="47"/>
        <v>25</v>
      </c>
      <c r="H249" s="55"/>
      <c r="I249" s="56">
        <f t="shared" si="48"/>
        <v>25</v>
      </c>
      <c r="J249" s="56">
        <f t="shared" si="49"/>
        <v>125000</v>
      </c>
      <c r="K249" s="57">
        <f t="shared" si="50"/>
        <v>46059.75</v>
      </c>
      <c r="L249"/>
      <c r="M249" s="314">
        <f t="shared" si="46"/>
        <v>0</v>
      </c>
      <c r="N249" s="310"/>
      <c r="O249" s="315"/>
      <c r="P249" s="315"/>
      <c r="Q249" s="315"/>
      <c r="R249" s="315"/>
      <c r="S249" s="55"/>
      <c r="T249" s="55"/>
      <c r="U249" s="55"/>
      <c r="V249" s="55"/>
      <c r="W249" s="55"/>
      <c r="X249" s="55"/>
      <c r="Y249" s="55"/>
      <c r="Z249" s="55"/>
      <c r="AA249" s="55"/>
      <c r="AB249" s="55"/>
      <c r="AC249" s="55"/>
      <c r="AD249" s="55"/>
      <c r="AE249" s="55"/>
      <c r="AF249" s="55"/>
      <c r="AG249" s="55"/>
      <c r="AH249" s="55"/>
      <c r="AI249" s="55"/>
      <c r="AJ249" s="55"/>
      <c r="AK249" s="55"/>
      <c r="AL249" s="55"/>
      <c r="AM249" s="55"/>
      <c r="AN249" s="55"/>
      <c r="AO249" s="55"/>
      <c r="AP249" s="55"/>
      <c r="AQ249" s="55"/>
      <c r="AR249" s="55"/>
      <c r="AS249" s="55"/>
      <c r="AT249" s="55"/>
      <c r="AU249" s="55"/>
      <c r="AV249" s="55"/>
      <c r="AW249" s="55"/>
      <c r="AX249" s="55"/>
      <c r="AY249" s="55"/>
      <c r="AZ249" s="55"/>
      <c r="BA249" s="55"/>
      <c r="BB249" s="55"/>
      <c r="BC249" s="55"/>
      <c r="BD249" s="55"/>
      <c r="BE249" s="55"/>
      <c r="BF249" s="55"/>
      <c r="BG249" s="55"/>
      <c r="BH249" s="55"/>
      <c r="BI249" s="55"/>
      <c r="BJ249" s="55"/>
      <c r="BK249" s="55"/>
      <c r="BL249" s="55"/>
      <c r="BM249" s="55"/>
      <c r="BN249" s="55"/>
      <c r="BO249" s="55"/>
      <c r="BP249" s="55"/>
      <c r="BQ249" s="55"/>
      <c r="BR249" s="55"/>
      <c r="BS249" s="55"/>
      <c r="BT249" s="55"/>
      <c r="BU249" s="55"/>
      <c r="BV249" s="55"/>
      <c r="BW249" s="55"/>
      <c r="BX249" s="55"/>
      <c r="BY249" s="55"/>
      <c r="BZ249" s="55"/>
      <c r="CA249" s="55"/>
      <c r="CB249" s="55"/>
      <c r="CC249" s="55"/>
      <c r="CD249" s="55"/>
      <c r="CE249" s="55"/>
      <c r="CF249" s="55"/>
      <c r="CG249" s="55"/>
      <c r="CH249" s="55"/>
      <c r="CI249" s="55"/>
      <c r="CJ249" s="55"/>
      <c r="CK249" s="55"/>
      <c r="CL249" s="55"/>
      <c r="CM249" s="55"/>
      <c r="CN249" s="55"/>
      <c r="CO249" s="55"/>
      <c r="CP249" s="55"/>
      <c r="CQ249" s="55"/>
      <c r="CR249" s="55"/>
      <c r="CS249" s="55"/>
      <c r="CT249" s="55"/>
      <c r="CU249" s="55"/>
      <c r="CV249" s="55"/>
      <c r="CW249" s="55"/>
      <c r="CX249" s="55"/>
      <c r="CY249" s="55"/>
      <c r="CZ249" s="55"/>
      <c r="DA249" s="55"/>
      <c r="DB249" s="55"/>
      <c r="DC249" s="55"/>
      <c r="DD249" s="55"/>
      <c r="DE249" s="55"/>
      <c r="DF249" s="55"/>
      <c r="DG249" s="55"/>
      <c r="DH249" s="55"/>
      <c r="DI249" s="55"/>
    </row>
    <row r="250" spans="1:113" x14ac:dyDescent="0.25">
      <c r="A250" s="152">
        <v>21</v>
      </c>
      <c r="B250" s="60" t="s">
        <v>407</v>
      </c>
      <c r="C250" s="80">
        <v>4000</v>
      </c>
      <c r="D250" s="142">
        <f>1760+177.2</f>
        <v>1937.2</v>
      </c>
      <c r="E250" s="43">
        <v>10</v>
      </c>
      <c r="F250" s="60"/>
      <c r="G250" s="139">
        <f t="shared" si="47"/>
        <v>10</v>
      </c>
      <c r="H250" s="55"/>
      <c r="I250" s="56">
        <f t="shared" si="48"/>
        <v>10</v>
      </c>
      <c r="J250" s="56">
        <f t="shared" si="49"/>
        <v>40000</v>
      </c>
      <c r="K250" s="57">
        <f t="shared" si="50"/>
        <v>19372</v>
      </c>
      <c r="L250"/>
      <c r="M250" s="314">
        <f t="shared" si="46"/>
        <v>0</v>
      </c>
      <c r="N250" s="310"/>
      <c r="O250" s="315"/>
      <c r="P250" s="315"/>
      <c r="Q250" s="315"/>
      <c r="R250" s="315"/>
      <c r="S250" s="55"/>
      <c r="T250" s="55"/>
      <c r="U250" s="55"/>
      <c r="V250" s="55"/>
      <c r="W250" s="55"/>
      <c r="X250" s="55"/>
      <c r="Y250" s="55"/>
      <c r="Z250" s="55"/>
      <c r="AA250" s="55"/>
      <c r="AB250" s="55"/>
      <c r="AC250" s="55"/>
      <c r="AD250" s="55"/>
      <c r="AE250" s="55"/>
      <c r="AF250" s="55"/>
      <c r="AG250" s="55"/>
      <c r="AH250" s="55"/>
      <c r="AI250" s="55"/>
      <c r="AJ250" s="55"/>
      <c r="AK250" s="55"/>
      <c r="AL250" s="55"/>
      <c r="AM250" s="55"/>
      <c r="AN250" s="55"/>
      <c r="AO250" s="55"/>
      <c r="AP250" s="55"/>
      <c r="AQ250" s="55"/>
      <c r="AR250" s="55"/>
      <c r="AS250" s="55"/>
      <c r="AT250" s="55"/>
      <c r="AU250" s="55"/>
      <c r="AV250" s="55"/>
      <c r="AW250" s="55"/>
      <c r="AX250" s="55"/>
      <c r="AY250" s="55"/>
      <c r="AZ250" s="55"/>
      <c r="BA250" s="55"/>
      <c r="BB250" s="55"/>
      <c r="BC250" s="55"/>
      <c r="BD250" s="55"/>
      <c r="BE250" s="55"/>
      <c r="BF250" s="55"/>
      <c r="BG250" s="55"/>
      <c r="BH250" s="55"/>
      <c r="BI250" s="55"/>
      <c r="BJ250" s="55"/>
      <c r="BK250" s="55"/>
      <c r="BL250" s="55"/>
      <c r="BM250" s="55"/>
      <c r="BN250" s="55"/>
      <c r="BO250" s="55"/>
      <c r="BP250" s="55"/>
      <c r="BQ250" s="55"/>
      <c r="BR250" s="55"/>
      <c r="BS250" s="55"/>
      <c r="BT250" s="55"/>
      <c r="BU250" s="55"/>
      <c r="BV250" s="55"/>
      <c r="BW250" s="55"/>
      <c r="BX250" s="55"/>
      <c r="BY250" s="55"/>
      <c r="BZ250" s="55"/>
      <c r="CA250" s="55"/>
      <c r="CB250" s="55"/>
      <c r="CC250" s="55"/>
      <c r="CD250" s="55"/>
      <c r="CE250" s="55"/>
      <c r="CF250" s="55"/>
      <c r="CG250" s="55"/>
      <c r="CH250" s="55"/>
      <c r="CI250" s="55"/>
      <c r="CJ250" s="55"/>
      <c r="CK250" s="55"/>
      <c r="CL250" s="55"/>
      <c r="CM250" s="55"/>
      <c r="CN250" s="55"/>
      <c r="CO250" s="55"/>
      <c r="CP250" s="55"/>
      <c r="CQ250" s="55"/>
      <c r="CR250" s="55"/>
      <c r="CS250" s="55"/>
      <c r="CT250" s="55"/>
      <c r="CU250" s="55"/>
      <c r="CV250" s="55"/>
      <c r="CW250" s="55"/>
      <c r="CX250" s="55"/>
      <c r="CY250" s="55"/>
      <c r="CZ250" s="55"/>
      <c r="DA250" s="55"/>
      <c r="DB250" s="55"/>
      <c r="DC250" s="55"/>
      <c r="DD250" s="55"/>
      <c r="DE250" s="55"/>
      <c r="DF250" s="55"/>
      <c r="DG250" s="55"/>
      <c r="DH250" s="55"/>
      <c r="DI250" s="55"/>
    </row>
    <row r="251" spans="1:113" ht="15.75" thickBot="1" x14ac:dyDescent="0.3">
      <c r="A251" s="170">
        <v>22</v>
      </c>
      <c r="B251" s="121" t="s">
        <v>408</v>
      </c>
      <c r="C251" s="116">
        <v>38500</v>
      </c>
      <c r="D251" s="190">
        <f>1540*11+11*231.84</f>
        <v>19490.240000000002</v>
      </c>
      <c r="E251" s="122">
        <v>59</v>
      </c>
      <c r="F251" s="121"/>
      <c r="G251" s="169">
        <f t="shared" si="47"/>
        <v>59</v>
      </c>
      <c r="H251" s="108"/>
      <c r="I251" s="109">
        <f t="shared" si="48"/>
        <v>59</v>
      </c>
      <c r="J251" s="109">
        <f t="shared" si="49"/>
        <v>2271500</v>
      </c>
      <c r="K251" s="110">
        <f t="shared" si="50"/>
        <v>1149924.1600000001</v>
      </c>
      <c r="L251"/>
      <c r="M251" s="314">
        <f t="shared" si="46"/>
        <v>0</v>
      </c>
      <c r="N251" s="310"/>
      <c r="O251" s="315"/>
      <c r="P251" s="315"/>
      <c r="Q251" s="315"/>
      <c r="R251" s="315"/>
      <c r="S251" s="55"/>
      <c r="T251" s="55"/>
      <c r="U251" s="55"/>
      <c r="V251" s="55"/>
      <c r="W251" s="55"/>
      <c r="X251" s="55"/>
      <c r="Y251" s="55"/>
      <c r="Z251" s="55"/>
      <c r="AA251" s="55"/>
      <c r="AB251" s="55"/>
      <c r="AC251" s="55"/>
      <c r="AD251" s="55"/>
      <c r="AE251" s="55"/>
      <c r="AF251" s="55"/>
      <c r="AG251" s="55"/>
      <c r="AH251" s="55"/>
      <c r="AI251" s="55"/>
      <c r="AJ251" s="55"/>
      <c r="AK251" s="55"/>
      <c r="AL251" s="55"/>
      <c r="AM251" s="55"/>
      <c r="AN251" s="55"/>
      <c r="AO251" s="55"/>
      <c r="AP251" s="55"/>
      <c r="AQ251" s="55"/>
      <c r="AR251" s="55"/>
      <c r="AS251" s="55"/>
      <c r="AT251" s="55"/>
      <c r="AU251" s="55"/>
      <c r="AV251" s="55"/>
      <c r="AW251" s="55"/>
      <c r="AX251" s="55"/>
      <c r="AY251" s="55"/>
      <c r="AZ251" s="55"/>
      <c r="BA251" s="55"/>
      <c r="BB251" s="55"/>
      <c r="BC251" s="55"/>
      <c r="BD251" s="55"/>
      <c r="BE251" s="55"/>
      <c r="BF251" s="55"/>
      <c r="BG251" s="55"/>
      <c r="BH251" s="55"/>
      <c r="BI251" s="55"/>
      <c r="BJ251" s="55"/>
      <c r="BK251" s="55"/>
      <c r="BL251" s="55"/>
      <c r="BM251" s="55"/>
      <c r="BN251" s="55"/>
      <c r="BO251" s="55"/>
      <c r="BP251" s="55"/>
      <c r="BQ251" s="55"/>
      <c r="BR251" s="55"/>
      <c r="BS251" s="55"/>
      <c r="BT251" s="55"/>
      <c r="BU251" s="55"/>
      <c r="BV251" s="55"/>
      <c r="BW251" s="55"/>
      <c r="BX251" s="55"/>
      <c r="BY251" s="55"/>
      <c r="BZ251" s="55"/>
      <c r="CA251" s="55"/>
      <c r="CB251" s="55"/>
      <c r="CC251" s="55"/>
      <c r="CD251" s="55"/>
      <c r="CE251" s="55"/>
      <c r="CF251" s="55"/>
      <c r="CG251" s="55"/>
      <c r="CH251" s="55"/>
      <c r="CI251" s="55"/>
      <c r="CJ251" s="55"/>
      <c r="CK251" s="55"/>
      <c r="CL251" s="55"/>
      <c r="CM251" s="55"/>
      <c r="CN251" s="55"/>
      <c r="CO251" s="55"/>
      <c r="CP251" s="55"/>
      <c r="CQ251" s="55"/>
      <c r="CR251" s="55"/>
      <c r="CS251" s="55"/>
      <c r="CT251" s="55"/>
      <c r="CU251" s="55"/>
      <c r="CV251" s="55"/>
      <c r="CW251" s="55"/>
      <c r="CX251" s="55"/>
      <c r="CY251" s="55"/>
      <c r="CZ251" s="55"/>
      <c r="DA251" s="55"/>
      <c r="DB251" s="55"/>
      <c r="DC251" s="55"/>
      <c r="DD251" s="55"/>
      <c r="DE251" s="55"/>
      <c r="DF251" s="55"/>
      <c r="DG251" s="55"/>
      <c r="DH251" s="55"/>
      <c r="DI251" s="55"/>
    </row>
    <row r="252" spans="1:113" ht="15.75" thickBot="1" x14ac:dyDescent="0.3">
      <c r="A252" s="128"/>
      <c r="B252" s="119" t="s">
        <v>673</v>
      </c>
      <c r="C252" s="36"/>
      <c r="D252" s="36"/>
      <c r="E252" s="29">
        <f>SUM(E230:E251)</f>
        <v>1269</v>
      </c>
      <c r="F252" s="29">
        <f>SUM(F230:F251)</f>
        <v>0</v>
      </c>
      <c r="G252" s="29">
        <f>SUM(G230:G251)</f>
        <v>1269</v>
      </c>
      <c r="H252" s="29">
        <f>SUM(H230:H251)</f>
        <v>0</v>
      </c>
      <c r="I252" s="29">
        <f>SUM(I230:I251)</f>
        <v>1269</v>
      </c>
      <c r="J252" s="29">
        <f t="shared" ref="J252:K252" si="51">SUM(J230:J251)</f>
        <v>13084000</v>
      </c>
      <c r="K252" s="47">
        <f t="shared" si="51"/>
        <v>4676691.5600000005</v>
      </c>
      <c r="L252"/>
      <c r="M252"/>
      <c r="N252"/>
      <c r="O252"/>
      <c r="P252"/>
      <c r="Q252"/>
      <c r="R252"/>
      <c r="S252"/>
      <c r="T252"/>
      <c r="U252"/>
      <c r="V252"/>
    </row>
    <row r="253" spans="1:113" ht="15.75" thickBot="1" x14ac:dyDescent="0.3">
      <c r="B253" s="161"/>
      <c r="C253" s="162"/>
      <c r="D253" s="163"/>
      <c r="E253" s="164"/>
      <c r="F253" s="67"/>
      <c r="G253" s="164"/>
      <c r="H253" s="164"/>
      <c r="I253" s="164"/>
      <c r="J253" s="164"/>
      <c r="K253" s="163"/>
      <c r="L253"/>
      <c r="M253"/>
      <c r="N253"/>
      <c r="O253"/>
      <c r="P253"/>
      <c r="Q253"/>
      <c r="R253"/>
      <c r="S253"/>
      <c r="T253"/>
      <c r="U253"/>
      <c r="V253"/>
    </row>
    <row r="254" spans="1:113" ht="15.75" thickBot="1" x14ac:dyDescent="0.3">
      <c r="A254" s="407" t="s">
        <v>657</v>
      </c>
      <c r="B254" s="414" t="s">
        <v>708</v>
      </c>
      <c r="C254" s="414" t="s">
        <v>1</v>
      </c>
      <c r="D254" s="415" t="s">
        <v>649</v>
      </c>
      <c r="E254" s="416" t="s">
        <v>19</v>
      </c>
      <c r="F254" s="416"/>
      <c r="G254" s="416"/>
      <c r="H254" s="416"/>
      <c r="I254" s="416"/>
      <c r="J254" s="410" t="s">
        <v>21</v>
      </c>
      <c r="K254" s="417" t="s">
        <v>602</v>
      </c>
      <c r="L254"/>
      <c r="M254" s="403" t="s">
        <v>601</v>
      </c>
      <c r="N254" s="403" t="s">
        <v>924</v>
      </c>
      <c r="O254" s="403"/>
      <c r="P254" s="403"/>
      <c r="Q254" s="403"/>
      <c r="R254" s="403"/>
      <c r="S254" s="403"/>
      <c r="T254" s="403"/>
      <c r="U254" s="403"/>
      <c r="V254" s="403"/>
      <c r="W254" s="403"/>
      <c r="X254" s="403"/>
      <c r="Y254" s="403"/>
      <c r="Z254" s="403"/>
      <c r="AA254" s="403"/>
      <c r="AB254" s="403"/>
      <c r="AC254" s="403"/>
      <c r="AD254" s="403"/>
      <c r="AE254" s="403"/>
      <c r="AF254" s="403"/>
      <c r="AG254" s="403"/>
      <c r="AH254" s="403"/>
      <c r="AI254" s="403"/>
      <c r="AJ254" s="403"/>
      <c r="AK254" s="403"/>
      <c r="AL254" s="403"/>
      <c r="AM254" s="403"/>
      <c r="AN254" s="403"/>
      <c r="AO254" s="403"/>
      <c r="AP254" s="403"/>
      <c r="AQ254" s="403"/>
      <c r="AR254" s="403"/>
      <c r="AS254" s="403"/>
      <c r="AT254" s="403"/>
      <c r="AU254" s="403"/>
      <c r="AV254" s="403"/>
      <c r="AW254" s="403"/>
      <c r="AX254" s="403"/>
      <c r="AY254" s="403"/>
      <c r="AZ254" s="403"/>
      <c r="BA254" s="403"/>
      <c r="BB254" s="403"/>
      <c r="BC254" s="403"/>
      <c r="BD254" s="403"/>
      <c r="BE254" s="403"/>
      <c r="BF254" s="403"/>
      <c r="BG254" s="403"/>
      <c r="BH254" s="403"/>
      <c r="BI254" s="403"/>
      <c r="BJ254" s="403"/>
      <c r="BK254" s="403"/>
      <c r="BL254" s="403"/>
      <c r="BM254" s="403"/>
      <c r="BN254" s="403"/>
      <c r="BO254" s="403"/>
      <c r="BP254" s="403"/>
      <c r="BQ254" s="403"/>
      <c r="BR254" s="403"/>
      <c r="BS254" s="403"/>
      <c r="BT254" s="403"/>
      <c r="BU254" s="403"/>
      <c r="BV254" s="403"/>
      <c r="BW254" s="403"/>
      <c r="BX254" s="403"/>
      <c r="BY254" s="403"/>
      <c r="BZ254" s="403"/>
      <c r="CA254" s="403"/>
      <c r="CB254" s="403"/>
      <c r="CC254" s="403"/>
      <c r="CD254" s="403"/>
      <c r="CE254" s="403"/>
      <c r="CF254" s="403"/>
      <c r="CG254" s="403"/>
      <c r="CH254" s="403"/>
      <c r="CI254" s="403"/>
      <c r="CJ254" s="403"/>
      <c r="CK254" s="403"/>
      <c r="CL254" s="403"/>
      <c r="CM254" s="403"/>
      <c r="CN254" s="403"/>
      <c r="CO254" s="403"/>
      <c r="CP254" s="403"/>
      <c r="CQ254" s="403"/>
      <c r="CR254" s="403"/>
      <c r="CS254" s="403"/>
      <c r="CT254" s="403"/>
      <c r="CU254" s="403"/>
      <c r="CV254" s="403"/>
      <c r="CW254" s="403"/>
      <c r="CX254" s="403"/>
      <c r="CY254" s="403"/>
      <c r="CZ254" s="403"/>
      <c r="DA254" s="403"/>
      <c r="DB254" s="403"/>
      <c r="DC254" s="403"/>
      <c r="DD254" s="403"/>
      <c r="DE254" s="403"/>
      <c r="DF254" s="403"/>
      <c r="DG254" s="403"/>
      <c r="DH254" s="403"/>
      <c r="DI254" s="403"/>
    </row>
    <row r="255" spans="1:113" ht="30.75" thickBot="1" x14ac:dyDescent="0.3">
      <c r="A255" s="408"/>
      <c r="B255" s="414"/>
      <c r="C255" s="414"/>
      <c r="D255" s="415"/>
      <c r="E255" s="68" t="s">
        <v>22</v>
      </c>
      <c r="F255" s="68" t="s">
        <v>600</v>
      </c>
      <c r="G255" s="68" t="s">
        <v>601</v>
      </c>
      <c r="H255" s="68" t="s">
        <v>589</v>
      </c>
      <c r="I255" s="68" t="s">
        <v>601</v>
      </c>
      <c r="J255" s="411"/>
      <c r="K255" s="418"/>
      <c r="L255"/>
      <c r="M255" s="403"/>
      <c r="N255" s="400" t="s">
        <v>925</v>
      </c>
      <c r="O255" s="400" t="s">
        <v>926</v>
      </c>
      <c r="P255" s="400"/>
      <c r="Q255" s="400"/>
      <c r="R255" s="400"/>
      <c r="S255" s="398"/>
      <c r="T255" s="398"/>
      <c r="U255" s="398"/>
      <c r="V255" s="398"/>
      <c r="W255" s="398"/>
      <c r="X255" s="398"/>
      <c r="Y255" s="398"/>
      <c r="Z255" s="398"/>
      <c r="AA255" s="398"/>
      <c r="AB255" s="398"/>
      <c r="AC255" s="398"/>
      <c r="AD255" s="398"/>
      <c r="AE255" s="398"/>
      <c r="AF255" s="398"/>
      <c r="AG255" s="398"/>
      <c r="AH255" s="398"/>
      <c r="AI255" s="398"/>
      <c r="AJ255" s="398"/>
      <c r="AK255" s="398"/>
      <c r="AL255" s="398"/>
      <c r="AM255" s="398"/>
      <c r="AN255" s="398"/>
      <c r="AO255" s="398"/>
      <c r="AP255" s="398"/>
      <c r="AQ255" s="398"/>
      <c r="AR255" s="398"/>
      <c r="AS255" s="398"/>
      <c r="AT255" s="398"/>
      <c r="AU255" s="398"/>
      <c r="AV255" s="398"/>
      <c r="AW255" s="398"/>
      <c r="AX255" s="398"/>
      <c r="AY255" s="398"/>
      <c r="AZ255" s="398"/>
      <c r="BA255" s="398"/>
      <c r="BB255" s="398"/>
      <c r="BC255" s="398"/>
      <c r="BD255" s="398"/>
      <c r="BE255" s="398"/>
      <c r="BF255" s="398"/>
      <c r="BG255" s="398"/>
      <c r="BH255" s="398"/>
      <c r="BI255" s="398"/>
      <c r="BJ255" s="398"/>
      <c r="BK255" s="398"/>
      <c r="BL255" s="398"/>
      <c r="BM255" s="398"/>
      <c r="BN255" s="398"/>
      <c r="BO255" s="398"/>
      <c r="BP255" s="398"/>
      <c r="BQ255" s="398"/>
      <c r="BR255" s="398"/>
      <c r="BS255" s="398"/>
      <c r="BT255" s="398"/>
      <c r="BU255" s="398"/>
      <c r="BV255" s="398"/>
      <c r="BW255" s="398"/>
      <c r="BX255" s="398"/>
      <c r="BY255" s="398"/>
      <c r="BZ255" s="398"/>
      <c r="CA255" s="398"/>
      <c r="CB255" s="398"/>
      <c r="CC255" s="398"/>
      <c r="CD255" s="398"/>
      <c r="CE255" s="398"/>
      <c r="CF255" s="398"/>
      <c r="CG255" s="398"/>
      <c r="CH255" s="398"/>
      <c r="CI255" s="398"/>
      <c r="CJ255" s="398"/>
      <c r="CK255" s="398"/>
      <c r="CL255" s="398"/>
      <c r="CM255" s="398"/>
      <c r="CN255" s="398"/>
      <c r="CO255" s="398"/>
      <c r="CP255" s="398"/>
      <c r="CQ255" s="398"/>
      <c r="CR255" s="398"/>
      <c r="CS255" s="398"/>
      <c r="CT255" s="398"/>
      <c r="CU255" s="398"/>
      <c r="CV255" s="398"/>
      <c r="CW255" s="398"/>
      <c r="CX255" s="398"/>
      <c r="CY255" s="398"/>
      <c r="CZ255" s="398"/>
      <c r="DA255" s="398"/>
      <c r="DB255" s="398"/>
      <c r="DC255" s="398"/>
      <c r="DD255" s="398"/>
      <c r="DE255" s="398"/>
      <c r="DF255" s="398"/>
      <c r="DG255" s="398"/>
      <c r="DH255" s="398"/>
      <c r="DI255" s="398"/>
    </row>
    <row r="256" spans="1:113" ht="15.75" thickBot="1" x14ac:dyDescent="0.3">
      <c r="A256" s="409"/>
      <c r="B256" s="185">
        <v>1</v>
      </c>
      <c r="C256" s="185">
        <v>2</v>
      </c>
      <c r="D256" s="185">
        <v>3</v>
      </c>
      <c r="E256" s="70">
        <v>4</v>
      </c>
      <c r="F256" s="70">
        <f>+E256+1</f>
        <v>5</v>
      </c>
      <c r="G256" s="70" t="s">
        <v>652</v>
      </c>
      <c r="H256" s="70">
        <v>7</v>
      </c>
      <c r="I256" s="71" t="s">
        <v>651</v>
      </c>
      <c r="J256" s="42" t="s">
        <v>650</v>
      </c>
      <c r="K256" s="42" t="s">
        <v>653</v>
      </c>
      <c r="L256"/>
      <c r="M256" s="403"/>
      <c r="N256" s="402"/>
      <c r="O256" s="402"/>
      <c r="P256" s="402"/>
      <c r="Q256" s="402"/>
      <c r="R256" s="402"/>
      <c r="S256" s="399"/>
      <c r="T256" s="399"/>
      <c r="U256" s="399"/>
      <c r="V256" s="399"/>
      <c r="W256" s="399"/>
      <c r="X256" s="399"/>
      <c r="Y256" s="399"/>
      <c r="Z256" s="399"/>
      <c r="AA256" s="399"/>
      <c r="AB256" s="399"/>
      <c r="AC256" s="399"/>
      <c r="AD256" s="399"/>
      <c r="AE256" s="399"/>
      <c r="AF256" s="399"/>
      <c r="AG256" s="399"/>
      <c r="AH256" s="399"/>
      <c r="AI256" s="399"/>
      <c r="AJ256" s="399"/>
      <c r="AK256" s="399"/>
      <c r="AL256" s="399"/>
      <c r="AM256" s="399"/>
      <c r="AN256" s="399"/>
      <c r="AO256" s="399"/>
      <c r="AP256" s="399"/>
      <c r="AQ256" s="399"/>
      <c r="AR256" s="399"/>
      <c r="AS256" s="399"/>
      <c r="AT256" s="399"/>
      <c r="AU256" s="399"/>
      <c r="AV256" s="399"/>
      <c r="AW256" s="399"/>
      <c r="AX256" s="399"/>
      <c r="AY256" s="399"/>
      <c r="AZ256" s="399"/>
      <c r="BA256" s="399"/>
      <c r="BB256" s="399"/>
      <c r="BC256" s="399"/>
      <c r="BD256" s="399"/>
      <c r="BE256" s="399"/>
      <c r="BF256" s="399"/>
      <c r="BG256" s="399"/>
      <c r="BH256" s="399"/>
      <c r="BI256" s="399"/>
      <c r="BJ256" s="399"/>
      <c r="BK256" s="399"/>
      <c r="BL256" s="399"/>
      <c r="BM256" s="399"/>
      <c r="BN256" s="399"/>
      <c r="BO256" s="399"/>
      <c r="BP256" s="399"/>
      <c r="BQ256" s="399"/>
      <c r="BR256" s="399"/>
      <c r="BS256" s="399"/>
      <c r="BT256" s="399"/>
      <c r="BU256" s="399"/>
      <c r="BV256" s="399"/>
      <c r="BW256" s="399"/>
      <c r="BX256" s="399"/>
      <c r="BY256" s="399"/>
      <c r="BZ256" s="399"/>
      <c r="CA256" s="399"/>
      <c r="CB256" s="399"/>
      <c r="CC256" s="399"/>
      <c r="CD256" s="399"/>
      <c r="CE256" s="399"/>
      <c r="CF256" s="399"/>
      <c r="CG256" s="399"/>
      <c r="CH256" s="399"/>
      <c r="CI256" s="399"/>
      <c r="CJ256" s="399"/>
      <c r="CK256" s="399"/>
      <c r="CL256" s="399"/>
      <c r="CM256" s="399"/>
      <c r="CN256" s="399"/>
      <c r="CO256" s="399"/>
      <c r="CP256" s="399"/>
      <c r="CQ256" s="399"/>
      <c r="CR256" s="399"/>
      <c r="CS256" s="399"/>
      <c r="CT256" s="399"/>
      <c r="CU256" s="399"/>
      <c r="CV256" s="399"/>
      <c r="CW256" s="399"/>
      <c r="CX256" s="399"/>
      <c r="CY256" s="399"/>
      <c r="CZ256" s="399"/>
      <c r="DA256" s="399"/>
      <c r="DB256" s="399"/>
      <c r="DC256" s="399"/>
      <c r="DD256" s="399"/>
      <c r="DE256" s="399"/>
      <c r="DF256" s="399"/>
      <c r="DG256" s="399"/>
      <c r="DH256" s="399"/>
      <c r="DI256" s="399"/>
    </row>
    <row r="257" spans="1:113" x14ac:dyDescent="0.25">
      <c r="A257" s="160"/>
      <c r="B257" s="72" t="s">
        <v>706</v>
      </c>
      <c r="C257" s="54"/>
      <c r="D257" s="54"/>
      <c r="E257" s="54"/>
      <c r="F257" s="54"/>
      <c r="G257" s="54"/>
      <c r="H257" s="54"/>
      <c r="I257" s="54"/>
      <c r="J257" s="54"/>
      <c r="K257" s="54"/>
      <c r="L257"/>
      <c r="M257" s="314">
        <f t="shared" ref="M257:M383" si="52">SUM(N257:DJ257)</f>
        <v>0</v>
      </c>
      <c r="N257" s="310"/>
      <c r="O257" s="315"/>
      <c r="P257" s="315"/>
      <c r="Q257" s="315"/>
      <c r="R257" s="315"/>
      <c r="S257" s="55"/>
      <c r="T257" s="55"/>
      <c r="U257" s="55"/>
      <c r="V257" s="55"/>
      <c r="W257" s="55"/>
      <c r="X257" s="55"/>
      <c r="Y257" s="55"/>
      <c r="Z257" s="55"/>
      <c r="AA257" s="55"/>
      <c r="AB257" s="55"/>
      <c r="AC257" s="55"/>
      <c r="AD257" s="55"/>
      <c r="AE257" s="55"/>
      <c r="AF257" s="55"/>
      <c r="AG257" s="55"/>
      <c r="AH257" s="55"/>
      <c r="AI257" s="55"/>
      <c r="AJ257" s="55"/>
      <c r="AK257" s="55"/>
      <c r="AL257" s="55"/>
      <c r="AM257" s="55"/>
      <c r="AN257" s="55"/>
      <c r="AO257" s="55"/>
      <c r="AP257" s="55"/>
      <c r="AQ257" s="55"/>
      <c r="AR257" s="55"/>
      <c r="AS257" s="55"/>
      <c r="AT257" s="55"/>
      <c r="AU257" s="55"/>
      <c r="AV257" s="55"/>
      <c r="AW257" s="55"/>
      <c r="AX257" s="55"/>
      <c r="AY257" s="55"/>
      <c r="AZ257" s="55"/>
      <c r="BA257" s="55"/>
      <c r="BB257" s="55"/>
      <c r="BC257" s="55"/>
      <c r="BD257" s="55"/>
      <c r="BE257" s="55"/>
      <c r="BF257" s="55"/>
      <c r="BG257" s="55"/>
      <c r="BH257" s="55"/>
      <c r="BI257" s="55"/>
      <c r="BJ257" s="55"/>
      <c r="BK257" s="55"/>
      <c r="BL257" s="55"/>
      <c r="BM257" s="55"/>
      <c r="BN257" s="55"/>
      <c r="BO257" s="55"/>
      <c r="BP257" s="55"/>
      <c r="BQ257" s="55"/>
      <c r="BR257" s="55"/>
      <c r="BS257" s="55"/>
      <c r="BT257" s="55"/>
      <c r="BU257" s="55"/>
      <c r="BV257" s="55"/>
      <c r="BW257" s="55"/>
      <c r="BX257" s="55"/>
      <c r="BY257" s="55"/>
      <c r="BZ257" s="55"/>
      <c r="CA257" s="55"/>
      <c r="CB257" s="55"/>
      <c r="CC257" s="55"/>
      <c r="CD257" s="55"/>
      <c r="CE257" s="55"/>
      <c r="CF257" s="55"/>
      <c r="CG257" s="55"/>
      <c r="CH257" s="55"/>
      <c r="CI257" s="55"/>
      <c r="CJ257" s="55"/>
      <c r="CK257" s="55"/>
      <c r="CL257" s="55"/>
      <c r="CM257" s="55"/>
      <c r="CN257" s="55"/>
      <c r="CO257" s="55"/>
      <c r="CP257" s="55"/>
      <c r="CQ257" s="55"/>
      <c r="CR257" s="55"/>
      <c r="CS257" s="55"/>
      <c r="CT257" s="55"/>
      <c r="CU257" s="55"/>
      <c r="CV257" s="55"/>
      <c r="CW257" s="55"/>
      <c r="CX257" s="55"/>
      <c r="CY257" s="55"/>
      <c r="CZ257" s="55"/>
      <c r="DA257" s="55"/>
      <c r="DB257" s="55"/>
      <c r="DC257" s="55"/>
      <c r="DD257" s="55"/>
      <c r="DE257" s="55"/>
      <c r="DF257" s="55"/>
      <c r="DG257" s="55"/>
      <c r="DH257" s="55"/>
      <c r="DI257" s="55"/>
    </row>
    <row r="258" spans="1:113" x14ac:dyDescent="0.25">
      <c r="A258" s="317"/>
      <c r="B258" s="351"/>
      <c r="C258" s="353"/>
      <c r="D258" s="353"/>
      <c r="E258" s="353"/>
      <c r="F258" s="353"/>
      <c r="G258" s="353"/>
      <c r="H258" s="353"/>
      <c r="I258" s="353"/>
      <c r="J258" s="353"/>
      <c r="K258" s="353"/>
      <c r="L258"/>
      <c r="M258" s="348"/>
      <c r="N258" s="310" t="s">
        <v>1087</v>
      </c>
      <c r="O258" s="349" t="s">
        <v>1093</v>
      </c>
      <c r="P258" s="349"/>
      <c r="Q258" s="349"/>
      <c r="R258" s="349"/>
      <c r="S258" s="346"/>
      <c r="T258" s="346"/>
      <c r="U258" s="346"/>
      <c r="V258" s="346"/>
      <c r="W258" s="346"/>
      <c r="X258" s="346"/>
      <c r="Y258" s="346"/>
      <c r="Z258" s="346"/>
      <c r="AA258" s="346"/>
      <c r="AB258" s="346"/>
      <c r="AC258" s="346"/>
      <c r="AD258" s="346"/>
      <c r="AE258" s="346"/>
      <c r="AF258" s="346"/>
      <c r="AG258" s="346"/>
      <c r="AH258" s="346"/>
      <c r="AI258" s="346"/>
      <c r="AJ258" s="346"/>
      <c r="AK258" s="346"/>
      <c r="AL258" s="346"/>
      <c r="AM258" s="346"/>
      <c r="AN258" s="346"/>
      <c r="AO258" s="346"/>
      <c r="AP258" s="346"/>
      <c r="AQ258" s="346"/>
      <c r="AR258" s="346"/>
      <c r="AS258" s="346"/>
      <c r="AT258" s="346"/>
      <c r="AU258" s="346"/>
      <c r="AV258" s="346"/>
      <c r="AW258" s="346"/>
      <c r="AX258" s="346"/>
      <c r="AY258" s="346"/>
      <c r="AZ258" s="346"/>
      <c r="BA258" s="346"/>
      <c r="BB258" s="346"/>
      <c r="BC258" s="346"/>
      <c r="BD258" s="346"/>
      <c r="BE258" s="346"/>
      <c r="BF258" s="346"/>
      <c r="BG258" s="346"/>
      <c r="BH258" s="346"/>
      <c r="BI258" s="346"/>
      <c r="BJ258" s="346"/>
      <c r="BK258" s="346"/>
      <c r="BL258" s="346"/>
      <c r="BM258" s="346"/>
      <c r="BN258" s="346"/>
      <c r="BO258" s="346"/>
      <c r="BP258" s="346"/>
      <c r="BQ258" s="346"/>
      <c r="BR258" s="346"/>
      <c r="BS258" s="346"/>
      <c r="BT258" s="346"/>
      <c r="BU258" s="346"/>
      <c r="BV258" s="346"/>
      <c r="BW258" s="346"/>
      <c r="BX258" s="346"/>
      <c r="BY258" s="346"/>
      <c r="BZ258" s="346"/>
      <c r="CA258" s="346"/>
      <c r="CB258" s="346"/>
      <c r="CC258" s="346"/>
      <c r="CD258" s="346"/>
      <c r="CE258" s="346"/>
      <c r="CF258" s="346"/>
      <c r="CG258" s="346"/>
      <c r="CH258" s="346"/>
      <c r="CI258" s="346"/>
      <c r="CJ258" s="346"/>
      <c r="CK258" s="346"/>
      <c r="CL258" s="346"/>
      <c r="CM258" s="346"/>
      <c r="CN258" s="346"/>
      <c r="CO258" s="346"/>
      <c r="CP258" s="346"/>
      <c r="CQ258" s="346"/>
      <c r="CR258" s="346"/>
      <c r="CS258" s="346"/>
      <c r="CT258" s="346"/>
      <c r="CU258" s="346"/>
      <c r="CV258" s="346"/>
      <c r="CW258" s="346"/>
      <c r="CX258" s="346"/>
      <c r="CY258" s="346"/>
      <c r="CZ258" s="346"/>
      <c r="DA258" s="346"/>
      <c r="DB258" s="346"/>
      <c r="DC258" s="346"/>
      <c r="DD258" s="346"/>
      <c r="DE258" s="346"/>
      <c r="DF258" s="346"/>
      <c r="DG258" s="346"/>
      <c r="DH258" s="346"/>
      <c r="DI258" s="346"/>
    </row>
    <row r="259" spans="1:113" x14ac:dyDescent="0.25">
      <c r="A259" s="152">
        <v>1</v>
      </c>
      <c r="B259" s="60" t="s">
        <v>409</v>
      </c>
      <c r="C259" s="80">
        <v>11000</v>
      </c>
      <c r="D259" s="142">
        <v>2154.44</v>
      </c>
      <c r="E259" s="43">
        <v>13</v>
      </c>
      <c r="F259" s="60"/>
      <c r="G259" s="139">
        <f t="shared" ref="G259:G382" si="53">+E259+F259</f>
        <v>13</v>
      </c>
      <c r="H259" s="55"/>
      <c r="I259" s="56">
        <f t="shared" ref="I259:I382" si="54">+G259-H259</f>
        <v>13</v>
      </c>
      <c r="J259" s="56">
        <f t="shared" ref="J259:J382" si="55">I259*C259</f>
        <v>143000</v>
      </c>
      <c r="K259" s="57">
        <f t="shared" ref="K259:K382" si="56">+D259*I259</f>
        <v>28007.72</v>
      </c>
      <c r="L259"/>
      <c r="M259" s="314">
        <f t="shared" si="52"/>
        <v>192</v>
      </c>
      <c r="N259" s="310">
        <f>100+2</f>
        <v>102</v>
      </c>
      <c r="O259" s="315">
        <f>90</f>
        <v>90</v>
      </c>
      <c r="P259" s="315"/>
      <c r="Q259" s="315"/>
      <c r="R259" s="315"/>
      <c r="S259" s="55"/>
      <c r="T259" s="55"/>
      <c r="U259" s="55"/>
      <c r="V259" s="55"/>
      <c r="W259" s="55"/>
      <c r="X259" s="55"/>
      <c r="Y259" s="55"/>
      <c r="Z259" s="55"/>
      <c r="AA259" s="55"/>
      <c r="AB259" s="55"/>
      <c r="AC259" s="55"/>
      <c r="AD259" s="55"/>
      <c r="AE259" s="55"/>
      <c r="AF259" s="55"/>
      <c r="AG259" s="55"/>
      <c r="AH259" s="55"/>
      <c r="AI259" s="55"/>
      <c r="AJ259" s="55"/>
      <c r="AK259" s="55"/>
      <c r="AL259" s="55"/>
      <c r="AM259" s="55"/>
      <c r="AN259" s="55"/>
      <c r="AO259" s="55"/>
      <c r="AP259" s="55"/>
      <c r="AQ259" s="55"/>
      <c r="AR259" s="55"/>
      <c r="AS259" s="55"/>
      <c r="AT259" s="55"/>
      <c r="AU259" s="55"/>
      <c r="AV259" s="55"/>
      <c r="AW259" s="55"/>
      <c r="AX259" s="55"/>
      <c r="AY259" s="55"/>
      <c r="AZ259" s="55"/>
      <c r="BA259" s="55"/>
      <c r="BB259" s="55"/>
      <c r="BC259" s="55"/>
      <c r="BD259" s="55"/>
      <c r="BE259" s="55"/>
      <c r="BF259" s="55"/>
      <c r="BG259" s="55"/>
      <c r="BH259" s="55"/>
      <c r="BI259" s="55"/>
      <c r="BJ259" s="55"/>
      <c r="BK259" s="55"/>
      <c r="BL259" s="55"/>
      <c r="BM259" s="55"/>
      <c r="BN259" s="55"/>
      <c r="BO259" s="55"/>
      <c r="BP259" s="55"/>
      <c r="BQ259" s="55"/>
      <c r="BR259" s="55"/>
      <c r="BS259" s="55"/>
      <c r="BT259" s="55"/>
      <c r="BU259" s="55"/>
      <c r="BV259" s="55"/>
      <c r="BW259" s="55"/>
      <c r="BX259" s="55"/>
      <c r="BY259" s="55"/>
      <c r="BZ259" s="55"/>
      <c r="CA259" s="55"/>
      <c r="CB259" s="55"/>
      <c r="CC259" s="55"/>
      <c r="CD259" s="55"/>
      <c r="CE259" s="55"/>
      <c r="CF259" s="55"/>
      <c r="CG259" s="55"/>
      <c r="CH259" s="55"/>
      <c r="CI259" s="55"/>
      <c r="CJ259" s="55"/>
      <c r="CK259" s="55"/>
      <c r="CL259" s="55"/>
      <c r="CM259" s="55"/>
      <c r="CN259" s="55"/>
      <c r="CO259" s="55"/>
      <c r="CP259" s="55"/>
      <c r="CQ259" s="55"/>
      <c r="CR259" s="55"/>
      <c r="CS259" s="55"/>
      <c r="CT259" s="55"/>
      <c r="CU259" s="55"/>
      <c r="CV259" s="55"/>
      <c r="CW259" s="55"/>
      <c r="CX259" s="55"/>
      <c r="CY259" s="55"/>
      <c r="CZ259" s="55"/>
      <c r="DA259" s="55"/>
      <c r="DB259" s="55"/>
      <c r="DC259" s="55"/>
      <c r="DD259" s="55"/>
      <c r="DE259" s="55"/>
      <c r="DF259" s="55"/>
      <c r="DG259" s="55"/>
      <c r="DH259" s="55"/>
      <c r="DI259" s="55"/>
    </row>
    <row r="260" spans="1:113" x14ac:dyDescent="0.25">
      <c r="A260" s="380"/>
      <c r="B260" s="350"/>
      <c r="C260" s="341"/>
      <c r="D260" s="381"/>
      <c r="E260" s="344"/>
      <c r="F260" s="350"/>
      <c r="G260" s="356"/>
      <c r="H260" s="346"/>
      <c r="I260" s="345"/>
      <c r="J260" s="345"/>
      <c r="K260" s="347"/>
      <c r="L260"/>
      <c r="M260" s="348"/>
      <c r="N260" s="310" t="s">
        <v>1087</v>
      </c>
      <c r="O260" s="349" t="s">
        <v>1093</v>
      </c>
      <c r="P260" s="349" t="s">
        <v>1093</v>
      </c>
      <c r="Q260" s="349"/>
      <c r="R260" s="349"/>
      <c r="S260" s="346"/>
      <c r="T260" s="346"/>
      <c r="U260" s="346"/>
      <c r="V260" s="346"/>
      <c r="W260" s="346"/>
      <c r="X260" s="346"/>
      <c r="Y260" s="346"/>
      <c r="Z260" s="346"/>
      <c r="AA260" s="346"/>
      <c r="AB260" s="346"/>
      <c r="AC260" s="346"/>
      <c r="AD260" s="346"/>
      <c r="AE260" s="346"/>
      <c r="AF260" s="346"/>
      <c r="AG260" s="346"/>
      <c r="AH260" s="346"/>
      <c r="AI260" s="346"/>
      <c r="AJ260" s="346"/>
      <c r="AK260" s="346"/>
      <c r="AL260" s="346"/>
      <c r="AM260" s="346"/>
      <c r="AN260" s="346"/>
      <c r="AO260" s="346"/>
      <c r="AP260" s="346"/>
      <c r="AQ260" s="346"/>
      <c r="AR260" s="346"/>
      <c r="AS260" s="346"/>
      <c r="AT260" s="346"/>
      <c r="AU260" s="346"/>
      <c r="AV260" s="346"/>
      <c r="AW260" s="346"/>
      <c r="AX260" s="346"/>
      <c r="AY260" s="346"/>
      <c r="AZ260" s="346"/>
      <c r="BA260" s="346"/>
      <c r="BB260" s="346"/>
      <c r="BC260" s="346"/>
      <c r="BD260" s="346"/>
      <c r="BE260" s="346"/>
      <c r="BF260" s="346"/>
      <c r="BG260" s="346"/>
      <c r="BH260" s="346"/>
      <c r="BI260" s="346"/>
      <c r="BJ260" s="346"/>
      <c r="BK260" s="346"/>
      <c r="BL260" s="346"/>
      <c r="BM260" s="346"/>
      <c r="BN260" s="346"/>
      <c r="BO260" s="346"/>
      <c r="BP260" s="346"/>
      <c r="BQ260" s="346"/>
      <c r="BR260" s="346"/>
      <c r="BS260" s="346"/>
      <c r="BT260" s="346"/>
      <c r="BU260" s="346"/>
      <c r="BV260" s="346"/>
      <c r="BW260" s="346"/>
      <c r="BX260" s="346"/>
      <c r="BY260" s="346"/>
      <c r="BZ260" s="346"/>
      <c r="CA260" s="346"/>
      <c r="CB260" s="346"/>
      <c r="CC260" s="346"/>
      <c r="CD260" s="346"/>
      <c r="CE260" s="346"/>
      <c r="CF260" s="346"/>
      <c r="CG260" s="346"/>
      <c r="CH260" s="346"/>
      <c r="CI260" s="346"/>
      <c r="CJ260" s="346"/>
      <c r="CK260" s="346"/>
      <c r="CL260" s="346"/>
      <c r="CM260" s="346"/>
      <c r="CN260" s="346"/>
      <c r="CO260" s="346"/>
      <c r="CP260" s="346"/>
      <c r="CQ260" s="346"/>
      <c r="CR260" s="346"/>
      <c r="CS260" s="346"/>
      <c r="CT260" s="346"/>
      <c r="CU260" s="346"/>
      <c r="CV260" s="346"/>
      <c r="CW260" s="346"/>
      <c r="CX260" s="346"/>
      <c r="CY260" s="346"/>
      <c r="CZ260" s="346"/>
      <c r="DA260" s="346"/>
      <c r="DB260" s="346"/>
      <c r="DC260" s="346"/>
      <c r="DD260" s="346"/>
      <c r="DE260" s="346"/>
      <c r="DF260" s="346"/>
      <c r="DG260" s="346"/>
      <c r="DH260" s="346"/>
      <c r="DI260" s="346"/>
    </row>
    <row r="261" spans="1:113" x14ac:dyDescent="0.25">
      <c r="A261" s="152">
        <v>2</v>
      </c>
      <c r="B261" s="60" t="s">
        <v>410</v>
      </c>
      <c r="C261" s="80">
        <v>7000</v>
      </c>
      <c r="D261" s="142">
        <v>2593.21</v>
      </c>
      <c r="E261" s="43">
        <v>33</v>
      </c>
      <c r="F261" s="60"/>
      <c r="G261" s="139">
        <f t="shared" si="53"/>
        <v>33</v>
      </c>
      <c r="H261" s="55"/>
      <c r="I261" s="56">
        <f t="shared" si="54"/>
        <v>33</v>
      </c>
      <c r="J261" s="56">
        <f t="shared" si="55"/>
        <v>231000</v>
      </c>
      <c r="K261" s="57">
        <f t="shared" si="56"/>
        <v>85575.930000000008</v>
      </c>
      <c r="L261"/>
      <c r="M261" s="314">
        <f t="shared" si="52"/>
        <v>198</v>
      </c>
      <c r="N261" s="310">
        <f>22+30</f>
        <v>52</v>
      </c>
      <c r="O261" s="315">
        <v>86</v>
      </c>
      <c r="P261" s="315">
        <v>60</v>
      </c>
      <c r="Q261" s="315"/>
      <c r="R261" s="315"/>
      <c r="S261" s="55"/>
      <c r="T261" s="55"/>
      <c r="U261" s="55"/>
      <c r="V261" s="55"/>
      <c r="W261" s="55"/>
      <c r="X261" s="55"/>
      <c r="Y261" s="55"/>
      <c r="Z261" s="55"/>
      <c r="AA261" s="55"/>
      <c r="AB261" s="55"/>
      <c r="AC261" s="55"/>
      <c r="AD261" s="55"/>
      <c r="AE261" s="55"/>
      <c r="AF261" s="55"/>
      <c r="AG261" s="55"/>
      <c r="AH261" s="55"/>
      <c r="AI261" s="55"/>
      <c r="AJ261" s="55"/>
      <c r="AK261" s="55"/>
      <c r="AL261" s="55"/>
      <c r="AM261" s="55"/>
      <c r="AN261" s="55"/>
      <c r="AO261" s="55"/>
      <c r="AP261" s="55"/>
      <c r="AQ261" s="55"/>
      <c r="AR261" s="55"/>
      <c r="AS261" s="55"/>
      <c r="AT261" s="55"/>
      <c r="AU261" s="55"/>
      <c r="AV261" s="55"/>
      <c r="AW261" s="55"/>
      <c r="AX261" s="55"/>
      <c r="AY261" s="55"/>
      <c r="AZ261" s="55"/>
      <c r="BA261" s="55"/>
      <c r="BB261" s="55"/>
      <c r="BC261" s="55"/>
      <c r="BD261" s="55"/>
      <c r="BE261" s="55"/>
      <c r="BF261" s="55"/>
      <c r="BG261" s="55"/>
      <c r="BH261" s="55"/>
      <c r="BI261" s="55"/>
      <c r="BJ261" s="55"/>
      <c r="BK261" s="55"/>
      <c r="BL261" s="55"/>
      <c r="BM261" s="55"/>
      <c r="BN261" s="55"/>
      <c r="BO261" s="55"/>
      <c r="BP261" s="55"/>
      <c r="BQ261" s="55"/>
      <c r="BR261" s="55"/>
      <c r="BS261" s="55"/>
      <c r="BT261" s="55"/>
      <c r="BU261" s="55"/>
      <c r="BV261" s="55"/>
      <c r="BW261" s="55"/>
      <c r="BX261" s="55"/>
      <c r="BY261" s="55"/>
      <c r="BZ261" s="55"/>
      <c r="CA261" s="55"/>
      <c r="CB261" s="55"/>
      <c r="CC261" s="55"/>
      <c r="CD261" s="55"/>
      <c r="CE261" s="55"/>
      <c r="CF261" s="55"/>
      <c r="CG261" s="55"/>
      <c r="CH261" s="55"/>
      <c r="CI261" s="55"/>
      <c r="CJ261" s="55"/>
      <c r="CK261" s="55"/>
      <c r="CL261" s="55"/>
      <c r="CM261" s="55"/>
      <c r="CN261" s="55"/>
      <c r="CO261" s="55"/>
      <c r="CP261" s="55"/>
      <c r="CQ261" s="55"/>
      <c r="CR261" s="55"/>
      <c r="CS261" s="55"/>
      <c r="CT261" s="55"/>
      <c r="CU261" s="55"/>
      <c r="CV261" s="55"/>
      <c r="CW261" s="55"/>
      <c r="CX261" s="55"/>
      <c r="CY261" s="55"/>
      <c r="CZ261" s="55"/>
      <c r="DA261" s="55"/>
      <c r="DB261" s="55"/>
      <c r="DC261" s="55"/>
      <c r="DD261" s="55"/>
      <c r="DE261" s="55"/>
      <c r="DF261" s="55"/>
      <c r="DG261" s="55"/>
      <c r="DH261" s="55"/>
      <c r="DI261" s="55"/>
    </row>
    <row r="262" spans="1:113" x14ac:dyDescent="0.25">
      <c r="A262" s="380"/>
      <c r="B262" s="350"/>
      <c r="C262" s="341"/>
      <c r="D262" s="381"/>
      <c r="E262" s="344"/>
      <c r="F262" s="350"/>
      <c r="G262" s="356"/>
      <c r="H262" s="346"/>
      <c r="I262" s="345"/>
      <c r="J262" s="345"/>
      <c r="K262" s="347"/>
      <c r="L262"/>
      <c r="M262" s="348"/>
      <c r="N262" s="310" t="s">
        <v>1094</v>
      </c>
      <c r="O262" s="349" t="s">
        <v>1094</v>
      </c>
      <c r="P262" s="349" t="s">
        <v>1106</v>
      </c>
      <c r="Q262" s="349" t="s">
        <v>1093</v>
      </c>
      <c r="R262" s="349" t="s">
        <v>965</v>
      </c>
      <c r="S262" s="346" t="s">
        <v>1092</v>
      </c>
      <c r="T262" s="346" t="s">
        <v>1088</v>
      </c>
      <c r="U262" s="346" t="s">
        <v>1095</v>
      </c>
      <c r="V262" s="346" t="s">
        <v>1096</v>
      </c>
      <c r="W262" s="346" t="s">
        <v>1090</v>
      </c>
      <c r="X262" s="346"/>
      <c r="Y262" s="346"/>
      <c r="Z262" s="346"/>
      <c r="AA262" s="346"/>
      <c r="AB262" s="346"/>
      <c r="AC262" s="346"/>
      <c r="AD262" s="346"/>
      <c r="AE262" s="346"/>
      <c r="AF262" s="346"/>
      <c r="AG262" s="346"/>
      <c r="AH262" s="346"/>
      <c r="AI262" s="346"/>
      <c r="AJ262" s="346"/>
      <c r="AK262" s="346"/>
      <c r="AL262" s="346"/>
      <c r="AM262" s="346"/>
      <c r="AN262" s="346"/>
      <c r="AO262" s="346"/>
      <c r="AP262" s="346"/>
      <c r="AQ262" s="346"/>
      <c r="AR262" s="346"/>
      <c r="AS262" s="346"/>
      <c r="AT262" s="346"/>
      <c r="AU262" s="346"/>
      <c r="AV262" s="346"/>
      <c r="AW262" s="346"/>
      <c r="AX262" s="346"/>
      <c r="AY262" s="346"/>
      <c r="AZ262" s="346"/>
      <c r="BA262" s="346"/>
      <c r="BB262" s="346"/>
      <c r="BC262" s="346"/>
      <c r="BD262" s="346"/>
      <c r="BE262" s="346"/>
      <c r="BF262" s="346"/>
      <c r="BG262" s="346"/>
      <c r="BH262" s="346"/>
      <c r="BI262" s="346"/>
      <c r="BJ262" s="346"/>
      <c r="BK262" s="346"/>
      <c r="BL262" s="346"/>
      <c r="BM262" s="346"/>
      <c r="BN262" s="346"/>
      <c r="BO262" s="346"/>
      <c r="BP262" s="346"/>
      <c r="BQ262" s="346"/>
      <c r="BR262" s="346"/>
      <c r="BS262" s="346"/>
      <c r="BT262" s="346"/>
      <c r="BU262" s="346"/>
      <c r="BV262" s="346"/>
      <c r="BW262" s="346"/>
      <c r="BX262" s="346"/>
      <c r="BY262" s="346"/>
      <c r="BZ262" s="346"/>
      <c r="CA262" s="346"/>
      <c r="CB262" s="346"/>
      <c r="CC262" s="346"/>
      <c r="CD262" s="346"/>
      <c r="CE262" s="346"/>
      <c r="CF262" s="346"/>
      <c r="CG262" s="346"/>
      <c r="CH262" s="346"/>
      <c r="CI262" s="346"/>
      <c r="CJ262" s="346"/>
      <c r="CK262" s="346"/>
      <c r="CL262" s="346"/>
      <c r="CM262" s="346"/>
      <c r="CN262" s="346"/>
      <c r="CO262" s="346"/>
      <c r="CP262" s="346"/>
      <c r="CQ262" s="346"/>
      <c r="CR262" s="346"/>
      <c r="CS262" s="346"/>
      <c r="CT262" s="346"/>
      <c r="CU262" s="346"/>
      <c r="CV262" s="346"/>
      <c r="CW262" s="346"/>
      <c r="CX262" s="346"/>
      <c r="CY262" s="346"/>
      <c r="CZ262" s="346"/>
      <c r="DA262" s="346"/>
      <c r="DB262" s="346"/>
      <c r="DC262" s="346"/>
      <c r="DD262" s="346"/>
      <c r="DE262" s="346"/>
      <c r="DF262" s="346"/>
      <c r="DG262" s="346"/>
      <c r="DH262" s="346"/>
      <c r="DI262" s="346"/>
    </row>
    <row r="263" spans="1:113" x14ac:dyDescent="0.25">
      <c r="A263" s="152">
        <v>3</v>
      </c>
      <c r="B263" s="60" t="s">
        <v>411</v>
      </c>
      <c r="C263" s="80">
        <v>8000</v>
      </c>
      <c r="D263" s="142">
        <v>2094.84</v>
      </c>
      <c r="E263" s="43">
        <v>90</v>
      </c>
      <c r="F263" s="60"/>
      <c r="G263" s="139">
        <f t="shared" si="53"/>
        <v>90</v>
      </c>
      <c r="H263" s="55"/>
      <c r="I263" s="56">
        <f t="shared" si="54"/>
        <v>90</v>
      </c>
      <c r="J263" s="56">
        <f t="shared" si="55"/>
        <v>720000</v>
      </c>
      <c r="K263" s="57">
        <f t="shared" si="56"/>
        <v>188535.6</v>
      </c>
      <c r="L263"/>
      <c r="M263" s="314">
        <f t="shared" si="52"/>
        <v>490</v>
      </c>
      <c r="N263" s="310">
        <f>20+20+20+3</f>
        <v>63</v>
      </c>
      <c r="O263" s="315">
        <f>20*7</f>
        <v>140</v>
      </c>
      <c r="P263" s="315">
        <f>100+38</f>
        <v>138</v>
      </c>
      <c r="Q263" s="315">
        <v>97</v>
      </c>
      <c r="R263" s="315">
        <v>8</v>
      </c>
      <c r="S263" s="55">
        <v>4</v>
      </c>
      <c r="T263" s="55">
        <v>19</v>
      </c>
      <c r="U263" s="55">
        <v>7</v>
      </c>
      <c r="V263" s="55">
        <v>7</v>
      </c>
      <c r="W263" s="55">
        <v>7</v>
      </c>
      <c r="X263" s="55"/>
      <c r="Y263" s="55"/>
      <c r="Z263" s="55"/>
      <c r="AA263" s="55"/>
      <c r="AB263" s="55"/>
      <c r="AC263" s="55"/>
      <c r="AD263" s="55"/>
      <c r="AE263" s="55"/>
      <c r="AF263" s="55"/>
      <c r="AG263" s="55"/>
      <c r="AH263" s="55"/>
      <c r="AI263" s="55"/>
      <c r="AJ263" s="55"/>
      <c r="AK263" s="55"/>
      <c r="AL263" s="55"/>
      <c r="AM263" s="55"/>
      <c r="AN263" s="55"/>
      <c r="AO263" s="55"/>
      <c r="AP263" s="55"/>
      <c r="AQ263" s="55"/>
      <c r="AR263" s="55"/>
      <c r="AS263" s="55"/>
      <c r="AT263" s="55"/>
      <c r="AU263" s="55"/>
      <c r="AV263" s="55"/>
      <c r="AW263" s="55"/>
      <c r="AX263" s="55"/>
      <c r="AY263" s="55"/>
      <c r="AZ263" s="55"/>
      <c r="BA263" s="55"/>
      <c r="BB263" s="55"/>
      <c r="BC263" s="55"/>
      <c r="BD263" s="55"/>
      <c r="BE263" s="55"/>
      <c r="BF263" s="55"/>
      <c r="BG263" s="55"/>
      <c r="BH263" s="55"/>
      <c r="BI263" s="55"/>
      <c r="BJ263" s="55"/>
      <c r="BK263" s="55"/>
      <c r="BL263" s="55"/>
      <c r="BM263" s="55"/>
      <c r="BN263" s="55"/>
      <c r="BO263" s="55"/>
      <c r="BP263" s="55"/>
      <c r="BQ263" s="55"/>
      <c r="BR263" s="55"/>
      <c r="BS263" s="55"/>
      <c r="BT263" s="55"/>
      <c r="BU263" s="55"/>
      <c r="BV263" s="55"/>
      <c r="BW263" s="55"/>
      <c r="BX263" s="55"/>
      <c r="BY263" s="55"/>
      <c r="BZ263" s="55"/>
      <c r="CA263" s="55"/>
      <c r="CB263" s="55"/>
      <c r="CC263" s="55"/>
      <c r="CD263" s="55"/>
      <c r="CE263" s="55"/>
      <c r="CF263" s="55"/>
      <c r="CG263" s="55"/>
      <c r="CH263" s="55"/>
      <c r="CI263" s="55"/>
      <c r="CJ263" s="55"/>
      <c r="CK263" s="55"/>
      <c r="CL263" s="55"/>
      <c r="CM263" s="55"/>
      <c r="CN263" s="55"/>
      <c r="CO263" s="55"/>
      <c r="CP263" s="55"/>
      <c r="CQ263" s="55"/>
      <c r="CR263" s="55"/>
      <c r="CS263" s="55"/>
      <c r="CT263" s="55"/>
      <c r="CU263" s="55"/>
      <c r="CV263" s="55"/>
      <c r="CW263" s="55"/>
      <c r="CX263" s="55"/>
      <c r="CY263" s="55"/>
      <c r="CZ263" s="55"/>
      <c r="DA263" s="55"/>
      <c r="DB263" s="55"/>
      <c r="DC263" s="55"/>
      <c r="DD263" s="55"/>
      <c r="DE263" s="55"/>
      <c r="DF263" s="55"/>
      <c r="DG263" s="55"/>
      <c r="DH263" s="55"/>
      <c r="DI263" s="55"/>
    </row>
    <row r="264" spans="1:113" x14ac:dyDescent="0.25">
      <c r="A264" s="152">
        <v>4</v>
      </c>
      <c r="B264" s="60" t="s">
        <v>412</v>
      </c>
      <c r="C264" s="80">
        <v>10000</v>
      </c>
      <c r="D264" s="142">
        <v>4514.84</v>
      </c>
      <c r="E264" s="43">
        <v>174</v>
      </c>
      <c r="F264" s="60"/>
      <c r="G264" s="139">
        <f t="shared" si="53"/>
        <v>174</v>
      </c>
      <c r="H264" s="55"/>
      <c r="I264" s="56">
        <f t="shared" si="54"/>
        <v>174</v>
      </c>
      <c r="J264" s="56">
        <f t="shared" si="55"/>
        <v>1740000</v>
      </c>
      <c r="K264" s="57">
        <f t="shared" si="56"/>
        <v>785582.16</v>
      </c>
      <c r="L264"/>
      <c r="M264" s="314">
        <f t="shared" si="52"/>
        <v>0</v>
      </c>
      <c r="N264" s="310"/>
      <c r="O264" s="315"/>
      <c r="P264" s="315"/>
      <c r="Q264" s="315"/>
      <c r="R264" s="315"/>
      <c r="S264" s="55"/>
      <c r="T264" s="55"/>
      <c r="U264" s="55"/>
      <c r="V264" s="55"/>
      <c r="W264" s="55"/>
      <c r="X264" s="55"/>
      <c r="Y264" s="55"/>
      <c r="Z264" s="55"/>
      <c r="AA264" s="55"/>
      <c r="AB264" s="55"/>
      <c r="AC264" s="55"/>
      <c r="AD264" s="55"/>
      <c r="AE264" s="55"/>
      <c r="AF264" s="55"/>
      <c r="AG264" s="55"/>
      <c r="AH264" s="55"/>
      <c r="AI264" s="55"/>
      <c r="AJ264" s="55"/>
      <c r="AK264" s="55"/>
      <c r="AL264" s="55"/>
      <c r="AM264" s="55"/>
      <c r="AN264" s="55"/>
      <c r="AO264" s="55"/>
      <c r="AP264" s="55"/>
      <c r="AQ264" s="55"/>
      <c r="AR264" s="55"/>
      <c r="AS264" s="55"/>
      <c r="AT264" s="55"/>
      <c r="AU264" s="55"/>
      <c r="AV264" s="55"/>
      <c r="AW264" s="55"/>
      <c r="AX264" s="55"/>
      <c r="AY264" s="55"/>
      <c r="AZ264" s="55"/>
      <c r="BA264" s="55"/>
      <c r="BB264" s="55"/>
      <c r="BC264" s="55"/>
      <c r="BD264" s="55"/>
      <c r="BE264" s="55"/>
      <c r="BF264" s="55"/>
      <c r="BG264" s="55"/>
      <c r="BH264" s="55"/>
      <c r="BI264" s="55"/>
      <c r="BJ264" s="55"/>
      <c r="BK264" s="55"/>
      <c r="BL264" s="55"/>
      <c r="BM264" s="55"/>
      <c r="BN264" s="55"/>
      <c r="BO264" s="55"/>
      <c r="BP264" s="55"/>
      <c r="BQ264" s="55"/>
      <c r="BR264" s="55"/>
      <c r="BS264" s="55"/>
      <c r="BT264" s="55"/>
      <c r="BU264" s="55"/>
      <c r="BV264" s="55"/>
      <c r="BW264" s="55"/>
      <c r="BX264" s="55"/>
      <c r="BY264" s="55"/>
      <c r="BZ264" s="55"/>
      <c r="CA264" s="55"/>
      <c r="CB264" s="55"/>
      <c r="CC264" s="55"/>
      <c r="CD264" s="55"/>
      <c r="CE264" s="55"/>
      <c r="CF264" s="55"/>
      <c r="CG264" s="55"/>
      <c r="CH264" s="55"/>
      <c r="CI264" s="55"/>
      <c r="CJ264" s="55"/>
      <c r="CK264" s="55"/>
      <c r="CL264" s="55"/>
      <c r="CM264" s="55"/>
      <c r="CN264" s="55"/>
      <c r="CO264" s="55"/>
      <c r="CP264" s="55"/>
      <c r="CQ264" s="55"/>
      <c r="CR264" s="55"/>
      <c r="CS264" s="55"/>
      <c r="CT264" s="55"/>
      <c r="CU264" s="55"/>
      <c r="CV264" s="55"/>
      <c r="CW264" s="55"/>
      <c r="CX264" s="55"/>
      <c r="CY264" s="55"/>
      <c r="CZ264" s="55"/>
      <c r="DA264" s="55"/>
      <c r="DB264" s="55"/>
      <c r="DC264" s="55"/>
      <c r="DD264" s="55"/>
      <c r="DE264" s="55"/>
      <c r="DF264" s="55"/>
      <c r="DG264" s="55"/>
      <c r="DH264" s="55"/>
      <c r="DI264" s="55"/>
    </row>
    <row r="265" spans="1:113" x14ac:dyDescent="0.25">
      <c r="A265" s="380"/>
      <c r="B265" s="350"/>
      <c r="C265" s="341"/>
      <c r="D265" s="381"/>
      <c r="E265" s="344"/>
      <c r="F265" s="350"/>
      <c r="G265" s="356"/>
      <c r="H265" s="346"/>
      <c r="I265" s="345"/>
      <c r="J265" s="345"/>
      <c r="K265" s="347"/>
      <c r="L265"/>
      <c r="M265" s="348"/>
      <c r="N265" s="310" t="s">
        <v>1088</v>
      </c>
      <c r="O265" s="349" t="s">
        <v>1101</v>
      </c>
      <c r="P265" s="349" t="s">
        <v>1090</v>
      </c>
      <c r="Q265" s="349" t="s">
        <v>1087</v>
      </c>
      <c r="R265" s="349" t="s">
        <v>1044</v>
      </c>
      <c r="S265" s="346" t="s">
        <v>1098</v>
      </c>
      <c r="T265" s="346" t="s">
        <v>1093</v>
      </c>
      <c r="U265" s="346"/>
      <c r="V265" s="346"/>
      <c r="W265" s="346"/>
      <c r="X265" s="346"/>
      <c r="Y265" s="346"/>
      <c r="Z265" s="346"/>
      <c r="AA265" s="346"/>
      <c r="AB265" s="346"/>
      <c r="AC265" s="346"/>
      <c r="AD265" s="346"/>
      <c r="AE265" s="346"/>
      <c r="AF265" s="346"/>
      <c r="AG265" s="346"/>
      <c r="AH265" s="346"/>
      <c r="AI265" s="346"/>
      <c r="AJ265" s="346"/>
      <c r="AK265" s="346"/>
      <c r="AL265" s="346"/>
      <c r="AM265" s="346"/>
      <c r="AN265" s="346"/>
      <c r="AO265" s="346"/>
      <c r="AP265" s="346"/>
      <c r="AQ265" s="346"/>
      <c r="AR265" s="346"/>
      <c r="AS265" s="346"/>
      <c r="AT265" s="346"/>
      <c r="AU265" s="346"/>
      <c r="AV265" s="346"/>
      <c r="AW265" s="346"/>
      <c r="AX265" s="346"/>
      <c r="AY265" s="346"/>
      <c r="AZ265" s="346"/>
      <c r="BA265" s="346"/>
      <c r="BB265" s="346"/>
      <c r="BC265" s="346"/>
      <c r="BD265" s="346"/>
      <c r="BE265" s="346"/>
      <c r="BF265" s="346"/>
      <c r="BG265" s="346"/>
      <c r="BH265" s="346"/>
      <c r="BI265" s="346"/>
      <c r="BJ265" s="346"/>
      <c r="BK265" s="346"/>
      <c r="BL265" s="346"/>
      <c r="BM265" s="346"/>
      <c r="BN265" s="346"/>
      <c r="BO265" s="346"/>
      <c r="BP265" s="346"/>
      <c r="BQ265" s="346"/>
      <c r="BR265" s="346"/>
      <c r="BS265" s="346"/>
      <c r="BT265" s="346"/>
      <c r="BU265" s="346"/>
      <c r="BV265" s="346"/>
      <c r="BW265" s="346"/>
      <c r="BX265" s="346"/>
      <c r="BY265" s="346"/>
      <c r="BZ265" s="346"/>
      <c r="CA265" s="346"/>
      <c r="CB265" s="346"/>
      <c r="CC265" s="346"/>
      <c r="CD265" s="346"/>
      <c r="CE265" s="346"/>
      <c r="CF265" s="346"/>
      <c r="CG265" s="346"/>
      <c r="CH265" s="346"/>
      <c r="CI265" s="346"/>
      <c r="CJ265" s="346"/>
      <c r="CK265" s="346"/>
      <c r="CL265" s="346"/>
      <c r="CM265" s="346"/>
      <c r="CN265" s="346"/>
      <c r="CO265" s="346"/>
      <c r="CP265" s="346"/>
      <c r="CQ265" s="346"/>
      <c r="CR265" s="346"/>
      <c r="CS265" s="346"/>
      <c r="CT265" s="346"/>
      <c r="CU265" s="346"/>
      <c r="CV265" s="346"/>
      <c r="CW265" s="346"/>
      <c r="CX265" s="346"/>
      <c r="CY265" s="346"/>
      <c r="CZ265" s="346"/>
      <c r="DA265" s="346"/>
      <c r="DB265" s="346"/>
      <c r="DC265" s="346"/>
      <c r="DD265" s="346"/>
      <c r="DE265" s="346"/>
      <c r="DF265" s="346"/>
      <c r="DG265" s="346"/>
      <c r="DH265" s="346"/>
      <c r="DI265" s="346"/>
    </row>
    <row r="266" spans="1:113" x14ac:dyDescent="0.25">
      <c r="A266" s="152">
        <v>5</v>
      </c>
      <c r="B266" s="220" t="s">
        <v>413</v>
      </c>
      <c r="C266" s="80">
        <v>6000</v>
      </c>
      <c r="D266" s="142">
        <v>2106.4</v>
      </c>
      <c r="E266" s="43">
        <v>5</v>
      </c>
      <c r="F266" s="60"/>
      <c r="G266" s="139">
        <f t="shared" si="53"/>
        <v>5</v>
      </c>
      <c r="H266" s="55"/>
      <c r="I266" s="56">
        <f t="shared" si="54"/>
        <v>5</v>
      </c>
      <c r="J266" s="56">
        <f t="shared" si="55"/>
        <v>30000</v>
      </c>
      <c r="K266" s="57">
        <f t="shared" si="56"/>
        <v>10532</v>
      </c>
      <c r="L266"/>
      <c r="M266" s="314">
        <f t="shared" si="52"/>
        <v>374</v>
      </c>
      <c r="N266" s="310">
        <v>7</v>
      </c>
      <c r="O266" s="315">
        <v>2</v>
      </c>
      <c r="P266" s="315">
        <v>9</v>
      </c>
      <c r="Q266" s="315">
        <v>1</v>
      </c>
      <c r="R266" s="315">
        <v>50</v>
      </c>
      <c r="S266" s="55">
        <f>100+108</f>
        <v>208</v>
      </c>
      <c r="T266" s="55">
        <v>97</v>
      </c>
      <c r="U266" s="55"/>
      <c r="V266" s="55"/>
      <c r="W266" s="55"/>
      <c r="X266" s="55"/>
      <c r="Y266" s="55"/>
      <c r="Z266" s="55"/>
      <c r="AA266" s="55"/>
      <c r="AB266" s="55"/>
      <c r="AC266" s="55"/>
      <c r="AD266" s="55"/>
      <c r="AE266" s="55"/>
      <c r="AF266" s="55"/>
      <c r="AG266" s="55"/>
      <c r="AH266" s="55"/>
      <c r="AI266" s="55"/>
      <c r="AJ266" s="55"/>
      <c r="AK266" s="55"/>
      <c r="AL266" s="55"/>
      <c r="AM266" s="55"/>
      <c r="AN266" s="55"/>
      <c r="AO266" s="55"/>
      <c r="AP266" s="55"/>
      <c r="AQ266" s="55"/>
      <c r="AR266" s="55"/>
      <c r="AS266" s="55"/>
      <c r="AT266" s="55"/>
      <c r="AU266" s="55"/>
      <c r="AV266" s="55"/>
      <c r="AW266" s="55"/>
      <c r="AX266" s="55"/>
      <c r="AY266" s="55"/>
      <c r="AZ266" s="55"/>
      <c r="BA266" s="55"/>
      <c r="BB266" s="55"/>
      <c r="BC266" s="55"/>
      <c r="BD266" s="55"/>
      <c r="BE266" s="55"/>
      <c r="BF266" s="55"/>
      <c r="BG266" s="55"/>
      <c r="BH266" s="55"/>
      <c r="BI266" s="55"/>
      <c r="BJ266" s="55"/>
      <c r="BK266" s="55"/>
      <c r="BL266" s="55"/>
      <c r="BM266" s="55"/>
      <c r="BN266" s="55"/>
      <c r="BO266" s="55"/>
      <c r="BP266" s="55"/>
      <c r="BQ266" s="55"/>
      <c r="BR266" s="55"/>
      <c r="BS266" s="55"/>
      <c r="BT266" s="55"/>
      <c r="BU266" s="55"/>
      <c r="BV266" s="55"/>
      <c r="BW266" s="55"/>
      <c r="BX266" s="55"/>
      <c r="BY266" s="55"/>
      <c r="BZ266" s="55"/>
      <c r="CA266" s="55"/>
      <c r="CB266" s="55"/>
      <c r="CC266" s="55"/>
      <c r="CD266" s="55"/>
      <c r="CE266" s="55"/>
      <c r="CF266" s="55"/>
      <c r="CG266" s="55"/>
      <c r="CH266" s="55"/>
      <c r="CI266" s="55"/>
      <c r="CJ266" s="55"/>
      <c r="CK266" s="55"/>
      <c r="CL266" s="55"/>
      <c r="CM266" s="55"/>
      <c r="CN266" s="55"/>
      <c r="CO266" s="55"/>
      <c r="CP266" s="55"/>
      <c r="CQ266" s="55"/>
      <c r="CR266" s="55"/>
      <c r="CS266" s="55"/>
      <c r="CT266" s="55"/>
      <c r="CU266" s="55"/>
      <c r="CV266" s="55"/>
      <c r="CW266" s="55"/>
      <c r="CX266" s="55"/>
      <c r="CY266" s="55"/>
      <c r="CZ266" s="55"/>
      <c r="DA266" s="55"/>
      <c r="DB266" s="55"/>
      <c r="DC266" s="55"/>
      <c r="DD266" s="55"/>
      <c r="DE266" s="55"/>
      <c r="DF266" s="55"/>
      <c r="DG266" s="55"/>
      <c r="DH266" s="55"/>
      <c r="DI266" s="55"/>
    </row>
    <row r="267" spans="1:113" x14ac:dyDescent="0.25">
      <c r="A267" s="380"/>
      <c r="B267" s="396"/>
      <c r="C267" s="341"/>
      <c r="D267" s="381"/>
      <c r="E267" s="344"/>
      <c r="F267" s="350"/>
      <c r="G267" s="356"/>
      <c r="H267" s="346"/>
      <c r="I267" s="345"/>
      <c r="J267" s="345"/>
      <c r="K267" s="347"/>
      <c r="L267"/>
      <c r="M267" s="348"/>
      <c r="N267" s="310" t="s">
        <v>1087</v>
      </c>
      <c r="O267" s="349" t="s">
        <v>1094</v>
      </c>
      <c r="P267" s="349" t="s">
        <v>1076</v>
      </c>
      <c r="Q267" s="349"/>
      <c r="R267" s="349"/>
      <c r="S267" s="346"/>
      <c r="T267" s="346"/>
      <c r="U267" s="346"/>
      <c r="V267" s="346"/>
      <c r="W267" s="346"/>
      <c r="X267" s="346"/>
      <c r="Y267" s="346"/>
      <c r="Z267" s="346"/>
      <c r="AA267" s="346"/>
      <c r="AB267" s="346"/>
      <c r="AC267" s="346"/>
      <c r="AD267" s="346"/>
      <c r="AE267" s="346"/>
      <c r="AF267" s="346"/>
      <c r="AG267" s="346"/>
      <c r="AH267" s="346"/>
      <c r="AI267" s="346"/>
      <c r="AJ267" s="346"/>
      <c r="AK267" s="346"/>
      <c r="AL267" s="346"/>
      <c r="AM267" s="346"/>
      <c r="AN267" s="346"/>
      <c r="AO267" s="346"/>
      <c r="AP267" s="346"/>
      <c r="AQ267" s="346"/>
      <c r="AR267" s="346"/>
      <c r="AS267" s="346"/>
      <c r="AT267" s="346"/>
      <c r="AU267" s="346"/>
      <c r="AV267" s="346"/>
      <c r="AW267" s="346"/>
      <c r="AX267" s="346"/>
      <c r="AY267" s="346"/>
      <c r="AZ267" s="346"/>
      <c r="BA267" s="346"/>
      <c r="BB267" s="346"/>
      <c r="BC267" s="346"/>
      <c r="BD267" s="346"/>
      <c r="BE267" s="346"/>
      <c r="BF267" s="346"/>
      <c r="BG267" s="346"/>
      <c r="BH267" s="346"/>
      <c r="BI267" s="346"/>
      <c r="BJ267" s="346"/>
      <c r="BK267" s="346"/>
      <c r="BL267" s="346"/>
      <c r="BM267" s="346"/>
      <c r="BN267" s="346"/>
      <c r="BO267" s="346"/>
      <c r="BP267" s="346"/>
      <c r="BQ267" s="346"/>
      <c r="BR267" s="346"/>
      <c r="BS267" s="346"/>
      <c r="BT267" s="346"/>
      <c r="BU267" s="346"/>
      <c r="BV267" s="346"/>
      <c r="BW267" s="346"/>
      <c r="BX267" s="346"/>
      <c r="BY267" s="346"/>
      <c r="BZ267" s="346"/>
      <c r="CA267" s="346"/>
      <c r="CB267" s="346"/>
      <c r="CC267" s="346"/>
      <c r="CD267" s="346"/>
      <c r="CE267" s="346"/>
      <c r="CF267" s="346"/>
      <c r="CG267" s="346"/>
      <c r="CH267" s="346"/>
      <c r="CI267" s="346"/>
      <c r="CJ267" s="346"/>
      <c r="CK267" s="346"/>
      <c r="CL267" s="346"/>
      <c r="CM267" s="346"/>
      <c r="CN267" s="346"/>
      <c r="CO267" s="346"/>
      <c r="CP267" s="346"/>
      <c r="CQ267" s="346"/>
      <c r="CR267" s="346"/>
      <c r="CS267" s="346"/>
      <c r="CT267" s="346"/>
      <c r="CU267" s="346"/>
      <c r="CV267" s="346"/>
      <c r="CW267" s="346"/>
      <c r="CX267" s="346"/>
      <c r="CY267" s="346"/>
      <c r="CZ267" s="346"/>
      <c r="DA267" s="346"/>
      <c r="DB267" s="346"/>
      <c r="DC267" s="346"/>
      <c r="DD267" s="346"/>
      <c r="DE267" s="346"/>
      <c r="DF267" s="346"/>
      <c r="DG267" s="346"/>
      <c r="DH267" s="346"/>
      <c r="DI267" s="346"/>
    </row>
    <row r="268" spans="1:113" x14ac:dyDescent="0.25">
      <c r="A268" s="152">
        <v>6</v>
      </c>
      <c r="B268" s="60" t="s">
        <v>414</v>
      </c>
      <c r="C268" s="80">
        <v>7000</v>
      </c>
      <c r="D268" s="142">
        <v>2830.73</v>
      </c>
      <c r="E268" s="43">
        <v>50</v>
      </c>
      <c r="F268" s="60"/>
      <c r="G268" s="139">
        <f t="shared" si="53"/>
        <v>50</v>
      </c>
      <c r="H268" s="55"/>
      <c r="I268" s="56">
        <f t="shared" si="54"/>
        <v>50</v>
      </c>
      <c r="J268" s="56">
        <f t="shared" si="55"/>
        <v>350000</v>
      </c>
      <c r="K268" s="57">
        <f t="shared" si="56"/>
        <v>141536.5</v>
      </c>
      <c r="L268"/>
      <c r="M268" s="314">
        <f t="shared" si="52"/>
        <v>233</v>
      </c>
      <c r="N268" s="310">
        <f>100+21</f>
        <v>121</v>
      </c>
      <c r="O268" s="315">
        <v>75</v>
      </c>
      <c r="P268" s="315">
        <v>37</v>
      </c>
      <c r="Q268" s="315"/>
      <c r="R268" s="315"/>
      <c r="S268" s="55"/>
      <c r="T268" s="55"/>
      <c r="U268" s="55"/>
      <c r="V268" s="55"/>
      <c r="W268" s="55"/>
      <c r="X268" s="55"/>
      <c r="Y268" s="55"/>
      <c r="Z268" s="55"/>
      <c r="AA268" s="55"/>
      <c r="AB268" s="55"/>
      <c r="AC268" s="55"/>
      <c r="AD268" s="55"/>
      <c r="AE268" s="55"/>
      <c r="AF268" s="55"/>
      <c r="AG268" s="55"/>
      <c r="AH268" s="55"/>
      <c r="AI268" s="55"/>
      <c r="AJ268" s="55"/>
      <c r="AK268" s="55"/>
      <c r="AL268" s="55"/>
      <c r="AM268" s="55"/>
      <c r="AN268" s="55"/>
      <c r="AO268" s="55"/>
      <c r="AP268" s="55"/>
      <c r="AQ268" s="55"/>
      <c r="AR268" s="55"/>
      <c r="AS268" s="55"/>
      <c r="AT268" s="55"/>
      <c r="AU268" s="55"/>
      <c r="AV268" s="55"/>
      <c r="AW268" s="55"/>
      <c r="AX268" s="55"/>
      <c r="AY268" s="55"/>
      <c r="AZ268" s="55"/>
      <c r="BA268" s="55"/>
      <c r="BB268" s="55"/>
      <c r="BC268" s="55"/>
      <c r="BD268" s="55"/>
      <c r="BE268" s="55"/>
      <c r="BF268" s="55"/>
      <c r="BG268" s="55"/>
      <c r="BH268" s="55"/>
      <c r="BI268" s="55"/>
      <c r="BJ268" s="55"/>
      <c r="BK268" s="55"/>
      <c r="BL268" s="55"/>
      <c r="BM268" s="55"/>
      <c r="BN268" s="55"/>
      <c r="BO268" s="55"/>
      <c r="BP268" s="55"/>
      <c r="BQ268" s="55"/>
      <c r="BR268" s="55"/>
      <c r="BS268" s="55"/>
      <c r="BT268" s="55"/>
      <c r="BU268" s="55"/>
      <c r="BV268" s="55"/>
      <c r="BW268" s="55"/>
      <c r="BX268" s="55"/>
      <c r="BY268" s="55"/>
      <c r="BZ268" s="55"/>
      <c r="CA268" s="55"/>
      <c r="CB268" s="55"/>
      <c r="CC268" s="55"/>
      <c r="CD268" s="55"/>
      <c r="CE268" s="55"/>
      <c r="CF268" s="55"/>
      <c r="CG268" s="55"/>
      <c r="CH268" s="55"/>
      <c r="CI268" s="55"/>
      <c r="CJ268" s="55"/>
      <c r="CK268" s="55"/>
      <c r="CL268" s="55"/>
      <c r="CM268" s="55"/>
      <c r="CN268" s="55"/>
      <c r="CO268" s="55"/>
      <c r="CP268" s="55"/>
      <c r="CQ268" s="55"/>
      <c r="CR268" s="55"/>
      <c r="CS268" s="55"/>
      <c r="CT268" s="55"/>
      <c r="CU268" s="55"/>
      <c r="CV268" s="55"/>
      <c r="CW268" s="55"/>
      <c r="CX268" s="55"/>
      <c r="CY268" s="55"/>
      <c r="CZ268" s="55"/>
      <c r="DA268" s="55"/>
      <c r="DB268" s="55"/>
      <c r="DC268" s="55"/>
      <c r="DD268" s="55"/>
      <c r="DE268" s="55"/>
      <c r="DF268" s="55"/>
      <c r="DG268" s="55"/>
      <c r="DH268" s="55"/>
      <c r="DI268" s="55"/>
    </row>
    <row r="269" spans="1:113" x14ac:dyDescent="0.25">
      <c r="A269" s="380"/>
      <c r="B269" s="350"/>
      <c r="C269" s="341"/>
      <c r="D269" s="381"/>
      <c r="E269" s="344"/>
      <c r="F269" s="350"/>
      <c r="G269" s="356"/>
      <c r="H269" s="346"/>
      <c r="I269" s="345"/>
      <c r="J269" s="345"/>
      <c r="K269" s="347"/>
      <c r="L269"/>
      <c r="M269" s="348"/>
      <c r="N269" s="310" t="s">
        <v>1087</v>
      </c>
      <c r="O269" s="349" t="s">
        <v>1036</v>
      </c>
      <c r="P269" s="349" t="s">
        <v>1093</v>
      </c>
      <c r="Q269" s="349" t="s">
        <v>1092</v>
      </c>
      <c r="R269" s="349" t="s">
        <v>1088</v>
      </c>
      <c r="S269" s="346" t="s">
        <v>1095</v>
      </c>
      <c r="T269" s="346"/>
      <c r="U269" s="346"/>
      <c r="V269" s="346"/>
      <c r="W269" s="346"/>
      <c r="X269" s="346"/>
      <c r="Y269" s="346"/>
      <c r="Z269" s="346"/>
      <c r="AA269" s="346"/>
      <c r="AB269" s="346"/>
      <c r="AC269" s="346"/>
      <c r="AD269" s="346"/>
      <c r="AE269" s="346"/>
      <c r="AF269" s="346"/>
      <c r="AG269" s="346"/>
      <c r="AH269" s="346"/>
      <c r="AI269" s="346"/>
      <c r="AJ269" s="346"/>
      <c r="AK269" s="346"/>
      <c r="AL269" s="346"/>
      <c r="AM269" s="346"/>
      <c r="AN269" s="346"/>
      <c r="AO269" s="346"/>
      <c r="AP269" s="346"/>
      <c r="AQ269" s="346"/>
      <c r="AR269" s="346"/>
      <c r="AS269" s="346"/>
      <c r="AT269" s="346"/>
      <c r="AU269" s="346"/>
      <c r="AV269" s="346"/>
      <c r="AW269" s="346"/>
      <c r="AX269" s="346"/>
      <c r="AY269" s="346"/>
      <c r="AZ269" s="346"/>
      <c r="BA269" s="346"/>
      <c r="BB269" s="346"/>
      <c r="BC269" s="346"/>
      <c r="BD269" s="346"/>
      <c r="BE269" s="346"/>
      <c r="BF269" s="346"/>
      <c r="BG269" s="346"/>
      <c r="BH269" s="346"/>
      <c r="BI269" s="346"/>
      <c r="BJ269" s="346"/>
      <c r="BK269" s="346"/>
      <c r="BL269" s="346"/>
      <c r="BM269" s="346"/>
      <c r="BN269" s="346"/>
      <c r="BO269" s="346"/>
      <c r="BP269" s="346"/>
      <c r="BQ269" s="346"/>
      <c r="BR269" s="346"/>
      <c r="BS269" s="346"/>
      <c r="BT269" s="346"/>
      <c r="BU269" s="346"/>
      <c r="BV269" s="346"/>
      <c r="BW269" s="346"/>
      <c r="BX269" s="346"/>
      <c r="BY269" s="346"/>
      <c r="BZ269" s="346"/>
      <c r="CA269" s="346"/>
      <c r="CB269" s="346"/>
      <c r="CC269" s="346"/>
      <c r="CD269" s="346"/>
      <c r="CE269" s="346"/>
      <c r="CF269" s="346"/>
      <c r="CG269" s="346"/>
      <c r="CH269" s="346"/>
      <c r="CI269" s="346"/>
      <c r="CJ269" s="346"/>
      <c r="CK269" s="346"/>
      <c r="CL269" s="346"/>
      <c r="CM269" s="346"/>
      <c r="CN269" s="346"/>
      <c r="CO269" s="346"/>
      <c r="CP269" s="346"/>
      <c r="CQ269" s="346"/>
      <c r="CR269" s="346"/>
      <c r="CS269" s="346"/>
      <c r="CT269" s="346"/>
      <c r="CU269" s="346"/>
      <c r="CV269" s="346"/>
      <c r="CW269" s="346"/>
      <c r="CX269" s="346"/>
      <c r="CY269" s="346"/>
      <c r="CZ269" s="346"/>
      <c r="DA269" s="346"/>
      <c r="DB269" s="346"/>
      <c r="DC269" s="346"/>
      <c r="DD269" s="346"/>
      <c r="DE269" s="346"/>
      <c r="DF269" s="346"/>
      <c r="DG269" s="346"/>
      <c r="DH269" s="346"/>
      <c r="DI269" s="346"/>
    </row>
    <row r="270" spans="1:113" x14ac:dyDescent="0.25">
      <c r="A270" s="152">
        <v>7</v>
      </c>
      <c r="B270" s="220" t="s">
        <v>415</v>
      </c>
      <c r="C270" s="80">
        <v>7000</v>
      </c>
      <c r="D270" s="142">
        <v>2002.06</v>
      </c>
      <c r="E270" s="43">
        <v>200</v>
      </c>
      <c r="F270" s="60"/>
      <c r="G270" s="139">
        <f t="shared" si="53"/>
        <v>200</v>
      </c>
      <c r="H270" s="55"/>
      <c r="I270" s="56">
        <f t="shared" si="54"/>
        <v>200</v>
      </c>
      <c r="J270" s="56">
        <f t="shared" si="55"/>
        <v>1400000</v>
      </c>
      <c r="K270" s="57">
        <f t="shared" si="56"/>
        <v>400412</v>
      </c>
      <c r="L270"/>
      <c r="M270" s="314">
        <f t="shared" si="52"/>
        <v>202</v>
      </c>
      <c r="N270" s="310">
        <v>25</v>
      </c>
      <c r="O270" s="315">
        <v>16</v>
      </c>
      <c r="P270" s="315">
        <v>95</v>
      </c>
      <c r="Q270" s="315">
        <v>21</v>
      </c>
      <c r="R270" s="315">
        <v>22</v>
      </c>
      <c r="S270" s="55">
        <v>23</v>
      </c>
      <c r="T270" s="55"/>
      <c r="U270" s="55"/>
      <c r="V270" s="55"/>
      <c r="W270" s="55"/>
      <c r="X270" s="55"/>
      <c r="Y270" s="55"/>
      <c r="Z270" s="55"/>
      <c r="AA270" s="55"/>
      <c r="AB270" s="55"/>
      <c r="AC270" s="55"/>
      <c r="AD270" s="55"/>
      <c r="AE270" s="55"/>
      <c r="AF270" s="55"/>
      <c r="AG270" s="55"/>
      <c r="AH270" s="55"/>
      <c r="AI270" s="55"/>
      <c r="AJ270" s="55"/>
      <c r="AK270" s="55"/>
      <c r="AL270" s="55"/>
      <c r="AM270" s="55"/>
      <c r="AN270" s="55"/>
      <c r="AO270" s="55"/>
      <c r="AP270" s="55"/>
      <c r="AQ270" s="55"/>
      <c r="AR270" s="55"/>
      <c r="AS270" s="55"/>
      <c r="AT270" s="55"/>
      <c r="AU270" s="55"/>
      <c r="AV270" s="55"/>
      <c r="AW270" s="55"/>
      <c r="AX270" s="55"/>
      <c r="AY270" s="55"/>
      <c r="AZ270" s="55"/>
      <c r="BA270" s="55"/>
      <c r="BB270" s="55"/>
      <c r="BC270" s="55"/>
      <c r="BD270" s="55"/>
      <c r="BE270" s="55"/>
      <c r="BF270" s="55"/>
      <c r="BG270" s="55"/>
      <c r="BH270" s="55"/>
      <c r="BI270" s="55"/>
      <c r="BJ270" s="55"/>
      <c r="BK270" s="55"/>
      <c r="BL270" s="55"/>
      <c r="BM270" s="55"/>
      <c r="BN270" s="55"/>
      <c r="BO270" s="55"/>
      <c r="BP270" s="55"/>
      <c r="BQ270" s="55"/>
      <c r="BR270" s="55"/>
      <c r="BS270" s="55"/>
      <c r="BT270" s="55"/>
      <c r="BU270" s="55"/>
      <c r="BV270" s="55"/>
      <c r="BW270" s="55"/>
      <c r="BX270" s="55"/>
      <c r="BY270" s="55"/>
      <c r="BZ270" s="55"/>
      <c r="CA270" s="55"/>
      <c r="CB270" s="55"/>
      <c r="CC270" s="55"/>
      <c r="CD270" s="55"/>
      <c r="CE270" s="55"/>
      <c r="CF270" s="55"/>
      <c r="CG270" s="55"/>
      <c r="CH270" s="55"/>
      <c r="CI270" s="55"/>
      <c r="CJ270" s="55"/>
      <c r="CK270" s="55"/>
      <c r="CL270" s="55"/>
      <c r="CM270" s="55"/>
      <c r="CN270" s="55"/>
      <c r="CO270" s="55"/>
      <c r="CP270" s="55"/>
      <c r="CQ270" s="55"/>
      <c r="CR270" s="55"/>
      <c r="CS270" s="55"/>
      <c r="CT270" s="55"/>
      <c r="CU270" s="55"/>
      <c r="CV270" s="55"/>
      <c r="CW270" s="55"/>
      <c r="CX270" s="55"/>
      <c r="CY270" s="55"/>
      <c r="CZ270" s="55"/>
      <c r="DA270" s="55"/>
      <c r="DB270" s="55"/>
      <c r="DC270" s="55"/>
      <c r="DD270" s="55"/>
      <c r="DE270" s="55"/>
      <c r="DF270" s="55"/>
      <c r="DG270" s="55"/>
      <c r="DH270" s="55"/>
      <c r="DI270" s="55"/>
    </row>
    <row r="271" spans="1:113" x14ac:dyDescent="0.25">
      <c r="A271" s="380"/>
      <c r="B271" s="396"/>
      <c r="C271" s="341"/>
      <c r="D271" s="381"/>
      <c r="E271" s="344"/>
      <c r="F271" s="350"/>
      <c r="G271" s="356"/>
      <c r="H271" s="346"/>
      <c r="I271" s="345"/>
      <c r="J271" s="345"/>
      <c r="K271" s="347"/>
      <c r="L271"/>
      <c r="M271" s="348"/>
      <c r="N271" s="310" t="s">
        <v>1087</v>
      </c>
      <c r="O271" s="349" t="s">
        <v>1076</v>
      </c>
      <c r="P271" s="349" t="s">
        <v>1094</v>
      </c>
      <c r="Q271" s="349"/>
      <c r="R271" s="349"/>
      <c r="S271" s="346"/>
      <c r="T271" s="346"/>
      <c r="U271" s="346"/>
      <c r="V271" s="346"/>
      <c r="W271" s="346"/>
      <c r="X271" s="346"/>
      <c r="Y271" s="346"/>
      <c r="Z271" s="346"/>
      <c r="AA271" s="346"/>
      <c r="AB271" s="346"/>
      <c r="AC271" s="346"/>
      <c r="AD271" s="346"/>
      <c r="AE271" s="346"/>
      <c r="AF271" s="346"/>
      <c r="AG271" s="346"/>
      <c r="AH271" s="346"/>
      <c r="AI271" s="346"/>
      <c r="AJ271" s="346"/>
      <c r="AK271" s="346"/>
      <c r="AL271" s="346"/>
      <c r="AM271" s="346"/>
      <c r="AN271" s="346"/>
      <c r="AO271" s="346"/>
      <c r="AP271" s="346"/>
      <c r="AQ271" s="346"/>
      <c r="AR271" s="346"/>
      <c r="AS271" s="346"/>
      <c r="AT271" s="346"/>
      <c r="AU271" s="346"/>
      <c r="AV271" s="346"/>
      <c r="AW271" s="346"/>
      <c r="AX271" s="346"/>
      <c r="AY271" s="346"/>
      <c r="AZ271" s="346"/>
      <c r="BA271" s="346"/>
      <c r="BB271" s="346"/>
      <c r="BC271" s="346"/>
      <c r="BD271" s="346"/>
      <c r="BE271" s="346"/>
      <c r="BF271" s="346"/>
      <c r="BG271" s="346"/>
      <c r="BH271" s="346"/>
      <c r="BI271" s="346"/>
      <c r="BJ271" s="346"/>
      <c r="BK271" s="346"/>
      <c r="BL271" s="346"/>
      <c r="BM271" s="346"/>
      <c r="BN271" s="346"/>
      <c r="BO271" s="346"/>
      <c r="BP271" s="346"/>
      <c r="BQ271" s="346"/>
      <c r="BR271" s="346"/>
      <c r="BS271" s="346"/>
      <c r="BT271" s="346"/>
      <c r="BU271" s="346"/>
      <c r="BV271" s="346"/>
      <c r="BW271" s="346"/>
      <c r="BX271" s="346"/>
      <c r="BY271" s="346"/>
      <c r="BZ271" s="346"/>
      <c r="CA271" s="346"/>
      <c r="CB271" s="346"/>
      <c r="CC271" s="346"/>
      <c r="CD271" s="346"/>
      <c r="CE271" s="346"/>
      <c r="CF271" s="346"/>
      <c r="CG271" s="346"/>
      <c r="CH271" s="346"/>
      <c r="CI271" s="346"/>
      <c r="CJ271" s="346"/>
      <c r="CK271" s="346"/>
      <c r="CL271" s="346"/>
      <c r="CM271" s="346"/>
      <c r="CN271" s="346"/>
      <c r="CO271" s="346"/>
      <c r="CP271" s="346"/>
      <c r="CQ271" s="346"/>
      <c r="CR271" s="346"/>
      <c r="CS271" s="346"/>
      <c r="CT271" s="346"/>
      <c r="CU271" s="346"/>
      <c r="CV271" s="346"/>
      <c r="CW271" s="346"/>
      <c r="CX271" s="346"/>
      <c r="CY271" s="346"/>
      <c r="CZ271" s="346"/>
      <c r="DA271" s="346"/>
      <c r="DB271" s="346"/>
      <c r="DC271" s="346"/>
      <c r="DD271" s="346"/>
      <c r="DE271" s="346"/>
      <c r="DF271" s="346"/>
      <c r="DG271" s="346"/>
      <c r="DH271" s="346"/>
      <c r="DI271" s="346"/>
    </row>
    <row r="272" spans="1:113" x14ac:dyDescent="0.25">
      <c r="A272" s="152">
        <v>8</v>
      </c>
      <c r="B272" s="60" t="s">
        <v>416</v>
      </c>
      <c r="C272" s="80">
        <v>5000</v>
      </c>
      <c r="D272" s="142">
        <v>1646.07</v>
      </c>
      <c r="E272" s="43">
        <v>50</v>
      </c>
      <c r="F272" s="60"/>
      <c r="G272" s="139">
        <f t="shared" si="53"/>
        <v>50</v>
      </c>
      <c r="H272" s="55"/>
      <c r="I272" s="56">
        <f t="shared" si="54"/>
        <v>50</v>
      </c>
      <c r="J272" s="56">
        <f t="shared" si="55"/>
        <v>250000</v>
      </c>
      <c r="K272" s="57">
        <f t="shared" si="56"/>
        <v>82303.5</v>
      </c>
      <c r="L272"/>
      <c r="M272" s="314">
        <f t="shared" si="52"/>
        <v>163</v>
      </c>
      <c r="N272" s="310">
        <v>42</v>
      </c>
      <c r="O272" s="315">
        <v>96</v>
      </c>
      <c r="P272" s="315">
        <v>25</v>
      </c>
      <c r="Q272" s="315"/>
      <c r="R272" s="315"/>
      <c r="S272" s="55"/>
      <c r="T272" s="55"/>
      <c r="U272" s="55"/>
      <c r="V272" s="55"/>
      <c r="W272" s="55"/>
      <c r="X272" s="55"/>
      <c r="Y272" s="55"/>
      <c r="Z272" s="55"/>
      <c r="AA272" s="55"/>
      <c r="AB272" s="55"/>
      <c r="AC272" s="55"/>
      <c r="AD272" s="55"/>
      <c r="AE272" s="55"/>
      <c r="AF272" s="55"/>
      <c r="AG272" s="55"/>
      <c r="AH272" s="55"/>
      <c r="AI272" s="55"/>
      <c r="AJ272" s="55"/>
      <c r="AK272" s="55"/>
      <c r="AL272" s="55"/>
      <c r="AM272" s="55"/>
      <c r="AN272" s="55"/>
      <c r="AO272" s="55"/>
      <c r="AP272" s="55"/>
      <c r="AQ272" s="55"/>
      <c r="AR272" s="55"/>
      <c r="AS272" s="55"/>
      <c r="AT272" s="55"/>
      <c r="AU272" s="55"/>
      <c r="AV272" s="55"/>
      <c r="AW272" s="55"/>
      <c r="AX272" s="55"/>
      <c r="AY272" s="55"/>
      <c r="AZ272" s="55"/>
      <c r="BA272" s="55"/>
      <c r="BB272" s="55"/>
      <c r="BC272" s="55"/>
      <c r="BD272" s="55"/>
      <c r="BE272" s="55"/>
      <c r="BF272" s="55"/>
      <c r="BG272" s="55"/>
      <c r="BH272" s="55"/>
      <c r="BI272" s="55"/>
      <c r="BJ272" s="55"/>
      <c r="BK272" s="55"/>
      <c r="BL272" s="55"/>
      <c r="BM272" s="55"/>
      <c r="BN272" s="55"/>
      <c r="BO272" s="55"/>
      <c r="BP272" s="55"/>
      <c r="BQ272" s="55"/>
      <c r="BR272" s="55"/>
      <c r="BS272" s="55"/>
      <c r="BT272" s="55"/>
      <c r="BU272" s="55"/>
      <c r="BV272" s="55"/>
      <c r="BW272" s="55"/>
      <c r="BX272" s="55"/>
      <c r="BY272" s="55"/>
      <c r="BZ272" s="55"/>
      <c r="CA272" s="55"/>
      <c r="CB272" s="55"/>
      <c r="CC272" s="55"/>
      <c r="CD272" s="55"/>
      <c r="CE272" s="55"/>
      <c r="CF272" s="55"/>
      <c r="CG272" s="55"/>
      <c r="CH272" s="55"/>
      <c r="CI272" s="55"/>
      <c r="CJ272" s="55"/>
      <c r="CK272" s="55"/>
      <c r="CL272" s="55"/>
      <c r="CM272" s="55"/>
      <c r="CN272" s="55"/>
      <c r="CO272" s="55"/>
      <c r="CP272" s="55"/>
      <c r="CQ272" s="55"/>
      <c r="CR272" s="55"/>
      <c r="CS272" s="55"/>
      <c r="CT272" s="55"/>
      <c r="CU272" s="55"/>
      <c r="CV272" s="55"/>
      <c r="CW272" s="55"/>
      <c r="CX272" s="55"/>
      <c r="CY272" s="55"/>
      <c r="CZ272" s="55"/>
      <c r="DA272" s="55"/>
      <c r="DB272" s="55"/>
      <c r="DC272" s="55"/>
      <c r="DD272" s="55"/>
      <c r="DE272" s="55"/>
      <c r="DF272" s="55"/>
      <c r="DG272" s="55"/>
      <c r="DH272" s="55"/>
      <c r="DI272" s="55"/>
    </row>
    <row r="273" spans="1:113" x14ac:dyDescent="0.25">
      <c r="A273" s="380"/>
      <c r="B273" s="350"/>
      <c r="C273" s="341"/>
      <c r="D273" s="381"/>
      <c r="E273" s="344"/>
      <c r="F273" s="350"/>
      <c r="G273" s="356"/>
      <c r="H273" s="346"/>
      <c r="I273" s="345"/>
      <c r="J273" s="345"/>
      <c r="K273" s="347"/>
      <c r="L273"/>
      <c r="M273" s="348"/>
      <c r="N273" s="310" t="s">
        <v>1093</v>
      </c>
      <c r="O273" s="349" t="s">
        <v>1086</v>
      </c>
      <c r="P273" s="349" t="s">
        <v>1050</v>
      </c>
      <c r="Q273" s="349" t="s">
        <v>1094</v>
      </c>
      <c r="R273" s="349" t="s">
        <v>1094</v>
      </c>
      <c r="S273" s="346" t="s">
        <v>1095</v>
      </c>
      <c r="T273" s="346" t="s">
        <v>1096</v>
      </c>
      <c r="U273" s="346" t="s">
        <v>1090</v>
      </c>
      <c r="V273" s="346" t="s">
        <v>1092</v>
      </c>
      <c r="W273" s="346" t="s">
        <v>1088</v>
      </c>
      <c r="X273" s="346" t="s">
        <v>1050</v>
      </c>
      <c r="Y273" s="346" t="s">
        <v>965</v>
      </c>
      <c r="Z273" s="346" t="s">
        <v>1076</v>
      </c>
      <c r="AA273" s="346" t="s">
        <v>1036</v>
      </c>
      <c r="AB273" s="346"/>
      <c r="AC273" s="346"/>
      <c r="AD273" s="346"/>
      <c r="AE273" s="346"/>
      <c r="AF273" s="346"/>
      <c r="AG273" s="346"/>
      <c r="AH273" s="346"/>
      <c r="AI273" s="346"/>
      <c r="AJ273" s="346"/>
      <c r="AK273" s="346"/>
      <c r="AL273" s="346"/>
      <c r="AM273" s="346"/>
      <c r="AN273" s="346"/>
      <c r="AO273" s="346"/>
      <c r="AP273" s="346"/>
      <c r="AQ273" s="346"/>
      <c r="AR273" s="346"/>
      <c r="AS273" s="346"/>
      <c r="AT273" s="346"/>
      <c r="AU273" s="346"/>
      <c r="AV273" s="346"/>
      <c r="AW273" s="346"/>
      <c r="AX273" s="346"/>
      <c r="AY273" s="346"/>
      <c r="AZ273" s="346"/>
      <c r="BA273" s="346"/>
      <c r="BB273" s="346"/>
      <c r="BC273" s="346"/>
      <c r="BD273" s="346"/>
      <c r="BE273" s="346"/>
      <c r="BF273" s="346"/>
      <c r="BG273" s="346"/>
      <c r="BH273" s="346"/>
      <c r="BI273" s="346"/>
      <c r="BJ273" s="346"/>
      <c r="BK273" s="346"/>
      <c r="BL273" s="346"/>
      <c r="BM273" s="346"/>
      <c r="BN273" s="346"/>
      <c r="BO273" s="346"/>
      <c r="BP273" s="346"/>
      <c r="BQ273" s="346"/>
      <c r="BR273" s="346"/>
      <c r="BS273" s="346"/>
      <c r="BT273" s="346"/>
      <c r="BU273" s="346"/>
      <c r="BV273" s="346"/>
      <c r="BW273" s="346"/>
      <c r="BX273" s="346"/>
      <c r="BY273" s="346"/>
      <c r="BZ273" s="346"/>
      <c r="CA273" s="346"/>
      <c r="CB273" s="346"/>
      <c r="CC273" s="346"/>
      <c r="CD273" s="346"/>
      <c r="CE273" s="346"/>
      <c r="CF273" s="346"/>
      <c r="CG273" s="346"/>
      <c r="CH273" s="346"/>
      <c r="CI273" s="346"/>
      <c r="CJ273" s="346"/>
      <c r="CK273" s="346"/>
      <c r="CL273" s="346"/>
      <c r="CM273" s="346"/>
      <c r="CN273" s="346"/>
      <c r="CO273" s="346"/>
      <c r="CP273" s="346"/>
      <c r="CQ273" s="346"/>
      <c r="CR273" s="346"/>
      <c r="CS273" s="346"/>
      <c r="CT273" s="346"/>
      <c r="CU273" s="346"/>
      <c r="CV273" s="346"/>
      <c r="CW273" s="346"/>
      <c r="CX273" s="346"/>
      <c r="CY273" s="346"/>
      <c r="CZ273" s="346"/>
      <c r="DA273" s="346"/>
      <c r="DB273" s="346"/>
      <c r="DC273" s="346"/>
      <c r="DD273" s="346"/>
      <c r="DE273" s="346"/>
      <c r="DF273" s="346"/>
      <c r="DG273" s="346"/>
      <c r="DH273" s="346"/>
      <c r="DI273" s="346"/>
    </row>
    <row r="274" spans="1:113" x14ac:dyDescent="0.25">
      <c r="A274" s="152">
        <v>9</v>
      </c>
      <c r="B274" s="60" t="s">
        <v>318</v>
      </c>
      <c r="C274" s="80">
        <v>7000</v>
      </c>
      <c r="D274" s="142">
        <v>1955.38</v>
      </c>
      <c r="E274" s="43">
        <v>40</v>
      </c>
      <c r="F274" s="60"/>
      <c r="G274" s="139">
        <f t="shared" si="53"/>
        <v>40</v>
      </c>
      <c r="H274" s="55"/>
      <c r="I274" s="56">
        <f t="shared" si="54"/>
        <v>40</v>
      </c>
      <c r="J274" s="56">
        <f t="shared" si="55"/>
        <v>280000</v>
      </c>
      <c r="K274" s="57">
        <f t="shared" si="56"/>
        <v>78215.200000000012</v>
      </c>
      <c r="L274"/>
      <c r="M274" s="314">
        <f t="shared" si="52"/>
        <v>609</v>
      </c>
      <c r="N274" s="310">
        <v>96</v>
      </c>
      <c r="O274" s="315">
        <f>100+46</f>
        <v>146</v>
      </c>
      <c r="P274" s="315">
        <v>85</v>
      </c>
      <c r="Q274" s="315">
        <f>20+20</f>
        <v>40</v>
      </c>
      <c r="R274" s="315">
        <f>20+20+20+20+6</f>
        <v>86</v>
      </c>
      <c r="S274" s="55">
        <v>23</v>
      </c>
      <c r="T274" s="55">
        <v>20</v>
      </c>
      <c r="U274" s="55">
        <v>8</v>
      </c>
      <c r="V274" s="55">
        <v>20</v>
      </c>
      <c r="W274" s="55">
        <v>23</v>
      </c>
      <c r="X274" s="55">
        <v>41</v>
      </c>
      <c r="Y274" s="55">
        <v>8</v>
      </c>
      <c r="Z274" s="55">
        <v>3</v>
      </c>
      <c r="AA274" s="55">
        <v>10</v>
      </c>
      <c r="AB274" s="55"/>
      <c r="AC274" s="55"/>
      <c r="AD274" s="55"/>
      <c r="AE274" s="55"/>
      <c r="AF274" s="55"/>
      <c r="AG274" s="55"/>
      <c r="AH274" s="55"/>
      <c r="AI274" s="55"/>
      <c r="AJ274" s="55"/>
      <c r="AK274" s="55"/>
      <c r="AL274" s="55"/>
      <c r="AM274" s="55"/>
      <c r="AN274" s="55"/>
      <c r="AO274" s="55"/>
      <c r="AP274" s="55"/>
      <c r="AQ274" s="55"/>
      <c r="AR274" s="55"/>
      <c r="AS274" s="55"/>
      <c r="AT274" s="55"/>
      <c r="AU274" s="55"/>
      <c r="AV274" s="55"/>
      <c r="AW274" s="55"/>
      <c r="AX274" s="55"/>
      <c r="AY274" s="55"/>
      <c r="AZ274" s="55"/>
      <c r="BA274" s="55"/>
      <c r="BB274" s="55"/>
      <c r="BC274" s="55"/>
      <c r="BD274" s="55"/>
      <c r="BE274" s="55"/>
      <c r="BF274" s="55"/>
      <c r="BG274" s="55"/>
      <c r="BH274" s="55"/>
      <c r="BI274" s="55"/>
      <c r="BJ274" s="55"/>
      <c r="BK274" s="55"/>
      <c r="BL274" s="55"/>
      <c r="BM274" s="55"/>
      <c r="BN274" s="55"/>
      <c r="BO274" s="55"/>
      <c r="BP274" s="55"/>
      <c r="BQ274" s="55"/>
      <c r="BR274" s="55"/>
      <c r="BS274" s="55"/>
      <c r="BT274" s="55"/>
      <c r="BU274" s="55"/>
      <c r="BV274" s="55"/>
      <c r="BW274" s="55"/>
      <c r="BX274" s="55"/>
      <c r="BY274" s="55"/>
      <c r="BZ274" s="55"/>
      <c r="CA274" s="55"/>
      <c r="CB274" s="55"/>
      <c r="CC274" s="55"/>
      <c r="CD274" s="55"/>
      <c r="CE274" s="55"/>
      <c r="CF274" s="55"/>
      <c r="CG274" s="55"/>
      <c r="CH274" s="55"/>
      <c r="CI274" s="55"/>
      <c r="CJ274" s="55"/>
      <c r="CK274" s="55"/>
      <c r="CL274" s="55"/>
      <c r="CM274" s="55"/>
      <c r="CN274" s="55"/>
      <c r="CO274" s="55"/>
      <c r="CP274" s="55"/>
      <c r="CQ274" s="55"/>
      <c r="CR274" s="55"/>
      <c r="CS274" s="55"/>
      <c r="CT274" s="55"/>
      <c r="CU274" s="55"/>
      <c r="CV274" s="55"/>
      <c r="CW274" s="55"/>
      <c r="CX274" s="55"/>
      <c r="CY274" s="55"/>
      <c r="CZ274" s="55"/>
      <c r="DA274" s="55"/>
      <c r="DB274" s="55"/>
      <c r="DC274" s="55"/>
      <c r="DD274" s="55"/>
      <c r="DE274" s="55"/>
      <c r="DF274" s="55"/>
      <c r="DG274" s="55"/>
      <c r="DH274" s="55"/>
      <c r="DI274" s="55"/>
    </row>
    <row r="275" spans="1:113" x14ac:dyDescent="0.25">
      <c r="A275" s="380"/>
      <c r="B275" s="350"/>
      <c r="C275" s="341"/>
      <c r="D275" s="381"/>
      <c r="E275" s="344"/>
      <c r="F275" s="350"/>
      <c r="G275" s="356"/>
      <c r="H275" s="346"/>
      <c r="I275" s="345"/>
      <c r="J275" s="345"/>
      <c r="K275" s="347"/>
      <c r="L275"/>
      <c r="M275" s="348"/>
      <c r="N275" s="310" t="s">
        <v>1036</v>
      </c>
      <c r="O275" s="349" t="s">
        <v>1076</v>
      </c>
      <c r="P275" s="349" t="s">
        <v>1093</v>
      </c>
      <c r="Q275" s="349" t="s">
        <v>1057</v>
      </c>
      <c r="R275" s="349" t="s">
        <v>965</v>
      </c>
      <c r="S275" s="346" t="s">
        <v>1089</v>
      </c>
      <c r="T275" s="346" t="s">
        <v>1097</v>
      </c>
      <c r="U275" s="346" t="s">
        <v>1088</v>
      </c>
      <c r="V275" s="346" t="s">
        <v>1092</v>
      </c>
      <c r="W275" s="346" t="s">
        <v>1090</v>
      </c>
      <c r="X275" s="395"/>
      <c r="Y275" s="395"/>
      <c r="Z275" s="346"/>
      <c r="AA275" s="346"/>
      <c r="AB275" s="346"/>
      <c r="AC275" s="346"/>
      <c r="AD275" s="346"/>
      <c r="AE275" s="346"/>
      <c r="AF275" s="346"/>
      <c r="AG275" s="346"/>
      <c r="AH275" s="346"/>
      <c r="AI275" s="346"/>
      <c r="AJ275" s="346"/>
      <c r="AK275" s="346"/>
      <c r="AL275" s="346"/>
      <c r="AM275" s="346"/>
      <c r="AN275" s="346"/>
      <c r="AO275" s="346"/>
      <c r="AP275" s="346"/>
      <c r="AQ275" s="346"/>
      <c r="AR275" s="346"/>
      <c r="AS275" s="346"/>
      <c r="AT275" s="346"/>
      <c r="AU275" s="346"/>
      <c r="AV275" s="346"/>
      <c r="AW275" s="346"/>
      <c r="AX275" s="346"/>
      <c r="AY275" s="346"/>
      <c r="AZ275" s="346"/>
      <c r="BA275" s="346"/>
      <c r="BB275" s="346"/>
      <c r="BC275" s="346"/>
      <c r="BD275" s="346"/>
      <c r="BE275" s="346"/>
      <c r="BF275" s="346"/>
      <c r="BG275" s="346"/>
      <c r="BH275" s="346"/>
      <c r="BI275" s="346"/>
      <c r="BJ275" s="346"/>
      <c r="BK275" s="346"/>
      <c r="BL275" s="346"/>
      <c r="BM275" s="346"/>
      <c r="BN275" s="346"/>
      <c r="BO275" s="346"/>
      <c r="BP275" s="346"/>
      <c r="BQ275" s="346"/>
      <c r="BR275" s="346"/>
      <c r="BS275" s="346"/>
      <c r="BT275" s="346"/>
      <c r="BU275" s="346"/>
      <c r="BV275" s="346"/>
      <c r="BW275" s="346"/>
      <c r="BX275" s="346"/>
      <c r="BY275" s="346"/>
      <c r="BZ275" s="346"/>
      <c r="CA275" s="346"/>
      <c r="CB275" s="346"/>
      <c r="CC275" s="346"/>
      <c r="CD275" s="346"/>
      <c r="CE275" s="346"/>
      <c r="CF275" s="346"/>
      <c r="CG275" s="346"/>
      <c r="CH275" s="346"/>
      <c r="CI275" s="346"/>
      <c r="CJ275" s="346"/>
      <c r="CK275" s="346"/>
      <c r="CL275" s="346"/>
      <c r="CM275" s="346"/>
      <c r="CN275" s="346"/>
      <c r="CO275" s="346"/>
      <c r="CP275" s="346"/>
      <c r="CQ275" s="346"/>
      <c r="CR275" s="346"/>
      <c r="CS275" s="346"/>
      <c r="CT275" s="346"/>
      <c r="CU275" s="346"/>
      <c r="CV275" s="346"/>
      <c r="CW275" s="346"/>
      <c r="CX275" s="346"/>
      <c r="CY275" s="346"/>
      <c r="CZ275" s="346"/>
      <c r="DA275" s="346"/>
      <c r="DB275" s="346"/>
      <c r="DC275" s="346"/>
      <c r="DD275" s="346"/>
      <c r="DE275" s="346"/>
      <c r="DF275" s="346"/>
      <c r="DG275" s="346"/>
      <c r="DH275" s="346"/>
      <c r="DI275" s="346"/>
    </row>
    <row r="276" spans="1:113" x14ac:dyDescent="0.25">
      <c r="A276" s="152">
        <v>10</v>
      </c>
      <c r="B276" s="60" t="s">
        <v>319</v>
      </c>
      <c r="C276" s="80">
        <v>7000</v>
      </c>
      <c r="D276" s="142">
        <v>1458.95</v>
      </c>
      <c r="E276" s="43">
        <v>40</v>
      </c>
      <c r="F276" s="60"/>
      <c r="G276" s="139">
        <f t="shared" si="53"/>
        <v>40</v>
      </c>
      <c r="H276" s="55"/>
      <c r="I276" s="56">
        <f t="shared" si="54"/>
        <v>40</v>
      </c>
      <c r="J276" s="56">
        <f t="shared" si="55"/>
        <v>280000</v>
      </c>
      <c r="K276" s="57">
        <f t="shared" si="56"/>
        <v>58358</v>
      </c>
      <c r="L276"/>
      <c r="M276" s="314">
        <f t="shared" si="52"/>
        <v>381</v>
      </c>
      <c r="N276" s="310">
        <v>9</v>
      </c>
      <c r="O276" s="315">
        <v>95</v>
      </c>
      <c r="P276" s="315">
        <v>155</v>
      </c>
      <c r="Q276" s="315">
        <v>25</v>
      </c>
      <c r="R276" s="315">
        <v>8</v>
      </c>
      <c r="S276" s="55">
        <v>17</v>
      </c>
      <c r="T276" s="55">
        <v>23</v>
      </c>
      <c r="U276" s="55">
        <v>21</v>
      </c>
      <c r="V276" s="55">
        <v>21</v>
      </c>
      <c r="W276" s="55">
        <v>7</v>
      </c>
      <c r="X276" s="387"/>
      <c r="Y276" s="387"/>
      <c r="Z276" s="55"/>
      <c r="AA276" s="55"/>
      <c r="AB276" s="55"/>
      <c r="AC276" s="55"/>
      <c r="AD276" s="55"/>
      <c r="AE276" s="55"/>
      <c r="AF276" s="55"/>
      <c r="AG276" s="55"/>
      <c r="AH276" s="55"/>
      <c r="AI276" s="55"/>
      <c r="AJ276" s="55"/>
      <c r="AK276" s="55"/>
      <c r="AL276" s="55"/>
      <c r="AM276" s="55"/>
      <c r="AN276" s="55"/>
      <c r="AO276" s="55"/>
      <c r="AP276" s="55"/>
      <c r="AQ276" s="55"/>
      <c r="AR276" s="55"/>
      <c r="AS276" s="55"/>
      <c r="AT276" s="55"/>
      <c r="AU276" s="55"/>
      <c r="AV276" s="55"/>
      <c r="AW276" s="55"/>
      <c r="AX276" s="55"/>
      <c r="AY276" s="55"/>
      <c r="AZ276" s="55"/>
      <c r="BA276" s="55"/>
      <c r="BB276" s="55"/>
      <c r="BC276" s="55"/>
      <c r="BD276" s="55"/>
      <c r="BE276" s="55"/>
      <c r="BF276" s="55"/>
      <c r="BG276" s="55"/>
      <c r="BH276" s="55"/>
      <c r="BI276" s="55"/>
      <c r="BJ276" s="55"/>
      <c r="BK276" s="55"/>
      <c r="BL276" s="55"/>
      <c r="BM276" s="55"/>
      <c r="BN276" s="55"/>
      <c r="BO276" s="55"/>
      <c r="BP276" s="55"/>
      <c r="BQ276" s="55"/>
      <c r="BR276" s="55"/>
      <c r="BS276" s="55"/>
      <c r="BT276" s="55"/>
      <c r="BU276" s="55"/>
      <c r="BV276" s="55"/>
      <c r="BW276" s="55"/>
      <c r="BX276" s="55"/>
      <c r="BY276" s="55"/>
      <c r="BZ276" s="55"/>
      <c r="CA276" s="55"/>
      <c r="CB276" s="55"/>
      <c r="CC276" s="55"/>
      <c r="CD276" s="55"/>
      <c r="CE276" s="55"/>
      <c r="CF276" s="55"/>
      <c r="CG276" s="55"/>
      <c r="CH276" s="55"/>
      <c r="CI276" s="55"/>
      <c r="CJ276" s="55"/>
      <c r="CK276" s="55"/>
      <c r="CL276" s="55"/>
      <c r="CM276" s="55"/>
      <c r="CN276" s="55"/>
      <c r="CO276" s="55"/>
      <c r="CP276" s="55"/>
      <c r="CQ276" s="55"/>
      <c r="CR276" s="55"/>
      <c r="CS276" s="55"/>
      <c r="CT276" s="55"/>
      <c r="CU276" s="55"/>
      <c r="CV276" s="55"/>
      <c r="CW276" s="55"/>
      <c r="CX276" s="55"/>
      <c r="CY276" s="55"/>
      <c r="CZ276" s="55"/>
      <c r="DA276" s="55"/>
      <c r="DB276" s="55"/>
      <c r="DC276" s="55"/>
      <c r="DD276" s="55"/>
      <c r="DE276" s="55"/>
      <c r="DF276" s="55"/>
      <c r="DG276" s="55"/>
      <c r="DH276" s="55"/>
      <c r="DI276" s="55"/>
    </row>
    <row r="277" spans="1:113" x14ac:dyDescent="0.25">
      <c r="A277" s="380"/>
      <c r="B277" s="350"/>
      <c r="C277" s="341"/>
      <c r="D277" s="381"/>
      <c r="E277" s="344"/>
      <c r="F277" s="350"/>
      <c r="G277" s="356"/>
      <c r="H277" s="346"/>
      <c r="I277" s="345"/>
      <c r="J277" s="345"/>
      <c r="K277" s="347"/>
      <c r="L277"/>
      <c r="M277" s="348"/>
      <c r="N277" s="310" t="s">
        <v>1086</v>
      </c>
      <c r="O277" s="349"/>
      <c r="P277" s="349"/>
      <c r="Q277" s="349"/>
      <c r="R277" s="349"/>
      <c r="S277" s="346"/>
      <c r="T277" s="346"/>
      <c r="U277" s="346"/>
      <c r="V277" s="346"/>
      <c r="W277" s="346"/>
      <c r="X277" s="395"/>
      <c r="Y277" s="395"/>
      <c r="Z277" s="346"/>
      <c r="AA277" s="346"/>
      <c r="AB277" s="346"/>
      <c r="AC277" s="346"/>
      <c r="AD277" s="346"/>
      <c r="AE277" s="346"/>
      <c r="AF277" s="346"/>
      <c r="AG277" s="346"/>
      <c r="AH277" s="346"/>
      <c r="AI277" s="346"/>
      <c r="AJ277" s="346"/>
      <c r="AK277" s="346"/>
      <c r="AL277" s="346"/>
      <c r="AM277" s="346"/>
      <c r="AN277" s="346"/>
      <c r="AO277" s="346"/>
      <c r="AP277" s="346"/>
      <c r="AQ277" s="346"/>
      <c r="AR277" s="346"/>
      <c r="AS277" s="346"/>
      <c r="AT277" s="346"/>
      <c r="AU277" s="346"/>
      <c r="AV277" s="346"/>
      <c r="AW277" s="346"/>
      <c r="AX277" s="346"/>
      <c r="AY277" s="346"/>
      <c r="AZ277" s="346"/>
      <c r="BA277" s="346"/>
      <c r="BB277" s="346"/>
      <c r="BC277" s="346"/>
      <c r="BD277" s="346"/>
      <c r="BE277" s="346"/>
      <c r="BF277" s="346"/>
      <c r="BG277" s="346"/>
      <c r="BH277" s="346"/>
      <c r="BI277" s="346"/>
      <c r="BJ277" s="346"/>
      <c r="BK277" s="346"/>
      <c r="BL277" s="346"/>
      <c r="BM277" s="346"/>
      <c r="BN277" s="346"/>
      <c r="BO277" s="346"/>
      <c r="BP277" s="346"/>
      <c r="BQ277" s="346"/>
      <c r="BR277" s="346"/>
      <c r="BS277" s="346"/>
      <c r="BT277" s="346"/>
      <c r="BU277" s="346"/>
      <c r="BV277" s="346"/>
      <c r="BW277" s="346"/>
      <c r="BX277" s="346"/>
      <c r="BY277" s="346"/>
      <c r="BZ277" s="346"/>
      <c r="CA277" s="346"/>
      <c r="CB277" s="346"/>
      <c r="CC277" s="346"/>
      <c r="CD277" s="346"/>
      <c r="CE277" s="346"/>
      <c r="CF277" s="346"/>
      <c r="CG277" s="346"/>
      <c r="CH277" s="346"/>
      <c r="CI277" s="346"/>
      <c r="CJ277" s="346"/>
      <c r="CK277" s="346"/>
      <c r="CL277" s="346"/>
      <c r="CM277" s="346"/>
      <c r="CN277" s="346"/>
      <c r="CO277" s="346"/>
      <c r="CP277" s="346"/>
      <c r="CQ277" s="346"/>
      <c r="CR277" s="346"/>
      <c r="CS277" s="346"/>
      <c r="CT277" s="346"/>
      <c r="CU277" s="346"/>
      <c r="CV277" s="346"/>
      <c r="CW277" s="346"/>
      <c r="CX277" s="346"/>
      <c r="CY277" s="346"/>
      <c r="CZ277" s="346"/>
      <c r="DA277" s="346"/>
      <c r="DB277" s="346"/>
      <c r="DC277" s="346"/>
      <c r="DD277" s="346"/>
      <c r="DE277" s="346"/>
      <c r="DF277" s="346"/>
      <c r="DG277" s="346"/>
      <c r="DH277" s="346"/>
      <c r="DI277" s="346"/>
    </row>
    <row r="278" spans="1:113" x14ac:dyDescent="0.25">
      <c r="A278" s="152">
        <v>11</v>
      </c>
      <c r="B278" s="60" t="s">
        <v>417</v>
      </c>
      <c r="C278" s="80">
        <v>5000</v>
      </c>
      <c r="D278" s="142">
        <f>1320+(3542/8)</f>
        <v>1762.75</v>
      </c>
      <c r="E278" s="43">
        <v>2600</v>
      </c>
      <c r="F278" s="60"/>
      <c r="G278" s="139">
        <f t="shared" si="53"/>
        <v>2600</v>
      </c>
      <c r="H278" s="55"/>
      <c r="I278" s="56">
        <f t="shared" si="54"/>
        <v>2600</v>
      </c>
      <c r="J278" s="56">
        <f t="shared" si="55"/>
        <v>13000000</v>
      </c>
      <c r="K278" s="57">
        <f t="shared" si="56"/>
        <v>4583150</v>
      </c>
      <c r="L278"/>
      <c r="M278" s="314">
        <f t="shared" si="52"/>
        <v>260</v>
      </c>
      <c r="N278" s="310">
        <f>100+100+60</f>
        <v>260</v>
      </c>
      <c r="O278" s="315"/>
      <c r="P278" s="315"/>
      <c r="Q278" s="315"/>
      <c r="R278" s="31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5"/>
      <c r="AP278" s="55"/>
      <c r="AQ278" s="55"/>
      <c r="AR278" s="55"/>
      <c r="AS278" s="55"/>
      <c r="AT278" s="55"/>
      <c r="AU278" s="55"/>
      <c r="AV278" s="55"/>
      <c r="AW278" s="55"/>
      <c r="AX278" s="55"/>
      <c r="AY278" s="55"/>
      <c r="AZ278" s="55"/>
      <c r="BA278" s="55"/>
      <c r="BB278" s="55"/>
      <c r="BC278" s="55"/>
      <c r="BD278" s="55"/>
      <c r="BE278" s="55"/>
      <c r="BF278" s="55"/>
      <c r="BG278" s="55"/>
      <c r="BH278" s="55"/>
      <c r="BI278" s="55"/>
      <c r="BJ278" s="55"/>
      <c r="BK278" s="55"/>
      <c r="BL278" s="55"/>
      <c r="BM278" s="55"/>
      <c r="BN278" s="55"/>
      <c r="BO278" s="55"/>
      <c r="BP278" s="55"/>
      <c r="BQ278" s="55"/>
      <c r="BR278" s="55"/>
      <c r="BS278" s="55"/>
      <c r="BT278" s="55"/>
      <c r="BU278" s="55"/>
      <c r="BV278" s="55"/>
      <c r="BW278" s="55"/>
      <c r="BX278" s="55"/>
      <c r="BY278" s="55"/>
      <c r="BZ278" s="55"/>
      <c r="CA278" s="55"/>
      <c r="CB278" s="55"/>
      <c r="CC278" s="55"/>
      <c r="CD278" s="55"/>
      <c r="CE278" s="55"/>
      <c r="CF278" s="55"/>
      <c r="CG278" s="55"/>
      <c r="CH278" s="55"/>
      <c r="CI278" s="55"/>
      <c r="CJ278" s="55"/>
      <c r="CK278" s="55"/>
      <c r="CL278" s="55"/>
      <c r="CM278" s="55"/>
      <c r="CN278" s="55"/>
      <c r="CO278" s="55"/>
      <c r="CP278" s="55"/>
      <c r="CQ278" s="55"/>
      <c r="CR278" s="55"/>
      <c r="CS278" s="55"/>
      <c r="CT278" s="55"/>
      <c r="CU278" s="55"/>
      <c r="CV278" s="55"/>
      <c r="CW278" s="55"/>
      <c r="CX278" s="55"/>
      <c r="CY278" s="55"/>
      <c r="CZ278" s="55"/>
      <c r="DA278" s="55"/>
      <c r="DB278" s="55"/>
      <c r="DC278" s="55"/>
      <c r="DD278" s="55"/>
      <c r="DE278" s="55"/>
      <c r="DF278" s="55"/>
      <c r="DG278" s="55"/>
      <c r="DH278" s="55"/>
      <c r="DI278" s="55"/>
    </row>
    <row r="279" spans="1:113" x14ac:dyDescent="0.25">
      <c r="A279" s="380"/>
      <c r="B279" s="350"/>
      <c r="C279" s="341"/>
      <c r="D279" s="381"/>
      <c r="E279" s="344"/>
      <c r="F279" s="350"/>
      <c r="G279" s="356"/>
      <c r="H279" s="346"/>
      <c r="I279" s="345"/>
      <c r="J279" s="345"/>
      <c r="K279" s="347"/>
      <c r="L279"/>
      <c r="M279" s="348"/>
      <c r="N279" s="310" t="s">
        <v>1088</v>
      </c>
      <c r="O279" s="349" t="s">
        <v>1086</v>
      </c>
      <c r="P279" s="349" t="s">
        <v>1093</v>
      </c>
      <c r="Q279" s="349" t="s">
        <v>1036</v>
      </c>
      <c r="R279" s="349" t="s">
        <v>1108</v>
      </c>
      <c r="S279" s="346"/>
      <c r="T279" s="346"/>
      <c r="U279" s="346"/>
      <c r="V279" s="346"/>
      <c r="W279" s="346"/>
      <c r="X279" s="346"/>
      <c r="Y279" s="346"/>
      <c r="Z279" s="346"/>
      <c r="AA279" s="346"/>
      <c r="AB279" s="346"/>
      <c r="AC279" s="346"/>
      <c r="AD279" s="346"/>
      <c r="AE279" s="346"/>
      <c r="AF279" s="346"/>
      <c r="AG279" s="346"/>
      <c r="AH279" s="346"/>
      <c r="AI279" s="346"/>
      <c r="AJ279" s="346"/>
      <c r="AK279" s="346"/>
      <c r="AL279" s="346"/>
      <c r="AM279" s="346"/>
      <c r="AN279" s="346"/>
      <c r="AO279" s="346"/>
      <c r="AP279" s="346"/>
      <c r="AQ279" s="346"/>
      <c r="AR279" s="346"/>
      <c r="AS279" s="346"/>
      <c r="AT279" s="346"/>
      <c r="AU279" s="346"/>
      <c r="AV279" s="346"/>
      <c r="AW279" s="346"/>
      <c r="AX279" s="346"/>
      <c r="AY279" s="346"/>
      <c r="AZ279" s="346"/>
      <c r="BA279" s="346"/>
      <c r="BB279" s="346"/>
      <c r="BC279" s="346"/>
      <c r="BD279" s="346"/>
      <c r="BE279" s="346"/>
      <c r="BF279" s="346"/>
      <c r="BG279" s="346"/>
      <c r="BH279" s="346"/>
      <c r="BI279" s="346"/>
      <c r="BJ279" s="346"/>
      <c r="BK279" s="346"/>
      <c r="BL279" s="346"/>
      <c r="BM279" s="346"/>
      <c r="BN279" s="346"/>
      <c r="BO279" s="346"/>
      <c r="BP279" s="346"/>
      <c r="BQ279" s="346"/>
      <c r="BR279" s="346"/>
      <c r="BS279" s="346"/>
      <c r="BT279" s="346"/>
      <c r="BU279" s="346"/>
      <c r="BV279" s="346"/>
      <c r="BW279" s="346"/>
      <c r="BX279" s="346"/>
      <c r="BY279" s="346"/>
      <c r="BZ279" s="346"/>
      <c r="CA279" s="346"/>
      <c r="CB279" s="346"/>
      <c r="CC279" s="346"/>
      <c r="CD279" s="346"/>
      <c r="CE279" s="346"/>
      <c r="CF279" s="346"/>
      <c r="CG279" s="346"/>
      <c r="CH279" s="346"/>
      <c r="CI279" s="346"/>
      <c r="CJ279" s="346"/>
      <c r="CK279" s="346"/>
      <c r="CL279" s="346"/>
      <c r="CM279" s="346"/>
      <c r="CN279" s="346"/>
      <c r="CO279" s="346"/>
      <c r="CP279" s="346"/>
      <c r="CQ279" s="346"/>
      <c r="CR279" s="346"/>
      <c r="CS279" s="346"/>
      <c r="CT279" s="346"/>
      <c r="CU279" s="346"/>
      <c r="CV279" s="346"/>
      <c r="CW279" s="346"/>
      <c r="CX279" s="346"/>
      <c r="CY279" s="346"/>
      <c r="CZ279" s="346"/>
      <c r="DA279" s="346"/>
      <c r="DB279" s="346"/>
      <c r="DC279" s="346"/>
      <c r="DD279" s="346"/>
      <c r="DE279" s="346"/>
      <c r="DF279" s="346"/>
      <c r="DG279" s="346"/>
      <c r="DH279" s="346"/>
      <c r="DI279" s="346"/>
    </row>
    <row r="280" spans="1:113" x14ac:dyDescent="0.25">
      <c r="A280" s="152">
        <v>12</v>
      </c>
      <c r="B280" s="79" t="s">
        <v>418</v>
      </c>
      <c r="C280" s="80">
        <v>12000</v>
      </c>
      <c r="D280" s="142">
        <v>2253.37</v>
      </c>
      <c r="E280" s="43">
        <v>0</v>
      </c>
      <c r="F280" s="60"/>
      <c r="G280" s="139">
        <f t="shared" si="53"/>
        <v>0</v>
      </c>
      <c r="H280" s="55">
        <f>50-50</f>
        <v>0</v>
      </c>
      <c r="I280" s="56">
        <f t="shared" si="54"/>
        <v>0</v>
      </c>
      <c r="J280" s="56">
        <f t="shared" si="55"/>
        <v>0</v>
      </c>
      <c r="K280" s="57">
        <f t="shared" si="56"/>
        <v>0</v>
      </c>
      <c r="L280"/>
      <c r="M280" s="314">
        <f t="shared" si="52"/>
        <v>387</v>
      </c>
      <c r="N280" s="310">
        <v>20</v>
      </c>
      <c r="O280" s="315">
        <f>100+55+100</f>
        <v>255</v>
      </c>
      <c r="P280" s="315">
        <v>97</v>
      </c>
      <c r="Q280" s="315">
        <v>3</v>
      </c>
      <c r="R280" s="315">
        <v>12</v>
      </c>
      <c r="S280" s="55"/>
      <c r="T280" s="55"/>
      <c r="U280" s="55"/>
      <c r="V280" s="55"/>
      <c r="W280" s="55"/>
      <c r="X280" s="55"/>
      <c r="Y280" s="55"/>
      <c r="Z280" s="55"/>
      <c r="AA280" s="55"/>
      <c r="AB280" s="55"/>
      <c r="AC280" s="55"/>
      <c r="AD280" s="55"/>
      <c r="AE280" s="55"/>
      <c r="AF280" s="55"/>
      <c r="AG280" s="55"/>
      <c r="AH280" s="55"/>
      <c r="AI280" s="55"/>
      <c r="AJ280" s="55"/>
      <c r="AK280" s="55"/>
      <c r="AL280" s="55"/>
      <c r="AM280" s="55"/>
      <c r="AN280" s="55"/>
      <c r="AO280" s="55"/>
      <c r="AP280" s="55"/>
      <c r="AQ280" s="55"/>
      <c r="AR280" s="55"/>
      <c r="AS280" s="55"/>
      <c r="AT280" s="55"/>
      <c r="AU280" s="55"/>
      <c r="AV280" s="55"/>
      <c r="AW280" s="55"/>
      <c r="AX280" s="55"/>
      <c r="AY280" s="55"/>
      <c r="AZ280" s="55"/>
      <c r="BA280" s="55"/>
      <c r="BB280" s="55"/>
      <c r="BC280" s="55"/>
      <c r="BD280" s="55"/>
      <c r="BE280" s="55"/>
      <c r="BF280" s="55"/>
      <c r="BG280" s="55"/>
      <c r="BH280" s="55"/>
      <c r="BI280" s="55"/>
      <c r="BJ280" s="55"/>
      <c r="BK280" s="55"/>
      <c r="BL280" s="55"/>
      <c r="BM280" s="55"/>
      <c r="BN280" s="55"/>
      <c r="BO280" s="55"/>
      <c r="BP280" s="55"/>
      <c r="BQ280" s="55"/>
      <c r="BR280" s="55"/>
      <c r="BS280" s="55"/>
      <c r="BT280" s="55"/>
      <c r="BU280" s="55"/>
      <c r="BV280" s="55"/>
      <c r="BW280" s="55"/>
      <c r="BX280" s="55"/>
      <c r="BY280" s="55"/>
      <c r="BZ280" s="55"/>
      <c r="CA280" s="55"/>
      <c r="CB280" s="55"/>
      <c r="CC280" s="55"/>
      <c r="CD280" s="55"/>
      <c r="CE280" s="55"/>
      <c r="CF280" s="55"/>
      <c r="CG280" s="55"/>
      <c r="CH280" s="55"/>
      <c r="CI280" s="55"/>
      <c r="CJ280" s="55"/>
      <c r="CK280" s="55"/>
      <c r="CL280" s="55"/>
      <c r="CM280" s="55"/>
      <c r="CN280" s="55"/>
      <c r="CO280" s="55"/>
      <c r="CP280" s="55"/>
      <c r="CQ280" s="55"/>
      <c r="CR280" s="55"/>
      <c r="CS280" s="55"/>
      <c r="CT280" s="55"/>
      <c r="CU280" s="55"/>
      <c r="CV280" s="55"/>
      <c r="CW280" s="55"/>
      <c r="CX280" s="55"/>
      <c r="CY280" s="55"/>
      <c r="CZ280" s="55"/>
      <c r="DA280" s="55"/>
      <c r="DB280" s="55"/>
      <c r="DC280" s="55"/>
      <c r="DD280" s="55"/>
      <c r="DE280" s="55"/>
      <c r="DF280" s="55"/>
      <c r="DG280" s="55"/>
      <c r="DH280" s="55"/>
      <c r="DI280" s="55"/>
    </row>
    <row r="281" spans="1:113" x14ac:dyDescent="0.25">
      <c r="A281" s="380"/>
      <c r="B281" s="340"/>
      <c r="C281" s="341"/>
      <c r="D281" s="381"/>
      <c r="E281" s="344"/>
      <c r="F281" s="350"/>
      <c r="G281" s="356"/>
      <c r="H281" s="346"/>
      <c r="I281" s="345"/>
      <c r="J281" s="345"/>
      <c r="K281" s="347"/>
      <c r="L281"/>
      <c r="M281" s="348"/>
      <c r="N281" s="310" t="s">
        <v>1093</v>
      </c>
      <c r="O281" s="349" t="s">
        <v>965</v>
      </c>
      <c r="P281" s="349" t="s">
        <v>1036</v>
      </c>
      <c r="Q281" s="349" t="s">
        <v>1098</v>
      </c>
      <c r="R281" s="349" t="s">
        <v>1092</v>
      </c>
      <c r="S281" s="346" t="s">
        <v>1088</v>
      </c>
      <c r="T281" s="346" t="s">
        <v>1097</v>
      </c>
      <c r="U281" s="346" t="s">
        <v>1096</v>
      </c>
      <c r="V281" s="346" t="s">
        <v>1090</v>
      </c>
      <c r="W281" s="346"/>
      <c r="X281" s="346"/>
      <c r="Y281" s="346"/>
      <c r="Z281" s="346"/>
      <c r="AA281" s="346"/>
      <c r="AB281" s="346"/>
      <c r="AC281" s="346"/>
      <c r="AD281" s="346"/>
      <c r="AE281" s="346"/>
      <c r="AF281" s="346"/>
      <c r="AG281" s="346"/>
      <c r="AH281" s="346"/>
      <c r="AI281" s="346"/>
      <c r="AJ281" s="346"/>
      <c r="AK281" s="346"/>
      <c r="AL281" s="346"/>
      <c r="AM281" s="346"/>
      <c r="AN281" s="346"/>
      <c r="AO281" s="346"/>
      <c r="AP281" s="346"/>
      <c r="AQ281" s="346"/>
      <c r="AR281" s="346"/>
      <c r="AS281" s="346"/>
      <c r="AT281" s="346"/>
      <c r="AU281" s="346"/>
      <c r="AV281" s="346"/>
      <c r="AW281" s="346"/>
      <c r="AX281" s="346"/>
      <c r="AY281" s="346"/>
      <c r="AZ281" s="346"/>
      <c r="BA281" s="346"/>
      <c r="BB281" s="346"/>
      <c r="BC281" s="346"/>
      <c r="BD281" s="346"/>
      <c r="BE281" s="346"/>
      <c r="BF281" s="346"/>
      <c r="BG281" s="346"/>
      <c r="BH281" s="346"/>
      <c r="BI281" s="346"/>
      <c r="BJ281" s="346"/>
      <c r="BK281" s="346"/>
      <c r="BL281" s="346"/>
      <c r="BM281" s="346"/>
      <c r="BN281" s="346"/>
      <c r="BO281" s="346"/>
      <c r="BP281" s="346"/>
      <c r="BQ281" s="346"/>
      <c r="BR281" s="346"/>
      <c r="BS281" s="346"/>
      <c r="BT281" s="346"/>
      <c r="BU281" s="346"/>
      <c r="BV281" s="346"/>
      <c r="BW281" s="346"/>
      <c r="BX281" s="346"/>
      <c r="BY281" s="346"/>
      <c r="BZ281" s="346"/>
      <c r="CA281" s="346"/>
      <c r="CB281" s="346"/>
      <c r="CC281" s="346"/>
      <c r="CD281" s="346"/>
      <c r="CE281" s="346"/>
      <c r="CF281" s="346"/>
      <c r="CG281" s="346"/>
      <c r="CH281" s="346"/>
      <c r="CI281" s="346"/>
      <c r="CJ281" s="346"/>
      <c r="CK281" s="346"/>
      <c r="CL281" s="346"/>
      <c r="CM281" s="346"/>
      <c r="CN281" s="346"/>
      <c r="CO281" s="346"/>
      <c r="CP281" s="346"/>
      <c r="CQ281" s="346"/>
      <c r="CR281" s="346"/>
      <c r="CS281" s="346"/>
      <c r="CT281" s="346"/>
      <c r="CU281" s="346"/>
      <c r="CV281" s="346"/>
      <c r="CW281" s="346"/>
      <c r="CX281" s="346"/>
      <c r="CY281" s="346"/>
      <c r="CZ281" s="346"/>
      <c r="DA281" s="346"/>
      <c r="DB281" s="346"/>
      <c r="DC281" s="346"/>
      <c r="DD281" s="346"/>
      <c r="DE281" s="346"/>
      <c r="DF281" s="346"/>
      <c r="DG281" s="346"/>
      <c r="DH281" s="346"/>
      <c r="DI281" s="346"/>
    </row>
    <row r="282" spans="1:113" x14ac:dyDescent="0.25">
      <c r="A282" s="152">
        <v>13</v>
      </c>
      <c r="B282" s="79" t="s">
        <v>419</v>
      </c>
      <c r="C282" s="80">
        <v>9500</v>
      </c>
      <c r="D282" s="142">
        <v>2051.96</v>
      </c>
      <c r="E282" s="43">
        <v>60</v>
      </c>
      <c r="F282" s="60"/>
      <c r="G282" s="139">
        <f t="shared" si="53"/>
        <v>60</v>
      </c>
      <c r="H282" s="55"/>
      <c r="I282" s="56">
        <f t="shared" si="54"/>
        <v>60</v>
      </c>
      <c r="J282" s="56">
        <f t="shared" si="55"/>
        <v>570000</v>
      </c>
      <c r="K282" s="57">
        <f t="shared" si="56"/>
        <v>123117.6</v>
      </c>
      <c r="L282"/>
      <c r="M282" s="314">
        <f t="shared" si="52"/>
        <v>338</v>
      </c>
      <c r="N282" s="310">
        <v>91</v>
      </c>
      <c r="O282" s="315">
        <v>10</v>
      </c>
      <c r="P282" s="315">
        <v>13</v>
      </c>
      <c r="Q282" s="315">
        <f>100+34</f>
        <v>134</v>
      </c>
      <c r="R282" s="315">
        <v>21</v>
      </c>
      <c r="S282" s="55">
        <v>23</v>
      </c>
      <c r="T282" s="55">
        <v>23</v>
      </c>
      <c r="U282" s="55">
        <v>15</v>
      </c>
      <c r="V282" s="55">
        <v>8</v>
      </c>
      <c r="W282" s="55"/>
      <c r="X282" s="55"/>
      <c r="Y282" s="55"/>
      <c r="Z282" s="55"/>
      <c r="AA282" s="55"/>
      <c r="AB282" s="55"/>
      <c r="AC282" s="55"/>
      <c r="AD282" s="55"/>
      <c r="AE282" s="55"/>
      <c r="AF282" s="55"/>
      <c r="AG282" s="55"/>
      <c r="AH282" s="55"/>
      <c r="AI282" s="55"/>
      <c r="AJ282" s="55"/>
      <c r="AK282" s="55"/>
      <c r="AL282" s="55"/>
      <c r="AM282" s="55"/>
      <c r="AN282" s="55"/>
      <c r="AO282" s="55"/>
      <c r="AP282" s="55"/>
      <c r="AQ282" s="55"/>
      <c r="AR282" s="55"/>
      <c r="AS282" s="55"/>
      <c r="AT282" s="55"/>
      <c r="AU282" s="55"/>
      <c r="AV282" s="55"/>
      <c r="AW282" s="55"/>
      <c r="AX282" s="55"/>
      <c r="AY282" s="55"/>
      <c r="AZ282" s="55"/>
      <c r="BA282" s="55"/>
      <c r="BB282" s="55"/>
      <c r="BC282" s="55"/>
      <c r="BD282" s="55"/>
      <c r="BE282" s="55"/>
      <c r="BF282" s="55"/>
      <c r="BG282" s="55"/>
      <c r="BH282" s="55"/>
      <c r="BI282" s="55"/>
      <c r="BJ282" s="55"/>
      <c r="BK282" s="55"/>
      <c r="BL282" s="55"/>
      <c r="BM282" s="55"/>
      <c r="BN282" s="55"/>
      <c r="BO282" s="55"/>
      <c r="BP282" s="55"/>
      <c r="BQ282" s="55"/>
      <c r="BR282" s="55"/>
      <c r="BS282" s="55"/>
      <c r="BT282" s="55"/>
      <c r="BU282" s="55"/>
      <c r="BV282" s="55"/>
      <c r="BW282" s="55"/>
      <c r="BX282" s="55"/>
      <c r="BY282" s="55"/>
      <c r="BZ282" s="55"/>
      <c r="CA282" s="55"/>
      <c r="CB282" s="55"/>
      <c r="CC282" s="55"/>
      <c r="CD282" s="55"/>
      <c r="CE282" s="55"/>
      <c r="CF282" s="55"/>
      <c r="CG282" s="55"/>
      <c r="CH282" s="55"/>
      <c r="CI282" s="55"/>
      <c r="CJ282" s="55"/>
      <c r="CK282" s="55"/>
      <c r="CL282" s="55"/>
      <c r="CM282" s="55"/>
      <c r="CN282" s="55"/>
      <c r="CO282" s="55"/>
      <c r="CP282" s="55"/>
      <c r="CQ282" s="55"/>
      <c r="CR282" s="55"/>
      <c r="CS282" s="55"/>
      <c r="CT282" s="55"/>
      <c r="CU282" s="55"/>
      <c r="CV282" s="55"/>
      <c r="CW282" s="55"/>
      <c r="CX282" s="55"/>
      <c r="CY282" s="55"/>
      <c r="CZ282" s="55"/>
      <c r="DA282" s="55"/>
      <c r="DB282" s="55"/>
      <c r="DC282" s="55"/>
      <c r="DD282" s="55"/>
      <c r="DE282" s="55"/>
      <c r="DF282" s="55"/>
      <c r="DG282" s="55"/>
      <c r="DH282" s="55"/>
      <c r="DI282" s="55"/>
    </row>
    <row r="283" spans="1:113" x14ac:dyDescent="0.25">
      <c r="A283" s="380"/>
      <c r="B283" s="340"/>
      <c r="C283" s="341"/>
      <c r="D283" s="381"/>
      <c r="E283" s="344"/>
      <c r="F283" s="350"/>
      <c r="G283" s="356"/>
      <c r="H283" s="346"/>
      <c r="I283" s="345"/>
      <c r="J283" s="345"/>
      <c r="K283" s="347"/>
      <c r="L283"/>
      <c r="M283" s="348"/>
      <c r="N283" s="310" t="s">
        <v>1087</v>
      </c>
      <c r="O283" s="349" t="s">
        <v>1093</v>
      </c>
      <c r="P283" s="349" t="s">
        <v>1090</v>
      </c>
      <c r="Q283" s="349" t="s">
        <v>1092</v>
      </c>
      <c r="R283" s="349" t="s">
        <v>1057</v>
      </c>
      <c r="S283" s="346" t="s">
        <v>1036</v>
      </c>
      <c r="T283" s="346" t="s">
        <v>965</v>
      </c>
      <c r="U283" s="346" t="s">
        <v>1098</v>
      </c>
      <c r="V283" s="346" t="s">
        <v>1088</v>
      </c>
      <c r="W283" s="346" t="s">
        <v>1096</v>
      </c>
      <c r="X283" s="346" t="s">
        <v>1095</v>
      </c>
      <c r="Y283" s="346"/>
      <c r="Z283" s="346"/>
      <c r="AA283" s="346"/>
      <c r="AB283" s="346"/>
      <c r="AC283" s="346"/>
      <c r="AD283" s="346"/>
      <c r="AE283" s="346"/>
      <c r="AF283" s="346"/>
      <c r="AG283" s="346"/>
      <c r="AH283" s="346"/>
      <c r="AI283" s="346"/>
      <c r="AJ283" s="346"/>
      <c r="AK283" s="346"/>
      <c r="AL283" s="346"/>
      <c r="AM283" s="346"/>
      <c r="AN283" s="346"/>
      <c r="AO283" s="346"/>
      <c r="AP283" s="346"/>
      <c r="AQ283" s="346"/>
      <c r="AR283" s="346"/>
      <c r="AS283" s="346"/>
      <c r="AT283" s="346"/>
      <c r="AU283" s="346"/>
      <c r="AV283" s="346"/>
      <c r="AW283" s="346"/>
      <c r="AX283" s="346"/>
      <c r="AY283" s="346"/>
      <c r="AZ283" s="346"/>
      <c r="BA283" s="346"/>
      <c r="BB283" s="346"/>
      <c r="BC283" s="346"/>
      <c r="BD283" s="346"/>
      <c r="BE283" s="346"/>
      <c r="BF283" s="346"/>
      <c r="BG283" s="346"/>
      <c r="BH283" s="346"/>
      <c r="BI283" s="346"/>
      <c r="BJ283" s="346"/>
      <c r="BK283" s="346"/>
      <c r="BL283" s="346"/>
      <c r="BM283" s="346"/>
      <c r="BN283" s="346"/>
      <c r="BO283" s="346"/>
      <c r="BP283" s="346"/>
      <c r="BQ283" s="346"/>
      <c r="BR283" s="346"/>
      <c r="BS283" s="346"/>
      <c r="BT283" s="346"/>
      <c r="BU283" s="346"/>
      <c r="BV283" s="346"/>
      <c r="BW283" s="346"/>
      <c r="BX283" s="346"/>
      <c r="BY283" s="346"/>
      <c r="BZ283" s="346"/>
      <c r="CA283" s="346"/>
      <c r="CB283" s="346"/>
      <c r="CC283" s="346"/>
      <c r="CD283" s="346"/>
      <c r="CE283" s="346"/>
      <c r="CF283" s="346"/>
      <c r="CG283" s="346"/>
      <c r="CH283" s="346"/>
      <c r="CI283" s="346"/>
      <c r="CJ283" s="346"/>
      <c r="CK283" s="346"/>
      <c r="CL283" s="346"/>
      <c r="CM283" s="346"/>
      <c r="CN283" s="346"/>
      <c r="CO283" s="346"/>
      <c r="CP283" s="346"/>
      <c r="CQ283" s="346"/>
      <c r="CR283" s="346"/>
      <c r="CS283" s="346"/>
      <c r="CT283" s="346"/>
      <c r="CU283" s="346"/>
      <c r="CV283" s="346"/>
      <c r="CW283" s="346"/>
      <c r="CX283" s="346"/>
      <c r="CY283" s="346"/>
      <c r="CZ283" s="346"/>
      <c r="DA283" s="346"/>
      <c r="DB283" s="346"/>
      <c r="DC283" s="346"/>
      <c r="DD283" s="346"/>
      <c r="DE283" s="346"/>
      <c r="DF283" s="346"/>
      <c r="DG283" s="346"/>
      <c r="DH283" s="346"/>
      <c r="DI283" s="346"/>
    </row>
    <row r="284" spans="1:113" x14ac:dyDescent="0.25">
      <c r="A284" s="152">
        <v>14</v>
      </c>
      <c r="B284" s="79" t="s">
        <v>420</v>
      </c>
      <c r="C284" s="80">
        <v>7000</v>
      </c>
      <c r="D284" s="142">
        <v>1743.66</v>
      </c>
      <c r="E284" s="43">
        <v>60</v>
      </c>
      <c r="F284" s="60"/>
      <c r="G284" s="139">
        <f t="shared" si="53"/>
        <v>60</v>
      </c>
      <c r="H284" s="55"/>
      <c r="I284" s="56">
        <f t="shared" si="54"/>
        <v>60</v>
      </c>
      <c r="J284" s="56">
        <f t="shared" si="55"/>
        <v>420000</v>
      </c>
      <c r="K284" s="57">
        <f t="shared" si="56"/>
        <v>104619.6</v>
      </c>
      <c r="L284"/>
      <c r="M284" s="314">
        <f t="shared" si="52"/>
        <v>631</v>
      </c>
      <c r="N284" s="310">
        <f>59+100+100</f>
        <v>259</v>
      </c>
      <c r="O284" s="315">
        <v>97</v>
      </c>
      <c r="P284" s="315">
        <v>7</v>
      </c>
      <c r="Q284" s="315">
        <v>22</v>
      </c>
      <c r="R284" s="315">
        <v>25</v>
      </c>
      <c r="S284" s="55">
        <v>13</v>
      </c>
      <c r="T284" s="55">
        <v>10</v>
      </c>
      <c r="U284" s="55">
        <v>134</v>
      </c>
      <c r="V284" s="55">
        <v>23</v>
      </c>
      <c r="W284" s="55">
        <v>16</v>
      </c>
      <c r="X284" s="55">
        <v>25</v>
      </c>
      <c r="Y284" s="55"/>
      <c r="Z284" s="55"/>
      <c r="AA284" s="55"/>
      <c r="AB284" s="55"/>
      <c r="AC284" s="55"/>
      <c r="AD284" s="55"/>
      <c r="AE284" s="55"/>
      <c r="AF284" s="55"/>
      <c r="AG284" s="55"/>
      <c r="AH284" s="55"/>
      <c r="AI284" s="55"/>
      <c r="AJ284" s="55"/>
      <c r="AK284" s="55"/>
      <c r="AL284" s="55"/>
      <c r="AM284" s="55"/>
      <c r="AN284" s="55"/>
      <c r="AO284" s="55"/>
      <c r="AP284" s="55"/>
      <c r="AQ284" s="55"/>
      <c r="AR284" s="55"/>
      <c r="AS284" s="55"/>
      <c r="AT284" s="55"/>
      <c r="AU284" s="55"/>
      <c r="AV284" s="55"/>
      <c r="AW284" s="55"/>
      <c r="AX284" s="55"/>
      <c r="AY284" s="55"/>
      <c r="AZ284" s="55"/>
      <c r="BA284" s="55"/>
      <c r="BB284" s="55"/>
      <c r="BC284" s="55"/>
      <c r="BD284" s="55"/>
      <c r="BE284" s="55"/>
      <c r="BF284" s="55"/>
      <c r="BG284" s="55"/>
      <c r="BH284" s="55"/>
      <c r="BI284" s="55"/>
      <c r="BJ284" s="55"/>
      <c r="BK284" s="55"/>
      <c r="BL284" s="55"/>
      <c r="BM284" s="55"/>
      <c r="BN284" s="55"/>
      <c r="BO284" s="55"/>
      <c r="BP284" s="55"/>
      <c r="BQ284" s="55"/>
      <c r="BR284" s="55"/>
      <c r="BS284" s="55"/>
      <c r="BT284" s="55"/>
      <c r="BU284" s="55"/>
      <c r="BV284" s="55"/>
      <c r="BW284" s="55"/>
      <c r="BX284" s="55"/>
      <c r="BY284" s="55"/>
      <c r="BZ284" s="55"/>
      <c r="CA284" s="55"/>
      <c r="CB284" s="55"/>
      <c r="CC284" s="55"/>
      <c r="CD284" s="55"/>
      <c r="CE284" s="55"/>
      <c r="CF284" s="55"/>
      <c r="CG284" s="55"/>
      <c r="CH284" s="55"/>
      <c r="CI284" s="55"/>
      <c r="CJ284" s="55"/>
      <c r="CK284" s="55"/>
      <c r="CL284" s="55"/>
      <c r="CM284" s="55"/>
      <c r="CN284" s="55"/>
      <c r="CO284" s="55"/>
      <c r="CP284" s="55"/>
      <c r="CQ284" s="55"/>
      <c r="CR284" s="55"/>
      <c r="CS284" s="55"/>
      <c r="CT284" s="55"/>
      <c r="CU284" s="55"/>
      <c r="CV284" s="55"/>
      <c r="CW284" s="55"/>
      <c r="CX284" s="55"/>
      <c r="CY284" s="55"/>
      <c r="CZ284" s="55"/>
      <c r="DA284" s="55"/>
      <c r="DB284" s="55"/>
      <c r="DC284" s="55"/>
      <c r="DD284" s="55"/>
      <c r="DE284" s="55"/>
      <c r="DF284" s="55"/>
      <c r="DG284" s="55"/>
      <c r="DH284" s="55"/>
      <c r="DI284" s="55"/>
    </row>
    <row r="285" spans="1:113" x14ac:dyDescent="0.25">
      <c r="A285" s="380"/>
      <c r="B285" s="340"/>
      <c r="C285" s="341"/>
      <c r="D285" s="381"/>
      <c r="E285" s="344"/>
      <c r="F285" s="350"/>
      <c r="G285" s="356"/>
      <c r="H285" s="346"/>
      <c r="I285" s="345"/>
      <c r="J285" s="345"/>
      <c r="K285" s="347"/>
      <c r="L285"/>
      <c r="M285" s="348"/>
      <c r="N285" s="310" t="s">
        <v>1086</v>
      </c>
      <c r="O285" s="349" t="s">
        <v>1098</v>
      </c>
      <c r="P285" s="349" t="s">
        <v>1093</v>
      </c>
      <c r="Q285" s="349" t="s">
        <v>1050</v>
      </c>
      <c r="R285" s="349" t="s">
        <v>1057</v>
      </c>
      <c r="S285" s="346" t="s">
        <v>1096</v>
      </c>
      <c r="T285" s="346" t="s">
        <v>1088</v>
      </c>
      <c r="U285" s="346" t="s">
        <v>1036</v>
      </c>
      <c r="V285" s="346"/>
      <c r="W285" s="346"/>
      <c r="X285" s="346"/>
      <c r="Y285" s="346"/>
      <c r="Z285" s="346"/>
      <c r="AA285" s="346"/>
      <c r="AB285" s="346"/>
      <c r="AC285" s="346"/>
      <c r="AD285" s="346"/>
      <c r="AE285" s="346"/>
      <c r="AF285" s="346"/>
      <c r="AG285" s="346"/>
      <c r="AH285" s="346"/>
      <c r="AI285" s="346"/>
      <c r="AJ285" s="346"/>
      <c r="AK285" s="346"/>
      <c r="AL285" s="346"/>
      <c r="AM285" s="346"/>
      <c r="AN285" s="346"/>
      <c r="AO285" s="346"/>
      <c r="AP285" s="346"/>
      <c r="AQ285" s="346"/>
      <c r="AR285" s="346"/>
      <c r="AS285" s="346"/>
      <c r="AT285" s="346"/>
      <c r="AU285" s="346"/>
      <c r="AV285" s="346"/>
      <c r="AW285" s="346"/>
      <c r="AX285" s="346"/>
      <c r="AY285" s="346"/>
      <c r="AZ285" s="346"/>
      <c r="BA285" s="346"/>
      <c r="BB285" s="346"/>
      <c r="BC285" s="346"/>
      <c r="BD285" s="346"/>
      <c r="BE285" s="346"/>
      <c r="BF285" s="346"/>
      <c r="BG285" s="346"/>
      <c r="BH285" s="346"/>
      <c r="BI285" s="346"/>
      <c r="BJ285" s="346"/>
      <c r="BK285" s="346"/>
      <c r="BL285" s="346"/>
      <c r="BM285" s="346"/>
      <c r="BN285" s="346"/>
      <c r="BO285" s="346"/>
      <c r="BP285" s="346"/>
      <c r="BQ285" s="346"/>
      <c r="BR285" s="346"/>
      <c r="BS285" s="346"/>
      <c r="BT285" s="346"/>
      <c r="BU285" s="346"/>
      <c r="BV285" s="346"/>
      <c r="BW285" s="346"/>
      <c r="BX285" s="346"/>
      <c r="BY285" s="346"/>
      <c r="BZ285" s="346"/>
      <c r="CA285" s="346"/>
      <c r="CB285" s="346"/>
      <c r="CC285" s="346"/>
      <c r="CD285" s="346"/>
      <c r="CE285" s="346"/>
      <c r="CF285" s="346"/>
      <c r="CG285" s="346"/>
      <c r="CH285" s="346"/>
      <c r="CI285" s="346"/>
      <c r="CJ285" s="346"/>
      <c r="CK285" s="346"/>
      <c r="CL285" s="346"/>
      <c r="CM285" s="346"/>
      <c r="CN285" s="346"/>
      <c r="CO285" s="346"/>
      <c r="CP285" s="346"/>
      <c r="CQ285" s="346"/>
      <c r="CR285" s="346"/>
      <c r="CS285" s="346"/>
      <c r="CT285" s="346"/>
      <c r="CU285" s="346"/>
      <c r="CV285" s="346"/>
      <c r="CW285" s="346"/>
      <c r="CX285" s="346"/>
      <c r="CY285" s="346"/>
      <c r="CZ285" s="346"/>
      <c r="DA285" s="346"/>
      <c r="DB285" s="346"/>
      <c r="DC285" s="346"/>
      <c r="DD285" s="346"/>
      <c r="DE285" s="346"/>
      <c r="DF285" s="346"/>
      <c r="DG285" s="346"/>
      <c r="DH285" s="346"/>
      <c r="DI285" s="346"/>
    </row>
    <row r="286" spans="1:113" x14ac:dyDescent="0.25">
      <c r="A286" s="152">
        <v>15</v>
      </c>
      <c r="B286" s="79" t="s">
        <v>421</v>
      </c>
      <c r="C286" s="80">
        <v>13500</v>
      </c>
      <c r="D286" s="142">
        <v>1935.04</v>
      </c>
      <c r="E286" s="43">
        <v>100</v>
      </c>
      <c r="F286" s="60"/>
      <c r="G286" s="139">
        <f t="shared" si="53"/>
        <v>100</v>
      </c>
      <c r="H286" s="55"/>
      <c r="I286" s="56">
        <f t="shared" si="54"/>
        <v>100</v>
      </c>
      <c r="J286" s="56">
        <f t="shared" si="55"/>
        <v>1350000</v>
      </c>
      <c r="K286" s="57">
        <f t="shared" si="56"/>
        <v>193504</v>
      </c>
      <c r="L286"/>
      <c r="M286" s="314">
        <f t="shared" si="52"/>
        <v>689</v>
      </c>
      <c r="N286" s="310">
        <f>100+70+22+100</f>
        <v>292</v>
      </c>
      <c r="O286" s="315">
        <f>50+50+48</f>
        <v>148</v>
      </c>
      <c r="P286" s="315">
        <v>98</v>
      </c>
      <c r="Q286" s="315">
        <v>87</v>
      </c>
      <c r="R286" s="315">
        <v>25</v>
      </c>
      <c r="S286" s="55">
        <v>4</v>
      </c>
      <c r="T286" s="55">
        <v>22</v>
      </c>
      <c r="U286" s="55">
        <v>13</v>
      </c>
      <c r="V286" s="55"/>
      <c r="W286" s="55"/>
      <c r="X286" s="55"/>
      <c r="Y286" s="55"/>
      <c r="Z286" s="55"/>
      <c r="AA286" s="55"/>
      <c r="AB286" s="55"/>
      <c r="AC286" s="55"/>
      <c r="AD286" s="55"/>
      <c r="AE286" s="55"/>
      <c r="AF286" s="55"/>
      <c r="AG286" s="55"/>
      <c r="AH286" s="55"/>
      <c r="AI286" s="55"/>
      <c r="AJ286" s="55"/>
      <c r="AK286" s="55"/>
      <c r="AL286" s="55"/>
      <c r="AM286" s="55"/>
      <c r="AN286" s="55"/>
      <c r="AO286" s="55"/>
      <c r="AP286" s="55"/>
      <c r="AQ286" s="55"/>
      <c r="AR286" s="55"/>
      <c r="AS286" s="55"/>
      <c r="AT286" s="55"/>
      <c r="AU286" s="55"/>
      <c r="AV286" s="55"/>
      <c r="AW286" s="55"/>
      <c r="AX286" s="55"/>
      <c r="AY286" s="55"/>
      <c r="AZ286" s="55"/>
      <c r="BA286" s="55"/>
      <c r="BB286" s="55"/>
      <c r="BC286" s="55"/>
      <c r="BD286" s="55"/>
      <c r="BE286" s="55"/>
      <c r="BF286" s="55"/>
      <c r="BG286" s="55"/>
      <c r="BH286" s="55"/>
      <c r="BI286" s="55"/>
      <c r="BJ286" s="55"/>
      <c r="BK286" s="55"/>
      <c r="BL286" s="55"/>
      <c r="BM286" s="55"/>
      <c r="BN286" s="55"/>
      <c r="BO286" s="55"/>
      <c r="BP286" s="55"/>
      <c r="BQ286" s="55"/>
      <c r="BR286" s="55"/>
      <c r="BS286" s="55"/>
      <c r="BT286" s="55"/>
      <c r="BU286" s="55"/>
      <c r="BV286" s="55"/>
      <c r="BW286" s="55"/>
      <c r="BX286" s="55"/>
      <c r="BY286" s="55"/>
      <c r="BZ286" s="55"/>
      <c r="CA286" s="55"/>
      <c r="CB286" s="55"/>
      <c r="CC286" s="55"/>
      <c r="CD286" s="55"/>
      <c r="CE286" s="55"/>
      <c r="CF286" s="55"/>
      <c r="CG286" s="55"/>
      <c r="CH286" s="55"/>
      <c r="CI286" s="55"/>
      <c r="CJ286" s="55"/>
      <c r="CK286" s="55"/>
      <c r="CL286" s="55"/>
      <c r="CM286" s="55"/>
      <c r="CN286" s="55"/>
      <c r="CO286" s="55"/>
      <c r="CP286" s="55"/>
      <c r="CQ286" s="55"/>
      <c r="CR286" s="55"/>
      <c r="CS286" s="55"/>
      <c r="CT286" s="55"/>
      <c r="CU286" s="55"/>
      <c r="CV286" s="55"/>
      <c r="CW286" s="55"/>
      <c r="CX286" s="55"/>
      <c r="CY286" s="55"/>
      <c r="CZ286" s="55"/>
      <c r="DA286" s="55"/>
      <c r="DB286" s="55"/>
      <c r="DC286" s="55"/>
      <c r="DD286" s="55"/>
      <c r="DE286" s="55"/>
      <c r="DF286" s="55"/>
      <c r="DG286" s="55"/>
      <c r="DH286" s="55"/>
      <c r="DI286" s="55"/>
    </row>
    <row r="287" spans="1:113" x14ac:dyDescent="0.25">
      <c r="A287" s="380"/>
      <c r="B287" s="340"/>
      <c r="C287" s="341"/>
      <c r="D287" s="381"/>
      <c r="E287" s="344"/>
      <c r="F287" s="350"/>
      <c r="G287" s="356"/>
      <c r="H287" s="346"/>
      <c r="I287" s="345"/>
      <c r="J287" s="345"/>
      <c r="K287" s="347"/>
      <c r="L287"/>
      <c r="M287" s="348"/>
      <c r="N287" s="310" t="s">
        <v>1098</v>
      </c>
      <c r="O287" s="349" t="s">
        <v>1044</v>
      </c>
      <c r="P287" s="349" t="s">
        <v>1093</v>
      </c>
      <c r="Q287" s="349" t="s">
        <v>1107</v>
      </c>
      <c r="R287" s="349" t="s">
        <v>1088</v>
      </c>
      <c r="S287" s="346" t="s">
        <v>1095</v>
      </c>
      <c r="T287" s="346" t="s">
        <v>1092</v>
      </c>
      <c r="U287" s="346" t="s">
        <v>1057</v>
      </c>
      <c r="V287" s="346" t="s">
        <v>1036</v>
      </c>
      <c r="W287" s="346" t="s">
        <v>965</v>
      </c>
      <c r="X287" s="346" t="s">
        <v>1096</v>
      </c>
      <c r="Y287" s="346" t="s">
        <v>1087</v>
      </c>
      <c r="Z287" s="346" t="s">
        <v>1090</v>
      </c>
      <c r="AA287" s="346"/>
      <c r="AB287" s="346"/>
      <c r="AC287" s="346"/>
      <c r="AD287" s="346"/>
      <c r="AE287" s="346"/>
      <c r="AF287" s="346"/>
      <c r="AG287" s="346"/>
      <c r="AH287" s="346"/>
      <c r="AI287" s="346"/>
      <c r="AJ287" s="346"/>
      <c r="AK287" s="346"/>
      <c r="AL287" s="346"/>
      <c r="AM287" s="346"/>
      <c r="AN287" s="346"/>
      <c r="AO287" s="346"/>
      <c r="AP287" s="346"/>
      <c r="AQ287" s="346"/>
      <c r="AR287" s="346"/>
      <c r="AS287" s="346"/>
      <c r="AT287" s="346"/>
      <c r="AU287" s="346"/>
      <c r="AV287" s="346"/>
      <c r="AW287" s="346"/>
      <c r="AX287" s="346"/>
      <c r="AY287" s="346"/>
      <c r="AZ287" s="346"/>
      <c r="BA287" s="346"/>
      <c r="BB287" s="346"/>
      <c r="BC287" s="346"/>
      <c r="BD287" s="346"/>
      <c r="BE287" s="346"/>
      <c r="BF287" s="346"/>
      <c r="BG287" s="346"/>
      <c r="BH287" s="346"/>
      <c r="BI287" s="346"/>
      <c r="BJ287" s="346"/>
      <c r="BK287" s="346"/>
      <c r="BL287" s="346"/>
      <c r="BM287" s="346"/>
      <c r="BN287" s="346"/>
      <c r="BO287" s="346"/>
      <c r="BP287" s="346"/>
      <c r="BQ287" s="346"/>
      <c r="BR287" s="346"/>
      <c r="BS287" s="346"/>
      <c r="BT287" s="346"/>
      <c r="BU287" s="346"/>
      <c r="BV287" s="346"/>
      <c r="BW287" s="346"/>
      <c r="BX287" s="346"/>
      <c r="BY287" s="346"/>
      <c r="BZ287" s="346"/>
      <c r="CA287" s="346"/>
      <c r="CB287" s="346"/>
      <c r="CC287" s="346"/>
      <c r="CD287" s="346"/>
      <c r="CE287" s="346"/>
      <c r="CF287" s="346"/>
      <c r="CG287" s="346"/>
      <c r="CH287" s="346"/>
      <c r="CI287" s="346"/>
      <c r="CJ287" s="346"/>
      <c r="CK287" s="346"/>
      <c r="CL287" s="346"/>
      <c r="CM287" s="346"/>
      <c r="CN287" s="346"/>
      <c r="CO287" s="346"/>
      <c r="CP287" s="346"/>
      <c r="CQ287" s="346"/>
      <c r="CR287" s="346"/>
      <c r="CS287" s="346"/>
      <c r="CT287" s="346"/>
      <c r="CU287" s="346"/>
      <c r="CV287" s="346"/>
      <c r="CW287" s="346"/>
      <c r="CX287" s="346"/>
      <c r="CY287" s="346"/>
      <c r="CZ287" s="346"/>
      <c r="DA287" s="346"/>
      <c r="DB287" s="346"/>
      <c r="DC287" s="346"/>
      <c r="DD287" s="346"/>
      <c r="DE287" s="346"/>
      <c r="DF287" s="346"/>
      <c r="DG287" s="346"/>
      <c r="DH287" s="346"/>
      <c r="DI287" s="346"/>
    </row>
    <row r="288" spans="1:113" x14ac:dyDescent="0.25">
      <c r="A288" s="152">
        <v>16</v>
      </c>
      <c r="B288" s="79" t="s">
        <v>422</v>
      </c>
      <c r="C288" s="80">
        <v>24000</v>
      </c>
      <c r="D288" s="142">
        <v>3985.2</v>
      </c>
      <c r="E288" s="43">
        <v>110</v>
      </c>
      <c r="F288" s="60"/>
      <c r="G288" s="139">
        <f t="shared" si="53"/>
        <v>110</v>
      </c>
      <c r="H288" s="55"/>
      <c r="I288" s="56">
        <f t="shared" si="54"/>
        <v>110</v>
      </c>
      <c r="J288" s="56">
        <f t="shared" si="55"/>
        <v>2640000</v>
      </c>
      <c r="K288" s="57">
        <f t="shared" si="56"/>
        <v>438372</v>
      </c>
      <c r="L288"/>
      <c r="M288" s="314">
        <f t="shared" si="52"/>
        <v>565</v>
      </c>
      <c r="N288" s="310">
        <f>41+40+30+50</f>
        <v>161</v>
      </c>
      <c r="O288" s="315">
        <f>50*3</f>
        <v>150</v>
      </c>
      <c r="P288" s="315">
        <f>60+38</f>
        <v>98</v>
      </c>
      <c r="Q288" s="315">
        <v>7</v>
      </c>
      <c r="R288" s="315">
        <v>21</v>
      </c>
      <c r="S288" s="55">
        <v>25</v>
      </c>
      <c r="T288" s="55">
        <v>19</v>
      </c>
      <c r="U288" s="55">
        <v>25</v>
      </c>
      <c r="V288" s="55">
        <v>23</v>
      </c>
      <c r="W288" s="55">
        <v>10</v>
      </c>
      <c r="X288" s="55">
        <v>15</v>
      </c>
      <c r="Y288" s="55">
        <v>1</v>
      </c>
      <c r="Z288" s="55">
        <v>10</v>
      </c>
      <c r="AA288" s="55"/>
      <c r="AB288" s="55"/>
      <c r="AC288" s="55"/>
      <c r="AD288" s="55"/>
      <c r="AE288" s="55"/>
      <c r="AF288" s="55"/>
      <c r="AG288" s="55"/>
      <c r="AH288" s="55"/>
      <c r="AI288" s="55"/>
      <c r="AJ288" s="55"/>
      <c r="AK288" s="55"/>
      <c r="AL288" s="55"/>
      <c r="AM288" s="55"/>
      <c r="AN288" s="55"/>
      <c r="AO288" s="55"/>
      <c r="AP288" s="55"/>
      <c r="AQ288" s="55"/>
      <c r="AR288" s="55"/>
      <c r="AS288" s="55"/>
      <c r="AT288" s="55"/>
      <c r="AU288" s="55"/>
      <c r="AV288" s="55"/>
      <c r="AW288" s="55"/>
      <c r="AX288" s="55"/>
      <c r="AY288" s="55"/>
      <c r="AZ288" s="55"/>
      <c r="BA288" s="55"/>
      <c r="BB288" s="55"/>
      <c r="BC288" s="55"/>
      <c r="BD288" s="55"/>
      <c r="BE288" s="55"/>
      <c r="BF288" s="55"/>
      <c r="BG288" s="55"/>
      <c r="BH288" s="55"/>
      <c r="BI288" s="55"/>
      <c r="BJ288" s="55"/>
      <c r="BK288" s="55"/>
      <c r="BL288" s="55"/>
      <c r="BM288" s="55"/>
      <c r="BN288" s="55"/>
      <c r="BO288" s="55"/>
      <c r="BP288" s="55"/>
      <c r="BQ288" s="55"/>
      <c r="BR288" s="55"/>
      <c r="BS288" s="55"/>
      <c r="BT288" s="55"/>
      <c r="BU288" s="55"/>
      <c r="BV288" s="55"/>
      <c r="BW288" s="55"/>
      <c r="BX288" s="55"/>
      <c r="BY288" s="55"/>
      <c r="BZ288" s="55"/>
      <c r="CA288" s="55"/>
      <c r="CB288" s="55"/>
      <c r="CC288" s="55"/>
      <c r="CD288" s="55"/>
      <c r="CE288" s="55"/>
      <c r="CF288" s="55"/>
      <c r="CG288" s="55"/>
      <c r="CH288" s="55"/>
      <c r="CI288" s="55"/>
      <c r="CJ288" s="55"/>
      <c r="CK288" s="55"/>
      <c r="CL288" s="55"/>
      <c r="CM288" s="55"/>
      <c r="CN288" s="55"/>
      <c r="CO288" s="55"/>
      <c r="CP288" s="55"/>
      <c r="CQ288" s="55"/>
      <c r="CR288" s="55"/>
      <c r="CS288" s="55"/>
      <c r="CT288" s="55"/>
      <c r="CU288" s="55"/>
      <c r="CV288" s="55"/>
      <c r="CW288" s="55"/>
      <c r="CX288" s="55"/>
      <c r="CY288" s="55"/>
      <c r="CZ288" s="55"/>
      <c r="DA288" s="55"/>
      <c r="DB288" s="55"/>
      <c r="DC288" s="55"/>
      <c r="DD288" s="55"/>
      <c r="DE288" s="55"/>
      <c r="DF288" s="55"/>
      <c r="DG288" s="55"/>
      <c r="DH288" s="55"/>
      <c r="DI288" s="55"/>
    </row>
    <row r="289" spans="1:113" x14ac:dyDescent="0.25">
      <c r="A289" s="380"/>
      <c r="B289" s="340"/>
      <c r="C289" s="341"/>
      <c r="D289" s="381"/>
      <c r="E289" s="344"/>
      <c r="F289" s="350"/>
      <c r="G289" s="356"/>
      <c r="H289" s="346"/>
      <c r="I289" s="345"/>
      <c r="J289" s="345"/>
      <c r="K289" s="347"/>
      <c r="L289"/>
      <c r="M289" s="348"/>
      <c r="N289" s="310" t="s">
        <v>1100</v>
      </c>
      <c r="O289" s="310" t="s">
        <v>1100</v>
      </c>
      <c r="P289" s="310" t="s">
        <v>1100</v>
      </c>
      <c r="Q289" s="349"/>
      <c r="R289" s="349"/>
      <c r="S289" s="346"/>
      <c r="T289" s="346"/>
      <c r="U289" s="346"/>
      <c r="V289" s="346"/>
      <c r="W289" s="346"/>
      <c r="X289" s="346"/>
      <c r="Y289" s="346"/>
      <c r="Z289" s="346"/>
      <c r="AA289" s="346"/>
      <c r="AB289" s="346"/>
      <c r="AC289" s="346"/>
      <c r="AD289" s="346"/>
      <c r="AE289" s="346"/>
      <c r="AF289" s="346"/>
      <c r="AG289" s="346"/>
      <c r="AH289" s="346"/>
      <c r="AI289" s="346"/>
      <c r="AJ289" s="346"/>
      <c r="AK289" s="346"/>
      <c r="AL289" s="346"/>
      <c r="AM289" s="346"/>
      <c r="AN289" s="346"/>
      <c r="AO289" s="346"/>
      <c r="AP289" s="346"/>
      <c r="AQ289" s="346"/>
      <c r="AR289" s="346"/>
      <c r="AS289" s="346"/>
      <c r="AT289" s="346"/>
      <c r="AU289" s="346"/>
      <c r="AV289" s="346"/>
      <c r="AW289" s="346"/>
      <c r="AX289" s="346"/>
      <c r="AY289" s="346"/>
      <c r="AZ289" s="346"/>
      <c r="BA289" s="346"/>
      <c r="BB289" s="346"/>
      <c r="BC289" s="346"/>
      <c r="BD289" s="346"/>
      <c r="BE289" s="346"/>
      <c r="BF289" s="346"/>
      <c r="BG289" s="346"/>
      <c r="BH289" s="346"/>
      <c r="BI289" s="346"/>
      <c r="BJ289" s="346"/>
      <c r="BK289" s="346"/>
      <c r="BL289" s="346"/>
      <c r="BM289" s="346"/>
      <c r="BN289" s="346"/>
      <c r="BO289" s="346"/>
      <c r="BP289" s="346"/>
      <c r="BQ289" s="346"/>
      <c r="BR289" s="346"/>
      <c r="BS289" s="346"/>
      <c r="BT289" s="346"/>
      <c r="BU289" s="346"/>
      <c r="BV289" s="346"/>
      <c r="BW289" s="346"/>
      <c r="BX289" s="346"/>
      <c r="BY289" s="346"/>
      <c r="BZ289" s="346"/>
      <c r="CA289" s="346"/>
      <c r="CB289" s="346"/>
      <c r="CC289" s="346"/>
      <c r="CD289" s="346"/>
      <c r="CE289" s="346"/>
      <c r="CF289" s="346"/>
      <c r="CG289" s="346"/>
      <c r="CH289" s="346"/>
      <c r="CI289" s="346"/>
      <c r="CJ289" s="346"/>
      <c r="CK289" s="346"/>
      <c r="CL289" s="346"/>
      <c r="CM289" s="346"/>
      <c r="CN289" s="346"/>
      <c r="CO289" s="346"/>
      <c r="CP289" s="346"/>
      <c r="CQ289" s="346"/>
      <c r="CR289" s="346"/>
      <c r="CS289" s="346"/>
      <c r="CT289" s="346"/>
      <c r="CU289" s="346"/>
      <c r="CV289" s="346"/>
      <c r="CW289" s="346"/>
      <c r="CX289" s="346"/>
      <c r="CY289" s="346"/>
      <c r="CZ289" s="346"/>
      <c r="DA289" s="346"/>
      <c r="DB289" s="346"/>
      <c r="DC289" s="346"/>
      <c r="DD289" s="346"/>
      <c r="DE289" s="346"/>
      <c r="DF289" s="346"/>
      <c r="DG289" s="346"/>
      <c r="DH289" s="346"/>
      <c r="DI289" s="346"/>
    </row>
    <row r="290" spans="1:113" x14ac:dyDescent="0.25">
      <c r="A290" s="152">
        <v>17</v>
      </c>
      <c r="B290" s="79" t="s">
        <v>423</v>
      </c>
      <c r="C290" s="80">
        <v>5000</v>
      </c>
      <c r="D290" s="142">
        <v>1786.46</v>
      </c>
      <c r="E290" s="43">
        <v>342</v>
      </c>
      <c r="F290" s="60"/>
      <c r="G290" s="139">
        <f t="shared" si="53"/>
        <v>342</v>
      </c>
      <c r="H290" s="55"/>
      <c r="I290" s="56">
        <f t="shared" si="54"/>
        <v>342</v>
      </c>
      <c r="J290" s="56">
        <f t="shared" si="55"/>
        <v>1710000</v>
      </c>
      <c r="K290" s="57">
        <f t="shared" si="56"/>
        <v>610969.32000000007</v>
      </c>
      <c r="L290"/>
      <c r="M290" s="314">
        <f t="shared" si="52"/>
        <v>224</v>
      </c>
      <c r="N290" s="310">
        <f>100</f>
        <v>100</v>
      </c>
      <c r="O290" s="315">
        <v>100</v>
      </c>
      <c r="P290" s="315">
        <v>24</v>
      </c>
      <c r="Q290" s="315"/>
      <c r="R290" s="315"/>
      <c r="S290" s="55"/>
      <c r="T290" s="55"/>
      <c r="U290" s="55"/>
      <c r="V290" s="55"/>
      <c r="W290" s="55"/>
      <c r="X290" s="55"/>
      <c r="Y290" s="55"/>
      <c r="Z290" s="55"/>
      <c r="AA290" s="55"/>
      <c r="AB290" s="55"/>
      <c r="AC290" s="55"/>
      <c r="AD290" s="55"/>
      <c r="AE290" s="55"/>
      <c r="AF290" s="55"/>
      <c r="AG290" s="55"/>
      <c r="AH290" s="55"/>
      <c r="AI290" s="55"/>
      <c r="AJ290" s="55"/>
      <c r="AK290" s="55"/>
      <c r="AL290" s="55"/>
      <c r="AM290" s="55"/>
      <c r="AN290" s="55"/>
      <c r="AO290" s="55"/>
      <c r="AP290" s="55"/>
      <c r="AQ290" s="55"/>
      <c r="AR290" s="55"/>
      <c r="AS290" s="55"/>
      <c r="AT290" s="55"/>
      <c r="AU290" s="55"/>
      <c r="AV290" s="55"/>
      <c r="AW290" s="55"/>
      <c r="AX290" s="55"/>
      <c r="AY290" s="55"/>
      <c r="AZ290" s="55"/>
      <c r="BA290" s="55"/>
      <c r="BB290" s="55"/>
      <c r="BC290" s="55"/>
      <c r="BD290" s="55"/>
      <c r="BE290" s="55"/>
      <c r="BF290" s="55"/>
      <c r="BG290" s="55"/>
      <c r="BH290" s="55"/>
      <c r="BI290" s="55"/>
      <c r="BJ290" s="55"/>
      <c r="BK290" s="55"/>
      <c r="BL290" s="55"/>
      <c r="BM290" s="55"/>
      <c r="BN290" s="55"/>
      <c r="BO290" s="55"/>
      <c r="BP290" s="55"/>
      <c r="BQ290" s="55"/>
      <c r="BR290" s="55"/>
      <c r="BS290" s="55"/>
      <c r="BT290" s="55"/>
      <c r="BU290" s="55"/>
      <c r="BV290" s="55"/>
      <c r="BW290" s="55"/>
      <c r="BX290" s="55"/>
      <c r="BY290" s="55"/>
      <c r="BZ290" s="55"/>
      <c r="CA290" s="55"/>
      <c r="CB290" s="55"/>
      <c r="CC290" s="55"/>
      <c r="CD290" s="55"/>
      <c r="CE290" s="55"/>
      <c r="CF290" s="55"/>
      <c r="CG290" s="55"/>
      <c r="CH290" s="55"/>
      <c r="CI290" s="55"/>
      <c r="CJ290" s="55"/>
      <c r="CK290" s="55"/>
      <c r="CL290" s="55"/>
      <c r="CM290" s="55"/>
      <c r="CN290" s="55"/>
      <c r="CO290" s="55"/>
      <c r="CP290" s="55"/>
      <c r="CQ290" s="55"/>
      <c r="CR290" s="55"/>
      <c r="CS290" s="55"/>
      <c r="CT290" s="55"/>
      <c r="CU290" s="55"/>
      <c r="CV290" s="55"/>
      <c r="CW290" s="55"/>
      <c r="CX290" s="55"/>
      <c r="CY290" s="55"/>
      <c r="CZ290" s="55"/>
      <c r="DA290" s="55"/>
      <c r="DB290" s="55"/>
      <c r="DC290" s="55"/>
      <c r="DD290" s="55"/>
      <c r="DE290" s="55"/>
      <c r="DF290" s="55"/>
      <c r="DG290" s="55"/>
      <c r="DH290" s="55"/>
      <c r="DI290" s="55"/>
    </row>
    <row r="291" spans="1:113" x14ac:dyDescent="0.25">
      <c r="A291" s="380"/>
      <c r="B291" s="340"/>
      <c r="C291" s="341"/>
      <c r="D291" s="381"/>
      <c r="E291" s="344"/>
      <c r="F291" s="350"/>
      <c r="G291" s="356"/>
      <c r="H291" s="346"/>
      <c r="I291" s="345"/>
      <c r="J291" s="345"/>
      <c r="K291" s="347"/>
      <c r="L291"/>
      <c r="M291" s="348"/>
      <c r="N291" s="310" t="s">
        <v>1086</v>
      </c>
      <c r="O291" s="349" t="s">
        <v>1087</v>
      </c>
      <c r="P291" s="349" t="s">
        <v>1057</v>
      </c>
      <c r="Q291" s="349" t="s">
        <v>1036</v>
      </c>
      <c r="R291" s="349" t="s">
        <v>1088</v>
      </c>
      <c r="S291" s="346" t="s">
        <v>1089</v>
      </c>
      <c r="T291" s="346" t="s">
        <v>1090</v>
      </c>
      <c r="U291" s="346" t="s">
        <v>965</v>
      </c>
      <c r="V291" s="346" t="s">
        <v>1091</v>
      </c>
      <c r="W291" s="346" t="s">
        <v>1092</v>
      </c>
      <c r="X291" s="346"/>
      <c r="Y291" s="346"/>
      <c r="Z291" s="346"/>
      <c r="AA291" s="346"/>
      <c r="AB291" s="346"/>
      <c r="AC291" s="346"/>
      <c r="AD291" s="346"/>
      <c r="AE291" s="346"/>
      <c r="AF291" s="346"/>
      <c r="AG291" s="346"/>
      <c r="AH291" s="346"/>
      <c r="AI291" s="346"/>
      <c r="AJ291" s="346"/>
      <c r="AK291" s="346"/>
      <c r="AL291" s="346"/>
      <c r="AM291" s="346"/>
      <c r="AN291" s="346"/>
      <c r="AO291" s="346"/>
      <c r="AP291" s="346"/>
      <c r="AQ291" s="346"/>
      <c r="AR291" s="346"/>
      <c r="AS291" s="346"/>
      <c r="AT291" s="346"/>
      <c r="AU291" s="346"/>
      <c r="AV291" s="346"/>
      <c r="AW291" s="346"/>
      <c r="AX291" s="346"/>
      <c r="AY291" s="346"/>
      <c r="AZ291" s="346"/>
      <c r="BA291" s="346"/>
      <c r="BB291" s="346"/>
      <c r="BC291" s="346"/>
      <c r="BD291" s="346"/>
      <c r="BE291" s="346"/>
      <c r="BF291" s="346"/>
      <c r="BG291" s="346"/>
      <c r="BH291" s="346"/>
      <c r="BI291" s="346"/>
      <c r="BJ291" s="346"/>
      <c r="BK291" s="346"/>
      <c r="BL291" s="346"/>
      <c r="BM291" s="346"/>
      <c r="BN291" s="346"/>
      <c r="BO291" s="346"/>
      <c r="BP291" s="346"/>
      <c r="BQ291" s="346"/>
      <c r="BR291" s="346"/>
      <c r="BS291" s="346"/>
      <c r="BT291" s="346"/>
      <c r="BU291" s="346"/>
      <c r="BV291" s="346"/>
      <c r="BW291" s="346"/>
      <c r="BX291" s="346"/>
      <c r="BY291" s="346"/>
      <c r="BZ291" s="346"/>
      <c r="CA291" s="346"/>
      <c r="CB291" s="346"/>
      <c r="CC291" s="346"/>
      <c r="CD291" s="346"/>
      <c r="CE291" s="346"/>
      <c r="CF291" s="346"/>
      <c r="CG291" s="346"/>
      <c r="CH291" s="346"/>
      <c r="CI291" s="346"/>
      <c r="CJ291" s="346"/>
      <c r="CK291" s="346"/>
      <c r="CL291" s="346"/>
      <c r="CM291" s="346"/>
      <c r="CN291" s="346"/>
      <c r="CO291" s="346"/>
      <c r="CP291" s="346"/>
      <c r="CQ291" s="346"/>
      <c r="CR291" s="346"/>
      <c r="CS291" s="346"/>
      <c r="CT291" s="346"/>
      <c r="CU291" s="346"/>
      <c r="CV291" s="346"/>
      <c r="CW291" s="346"/>
      <c r="CX291" s="346"/>
      <c r="CY291" s="346"/>
      <c r="CZ291" s="346"/>
      <c r="DA291" s="346"/>
      <c r="DB291" s="346"/>
      <c r="DC291" s="346"/>
      <c r="DD291" s="346"/>
      <c r="DE291" s="346"/>
      <c r="DF291" s="346"/>
      <c r="DG291" s="346"/>
      <c r="DH291" s="346"/>
      <c r="DI291" s="346"/>
    </row>
    <row r="292" spans="1:113" x14ac:dyDescent="0.25">
      <c r="A292" s="152">
        <v>18</v>
      </c>
      <c r="B292" s="79" t="s">
        <v>424</v>
      </c>
      <c r="C292" s="80">
        <v>7000</v>
      </c>
      <c r="D292" s="142">
        <v>1980.78</v>
      </c>
      <c r="E292" s="43">
        <v>45</v>
      </c>
      <c r="F292" s="60"/>
      <c r="G292" s="139">
        <f t="shared" si="53"/>
        <v>45</v>
      </c>
      <c r="H292" s="55"/>
      <c r="I292" s="56">
        <f t="shared" si="54"/>
        <v>45</v>
      </c>
      <c r="J292" s="56">
        <f t="shared" si="55"/>
        <v>315000</v>
      </c>
      <c r="K292" s="57">
        <f t="shared" si="56"/>
        <v>89135.1</v>
      </c>
      <c r="L292"/>
      <c r="M292" s="314">
        <f t="shared" si="52"/>
        <v>735</v>
      </c>
      <c r="N292" s="310">
        <f>100+100+100+100+37</f>
        <v>437</v>
      </c>
      <c r="O292" s="315">
        <f>100+50</f>
        <v>150</v>
      </c>
      <c r="P292" s="315">
        <v>25</v>
      </c>
      <c r="Q292" s="315">
        <v>24</v>
      </c>
      <c r="R292" s="315">
        <v>21</v>
      </c>
      <c r="S292" s="55">
        <v>13</v>
      </c>
      <c r="T292" s="55">
        <v>10</v>
      </c>
      <c r="U292" s="55">
        <v>8</v>
      </c>
      <c r="V292" s="55">
        <v>25</v>
      </c>
      <c r="W292" s="55">
        <v>22</v>
      </c>
      <c r="X292" s="55"/>
      <c r="Y292" s="55"/>
      <c r="Z292" s="55"/>
      <c r="AA292" s="55"/>
      <c r="AB292" s="55"/>
      <c r="AC292" s="55"/>
      <c r="AD292" s="55"/>
      <c r="AE292" s="55"/>
      <c r="AF292" s="55"/>
      <c r="AG292" s="55"/>
      <c r="AH292" s="55"/>
      <c r="AI292" s="55"/>
      <c r="AJ292" s="55"/>
      <c r="AK292" s="55"/>
      <c r="AL292" s="55"/>
      <c r="AM292" s="55"/>
      <c r="AN292" s="55"/>
      <c r="AO292" s="55"/>
      <c r="AP292" s="55"/>
      <c r="AQ292" s="55"/>
      <c r="AR292" s="55"/>
      <c r="AS292" s="55"/>
      <c r="AT292" s="55"/>
      <c r="AU292" s="55"/>
      <c r="AV292" s="55"/>
      <c r="AW292" s="55"/>
      <c r="AX292" s="55"/>
      <c r="AY292" s="55"/>
      <c r="AZ292" s="55"/>
      <c r="BA292" s="55"/>
      <c r="BB292" s="55"/>
      <c r="BC292" s="55"/>
      <c r="BD292" s="55"/>
      <c r="BE292" s="55"/>
      <c r="BF292" s="55"/>
      <c r="BG292" s="55"/>
      <c r="BH292" s="55"/>
      <c r="BI292" s="55"/>
      <c r="BJ292" s="55"/>
      <c r="BK292" s="55"/>
      <c r="BL292" s="55"/>
      <c r="BM292" s="55"/>
      <c r="BN292" s="55"/>
      <c r="BO292" s="55"/>
      <c r="BP292" s="55"/>
      <c r="BQ292" s="55"/>
      <c r="BR292" s="55"/>
      <c r="BS292" s="55"/>
      <c r="BT292" s="55"/>
      <c r="BU292" s="55"/>
      <c r="BV292" s="55"/>
      <c r="BW292" s="55"/>
      <c r="BX292" s="55"/>
      <c r="BY292" s="55"/>
      <c r="BZ292" s="55"/>
      <c r="CA292" s="55"/>
      <c r="CB292" s="55"/>
      <c r="CC292" s="55"/>
      <c r="CD292" s="55"/>
      <c r="CE292" s="55"/>
      <c r="CF292" s="55"/>
      <c r="CG292" s="55"/>
      <c r="CH292" s="55"/>
      <c r="CI292" s="55"/>
      <c r="CJ292" s="55"/>
      <c r="CK292" s="55"/>
      <c r="CL292" s="55"/>
      <c r="CM292" s="55"/>
      <c r="CN292" s="55"/>
      <c r="CO292" s="55"/>
      <c r="CP292" s="55"/>
      <c r="CQ292" s="55"/>
      <c r="CR292" s="55"/>
      <c r="CS292" s="55"/>
      <c r="CT292" s="55"/>
      <c r="CU292" s="55"/>
      <c r="CV292" s="55"/>
      <c r="CW292" s="55"/>
      <c r="CX292" s="55"/>
      <c r="CY292" s="55"/>
      <c r="CZ292" s="55"/>
      <c r="DA292" s="55"/>
      <c r="DB292" s="55"/>
      <c r="DC292" s="55"/>
      <c r="DD292" s="55"/>
      <c r="DE292" s="55"/>
      <c r="DF292" s="55"/>
      <c r="DG292" s="55"/>
      <c r="DH292" s="55"/>
      <c r="DI292" s="55"/>
    </row>
    <row r="293" spans="1:113" x14ac:dyDescent="0.25">
      <c r="A293" s="152">
        <v>19</v>
      </c>
      <c r="B293" s="79" t="s">
        <v>425</v>
      </c>
      <c r="C293" s="80">
        <v>5000</v>
      </c>
      <c r="D293" s="142">
        <v>1848.18</v>
      </c>
      <c r="E293" s="43">
        <v>880</v>
      </c>
      <c r="F293" s="60"/>
      <c r="G293" s="139">
        <f t="shared" si="53"/>
        <v>880</v>
      </c>
      <c r="H293" s="55"/>
      <c r="I293" s="56">
        <f t="shared" si="54"/>
        <v>880</v>
      </c>
      <c r="J293" s="56">
        <f t="shared" si="55"/>
        <v>4400000</v>
      </c>
      <c r="K293" s="57">
        <f t="shared" si="56"/>
        <v>1626398.4000000001</v>
      </c>
      <c r="L293"/>
      <c r="M293" s="314">
        <f t="shared" si="52"/>
        <v>0</v>
      </c>
      <c r="N293" s="310"/>
      <c r="O293" s="315"/>
      <c r="P293" s="315"/>
      <c r="Q293" s="315"/>
      <c r="R293" s="315"/>
      <c r="S293" s="55"/>
      <c r="T293" s="55"/>
      <c r="U293" s="55"/>
      <c r="V293" s="55"/>
      <c r="W293" s="55"/>
      <c r="X293" s="55"/>
      <c r="Y293" s="55"/>
      <c r="Z293" s="55"/>
      <c r="AA293" s="55"/>
      <c r="AB293" s="55"/>
      <c r="AC293" s="55"/>
      <c r="AD293" s="55"/>
      <c r="AE293" s="55"/>
      <c r="AF293" s="55"/>
      <c r="AG293" s="55"/>
      <c r="AH293" s="55"/>
      <c r="AI293" s="55"/>
      <c r="AJ293" s="55"/>
      <c r="AK293" s="55"/>
      <c r="AL293" s="55"/>
      <c r="AM293" s="55"/>
      <c r="AN293" s="55"/>
      <c r="AO293" s="55"/>
      <c r="AP293" s="55"/>
      <c r="AQ293" s="55"/>
      <c r="AR293" s="55"/>
      <c r="AS293" s="55"/>
      <c r="AT293" s="55"/>
      <c r="AU293" s="55"/>
      <c r="AV293" s="55"/>
      <c r="AW293" s="55"/>
      <c r="AX293" s="55"/>
      <c r="AY293" s="55"/>
      <c r="AZ293" s="55"/>
      <c r="BA293" s="55"/>
      <c r="BB293" s="55"/>
      <c r="BC293" s="55"/>
      <c r="BD293" s="55"/>
      <c r="BE293" s="55"/>
      <c r="BF293" s="55"/>
      <c r="BG293" s="55"/>
      <c r="BH293" s="55"/>
      <c r="BI293" s="55"/>
      <c r="BJ293" s="55"/>
      <c r="BK293" s="55"/>
      <c r="BL293" s="55"/>
      <c r="BM293" s="55"/>
      <c r="BN293" s="55"/>
      <c r="BO293" s="55"/>
      <c r="BP293" s="55"/>
      <c r="BQ293" s="55"/>
      <c r="BR293" s="55"/>
      <c r="BS293" s="55"/>
      <c r="BT293" s="55"/>
      <c r="BU293" s="55"/>
      <c r="BV293" s="55"/>
      <c r="BW293" s="55"/>
      <c r="BX293" s="55"/>
      <c r="BY293" s="55"/>
      <c r="BZ293" s="55"/>
      <c r="CA293" s="55"/>
      <c r="CB293" s="55"/>
      <c r="CC293" s="55"/>
      <c r="CD293" s="55"/>
      <c r="CE293" s="55"/>
      <c r="CF293" s="55"/>
      <c r="CG293" s="55"/>
      <c r="CH293" s="55"/>
      <c r="CI293" s="55"/>
      <c r="CJ293" s="55"/>
      <c r="CK293" s="55"/>
      <c r="CL293" s="55"/>
      <c r="CM293" s="55"/>
      <c r="CN293" s="55"/>
      <c r="CO293" s="55"/>
      <c r="CP293" s="55"/>
      <c r="CQ293" s="55"/>
      <c r="CR293" s="55"/>
      <c r="CS293" s="55"/>
      <c r="CT293" s="55"/>
      <c r="CU293" s="55"/>
      <c r="CV293" s="55"/>
      <c r="CW293" s="55"/>
      <c r="CX293" s="55"/>
      <c r="CY293" s="55"/>
      <c r="CZ293" s="55"/>
      <c r="DA293" s="55"/>
      <c r="DB293" s="55"/>
      <c r="DC293" s="55"/>
      <c r="DD293" s="55"/>
      <c r="DE293" s="55"/>
      <c r="DF293" s="55"/>
      <c r="DG293" s="55"/>
      <c r="DH293" s="55"/>
      <c r="DI293" s="55"/>
    </row>
    <row r="294" spans="1:113" x14ac:dyDescent="0.25">
      <c r="A294" s="152">
        <v>20</v>
      </c>
      <c r="B294" s="79" t="s">
        <v>426</v>
      </c>
      <c r="C294" s="80">
        <v>5000</v>
      </c>
      <c r="D294" s="142">
        <v>1881.84</v>
      </c>
      <c r="E294" s="43">
        <v>400</v>
      </c>
      <c r="F294" s="60"/>
      <c r="G294" s="139">
        <f t="shared" si="53"/>
        <v>400</v>
      </c>
      <c r="H294" s="55"/>
      <c r="I294" s="56">
        <f t="shared" si="54"/>
        <v>400</v>
      </c>
      <c r="J294" s="56">
        <f t="shared" si="55"/>
        <v>2000000</v>
      </c>
      <c r="K294" s="57">
        <f t="shared" si="56"/>
        <v>752736</v>
      </c>
      <c r="L294"/>
      <c r="M294" s="314">
        <f t="shared" si="52"/>
        <v>0</v>
      </c>
      <c r="N294" s="310"/>
      <c r="O294" s="315"/>
      <c r="P294" s="315"/>
      <c r="Q294" s="315"/>
      <c r="R294" s="315"/>
      <c r="S294" s="55"/>
      <c r="T294" s="55"/>
      <c r="U294" s="55"/>
      <c r="V294" s="55"/>
      <c r="W294" s="55"/>
      <c r="X294" s="55"/>
      <c r="Y294" s="55"/>
      <c r="Z294" s="55"/>
      <c r="AA294" s="55"/>
      <c r="AB294" s="55"/>
      <c r="AC294" s="55"/>
      <c r="AD294" s="55"/>
      <c r="AE294" s="55"/>
      <c r="AF294" s="55"/>
      <c r="AG294" s="55"/>
      <c r="AH294" s="55"/>
      <c r="AI294" s="55"/>
      <c r="AJ294" s="55"/>
      <c r="AK294" s="55"/>
      <c r="AL294" s="55"/>
      <c r="AM294" s="55"/>
      <c r="AN294" s="55"/>
      <c r="AO294" s="55"/>
      <c r="AP294" s="55"/>
      <c r="AQ294" s="55"/>
      <c r="AR294" s="55"/>
      <c r="AS294" s="55"/>
      <c r="AT294" s="55"/>
      <c r="AU294" s="55"/>
      <c r="AV294" s="55"/>
      <c r="AW294" s="55"/>
      <c r="AX294" s="55"/>
      <c r="AY294" s="55"/>
      <c r="AZ294" s="55"/>
      <c r="BA294" s="55"/>
      <c r="BB294" s="55"/>
      <c r="BC294" s="55"/>
      <c r="BD294" s="55"/>
      <c r="BE294" s="55"/>
      <c r="BF294" s="55"/>
      <c r="BG294" s="55"/>
      <c r="BH294" s="55"/>
      <c r="BI294" s="55"/>
      <c r="BJ294" s="55"/>
      <c r="BK294" s="55"/>
      <c r="BL294" s="55"/>
      <c r="BM294" s="55"/>
      <c r="BN294" s="55"/>
      <c r="BO294" s="55"/>
      <c r="BP294" s="55"/>
      <c r="BQ294" s="55"/>
      <c r="BR294" s="55"/>
      <c r="BS294" s="55"/>
      <c r="BT294" s="55"/>
      <c r="BU294" s="55"/>
      <c r="BV294" s="55"/>
      <c r="BW294" s="55"/>
      <c r="BX294" s="55"/>
      <c r="BY294" s="55"/>
      <c r="BZ294" s="55"/>
      <c r="CA294" s="55"/>
      <c r="CB294" s="55"/>
      <c r="CC294" s="55"/>
      <c r="CD294" s="55"/>
      <c r="CE294" s="55"/>
      <c r="CF294" s="55"/>
      <c r="CG294" s="55"/>
      <c r="CH294" s="55"/>
      <c r="CI294" s="55"/>
      <c r="CJ294" s="55"/>
      <c r="CK294" s="55"/>
      <c r="CL294" s="55"/>
      <c r="CM294" s="55"/>
      <c r="CN294" s="55"/>
      <c r="CO294" s="55"/>
      <c r="CP294" s="55"/>
      <c r="CQ294" s="55"/>
      <c r="CR294" s="55"/>
      <c r="CS294" s="55"/>
      <c r="CT294" s="55"/>
      <c r="CU294" s="55"/>
      <c r="CV294" s="55"/>
      <c r="CW294" s="55"/>
      <c r="CX294" s="55"/>
      <c r="CY294" s="55"/>
      <c r="CZ294" s="55"/>
      <c r="DA294" s="55"/>
      <c r="DB294" s="55"/>
      <c r="DC294" s="55"/>
      <c r="DD294" s="55"/>
      <c r="DE294" s="55"/>
      <c r="DF294" s="55"/>
      <c r="DG294" s="55"/>
      <c r="DH294" s="55"/>
      <c r="DI294" s="55"/>
    </row>
    <row r="295" spans="1:113" x14ac:dyDescent="0.25">
      <c r="A295" s="380"/>
      <c r="B295" s="340"/>
      <c r="C295" s="341"/>
      <c r="D295" s="381"/>
      <c r="E295" s="344"/>
      <c r="F295" s="350"/>
      <c r="G295" s="356"/>
      <c r="H295" s="346"/>
      <c r="I295" s="345"/>
      <c r="J295" s="345"/>
      <c r="K295" s="347"/>
      <c r="L295"/>
      <c r="M295" s="348"/>
      <c r="N295" s="310" t="s">
        <v>1066</v>
      </c>
      <c r="O295" s="349" t="s">
        <v>1092</v>
      </c>
      <c r="P295" s="349" t="s">
        <v>1088</v>
      </c>
      <c r="Q295" s="349" t="s">
        <v>1095</v>
      </c>
      <c r="R295" s="349" t="s">
        <v>1087</v>
      </c>
      <c r="S295" s="346" t="s">
        <v>1036</v>
      </c>
      <c r="T295" s="346" t="s">
        <v>1057</v>
      </c>
      <c r="U295" s="346" t="s">
        <v>1044</v>
      </c>
      <c r="V295" s="346" t="s">
        <v>1076</v>
      </c>
      <c r="W295" s="346"/>
      <c r="X295" s="346"/>
      <c r="Y295" s="346"/>
      <c r="Z295" s="346"/>
      <c r="AA295" s="346"/>
      <c r="AB295" s="346"/>
      <c r="AC295" s="346"/>
      <c r="AD295" s="346"/>
      <c r="AE295" s="346"/>
      <c r="AF295" s="346"/>
      <c r="AG295" s="346"/>
      <c r="AH295" s="346"/>
      <c r="AI295" s="346"/>
      <c r="AJ295" s="346"/>
      <c r="AK295" s="346"/>
      <c r="AL295" s="346"/>
      <c r="AM295" s="346"/>
      <c r="AN295" s="346"/>
      <c r="AO295" s="346"/>
      <c r="AP295" s="346"/>
      <c r="AQ295" s="346"/>
      <c r="AR295" s="346"/>
      <c r="AS295" s="346"/>
      <c r="AT295" s="346"/>
      <c r="AU295" s="346"/>
      <c r="AV295" s="346"/>
      <c r="AW295" s="346"/>
      <c r="AX295" s="346"/>
      <c r="AY295" s="346"/>
      <c r="AZ295" s="346"/>
      <c r="BA295" s="346"/>
      <c r="BB295" s="346"/>
      <c r="BC295" s="346"/>
      <c r="BD295" s="346"/>
      <c r="BE295" s="346"/>
      <c r="BF295" s="346"/>
      <c r="BG295" s="346"/>
      <c r="BH295" s="346"/>
      <c r="BI295" s="346"/>
      <c r="BJ295" s="346"/>
      <c r="BK295" s="346"/>
      <c r="BL295" s="346"/>
      <c r="BM295" s="346"/>
      <c r="BN295" s="346"/>
      <c r="BO295" s="346"/>
      <c r="BP295" s="346"/>
      <c r="BQ295" s="346"/>
      <c r="BR295" s="346"/>
      <c r="BS295" s="346"/>
      <c r="BT295" s="346"/>
      <c r="BU295" s="346"/>
      <c r="BV295" s="346"/>
      <c r="BW295" s="346"/>
      <c r="BX295" s="346"/>
      <c r="BY295" s="346"/>
      <c r="BZ295" s="346"/>
      <c r="CA295" s="346"/>
      <c r="CB295" s="346"/>
      <c r="CC295" s="346"/>
      <c r="CD295" s="346"/>
      <c r="CE295" s="346"/>
      <c r="CF295" s="346"/>
      <c r="CG295" s="346"/>
      <c r="CH295" s="346"/>
      <c r="CI295" s="346"/>
      <c r="CJ295" s="346"/>
      <c r="CK295" s="346"/>
      <c r="CL295" s="346"/>
      <c r="CM295" s="346"/>
      <c r="CN295" s="346"/>
      <c r="CO295" s="346"/>
      <c r="CP295" s="346"/>
      <c r="CQ295" s="346"/>
      <c r="CR295" s="346"/>
      <c r="CS295" s="346"/>
      <c r="CT295" s="346"/>
      <c r="CU295" s="346"/>
      <c r="CV295" s="346"/>
      <c r="CW295" s="346"/>
      <c r="CX295" s="346"/>
      <c r="CY295" s="346"/>
      <c r="CZ295" s="346"/>
      <c r="DA295" s="346"/>
      <c r="DB295" s="346"/>
      <c r="DC295" s="346"/>
      <c r="DD295" s="346"/>
      <c r="DE295" s="346"/>
      <c r="DF295" s="346"/>
      <c r="DG295" s="346"/>
      <c r="DH295" s="346"/>
      <c r="DI295" s="346"/>
    </row>
    <row r="296" spans="1:113" x14ac:dyDescent="0.25">
      <c r="A296" s="152">
        <v>21</v>
      </c>
      <c r="B296" s="79" t="s">
        <v>427</v>
      </c>
      <c r="C296" s="80">
        <v>12000</v>
      </c>
      <c r="D296" s="142">
        <v>2204.1999999999998</v>
      </c>
      <c r="E296" s="43">
        <v>20</v>
      </c>
      <c r="F296" s="60"/>
      <c r="G296" s="139">
        <f t="shared" si="53"/>
        <v>20</v>
      </c>
      <c r="H296" s="55"/>
      <c r="I296" s="56">
        <f t="shared" si="54"/>
        <v>20</v>
      </c>
      <c r="J296" s="56">
        <f t="shared" si="55"/>
        <v>240000</v>
      </c>
      <c r="K296" s="57">
        <f t="shared" si="56"/>
        <v>44084</v>
      </c>
      <c r="L296"/>
      <c r="M296" s="314">
        <f t="shared" si="52"/>
        <v>268</v>
      </c>
      <c r="N296" s="310">
        <v>45</v>
      </c>
      <c r="O296" s="315">
        <v>6</v>
      </c>
      <c r="P296" s="315">
        <v>22</v>
      </c>
      <c r="Q296" s="315">
        <v>8</v>
      </c>
      <c r="R296" s="315">
        <v>9</v>
      </c>
      <c r="S296" s="55">
        <v>18</v>
      </c>
      <c r="T296" s="55">
        <v>10</v>
      </c>
      <c r="U296" s="55">
        <v>50</v>
      </c>
      <c r="V296" s="55">
        <v>100</v>
      </c>
      <c r="W296" s="55"/>
      <c r="X296" s="55"/>
      <c r="Y296" s="55"/>
      <c r="Z296" s="55"/>
      <c r="AA296" s="55"/>
      <c r="AB296" s="55"/>
      <c r="AC296" s="55"/>
      <c r="AD296" s="55"/>
      <c r="AE296" s="55"/>
      <c r="AF296" s="55"/>
      <c r="AG296" s="55"/>
      <c r="AH296" s="55"/>
      <c r="AI296" s="55"/>
      <c r="AJ296" s="55"/>
      <c r="AK296" s="55"/>
      <c r="AL296" s="55"/>
      <c r="AM296" s="55"/>
      <c r="AN296" s="55"/>
      <c r="AO296" s="55"/>
      <c r="AP296" s="55"/>
      <c r="AQ296" s="55"/>
      <c r="AR296" s="55"/>
      <c r="AS296" s="55"/>
      <c r="AT296" s="55"/>
      <c r="AU296" s="55"/>
      <c r="AV296" s="55"/>
      <c r="AW296" s="55"/>
      <c r="AX296" s="55"/>
      <c r="AY296" s="55"/>
      <c r="AZ296" s="55"/>
      <c r="BA296" s="55"/>
      <c r="BB296" s="55"/>
      <c r="BC296" s="55"/>
      <c r="BD296" s="55"/>
      <c r="BE296" s="55"/>
      <c r="BF296" s="55"/>
      <c r="BG296" s="55"/>
      <c r="BH296" s="55"/>
      <c r="BI296" s="55"/>
      <c r="BJ296" s="55"/>
      <c r="BK296" s="55"/>
      <c r="BL296" s="55"/>
      <c r="BM296" s="55"/>
      <c r="BN296" s="55"/>
      <c r="BO296" s="55"/>
      <c r="BP296" s="55"/>
      <c r="BQ296" s="55"/>
      <c r="BR296" s="55"/>
      <c r="BS296" s="55"/>
      <c r="BT296" s="55"/>
      <c r="BU296" s="55"/>
      <c r="BV296" s="55"/>
      <c r="BW296" s="55"/>
      <c r="BX296" s="55"/>
      <c r="BY296" s="55"/>
      <c r="BZ296" s="55"/>
      <c r="CA296" s="55"/>
      <c r="CB296" s="55"/>
      <c r="CC296" s="55"/>
      <c r="CD296" s="55"/>
      <c r="CE296" s="55"/>
      <c r="CF296" s="55"/>
      <c r="CG296" s="55"/>
      <c r="CH296" s="55"/>
      <c r="CI296" s="55"/>
      <c r="CJ296" s="55"/>
      <c r="CK296" s="55"/>
      <c r="CL296" s="55"/>
      <c r="CM296" s="55"/>
      <c r="CN296" s="55"/>
      <c r="CO296" s="55"/>
      <c r="CP296" s="55"/>
      <c r="CQ296" s="55"/>
      <c r="CR296" s="55"/>
      <c r="CS296" s="55"/>
      <c r="CT296" s="55"/>
      <c r="CU296" s="55"/>
      <c r="CV296" s="55"/>
      <c r="CW296" s="55"/>
      <c r="CX296" s="55"/>
      <c r="CY296" s="55"/>
      <c r="CZ296" s="55"/>
      <c r="DA296" s="55"/>
      <c r="DB296" s="55"/>
      <c r="DC296" s="55"/>
      <c r="DD296" s="55"/>
      <c r="DE296" s="55"/>
      <c r="DF296" s="55"/>
      <c r="DG296" s="55"/>
      <c r="DH296" s="55"/>
      <c r="DI296" s="55"/>
    </row>
    <row r="297" spans="1:113" x14ac:dyDescent="0.25">
      <c r="A297" s="380"/>
      <c r="B297" s="340"/>
      <c r="C297" s="341"/>
      <c r="D297" s="381"/>
      <c r="E297" s="344"/>
      <c r="F297" s="350"/>
      <c r="G297" s="356"/>
      <c r="H297" s="346"/>
      <c r="I297" s="345"/>
      <c r="J297" s="345"/>
      <c r="K297" s="347"/>
      <c r="L297"/>
      <c r="M297" s="348"/>
      <c r="N297" s="310" t="s">
        <v>1087</v>
      </c>
      <c r="O297" s="349" t="s">
        <v>1098</v>
      </c>
      <c r="P297" s="349"/>
      <c r="Q297" s="349"/>
      <c r="R297" s="349"/>
      <c r="S297" s="346"/>
      <c r="T297" s="346"/>
      <c r="U297" s="346"/>
      <c r="V297" s="346"/>
      <c r="W297" s="346"/>
      <c r="X297" s="346"/>
      <c r="Y297" s="346"/>
      <c r="Z297" s="346"/>
      <c r="AA297" s="346"/>
      <c r="AB297" s="346"/>
      <c r="AC297" s="346"/>
      <c r="AD297" s="346"/>
      <c r="AE297" s="346"/>
      <c r="AF297" s="346"/>
      <c r="AG297" s="346"/>
      <c r="AH297" s="346"/>
      <c r="AI297" s="346"/>
      <c r="AJ297" s="346"/>
      <c r="AK297" s="346"/>
      <c r="AL297" s="346"/>
      <c r="AM297" s="346"/>
      <c r="AN297" s="346"/>
      <c r="AO297" s="346"/>
      <c r="AP297" s="346"/>
      <c r="AQ297" s="346"/>
      <c r="AR297" s="346"/>
      <c r="AS297" s="346"/>
      <c r="AT297" s="346"/>
      <c r="AU297" s="346"/>
      <c r="AV297" s="346"/>
      <c r="AW297" s="346"/>
      <c r="AX297" s="346"/>
      <c r="AY297" s="346"/>
      <c r="AZ297" s="346"/>
      <c r="BA297" s="346"/>
      <c r="BB297" s="346"/>
      <c r="BC297" s="346"/>
      <c r="BD297" s="346"/>
      <c r="BE297" s="346"/>
      <c r="BF297" s="346"/>
      <c r="BG297" s="346"/>
      <c r="BH297" s="346"/>
      <c r="BI297" s="346"/>
      <c r="BJ297" s="346"/>
      <c r="BK297" s="346"/>
      <c r="BL297" s="346"/>
      <c r="BM297" s="346"/>
      <c r="BN297" s="346"/>
      <c r="BO297" s="346"/>
      <c r="BP297" s="346"/>
      <c r="BQ297" s="346"/>
      <c r="BR297" s="346"/>
      <c r="BS297" s="346"/>
      <c r="BT297" s="346"/>
      <c r="BU297" s="346"/>
      <c r="BV297" s="346"/>
      <c r="BW297" s="346"/>
      <c r="BX297" s="346"/>
      <c r="BY297" s="346"/>
      <c r="BZ297" s="346"/>
      <c r="CA297" s="346"/>
      <c r="CB297" s="346"/>
      <c r="CC297" s="346"/>
      <c r="CD297" s="346"/>
      <c r="CE297" s="346"/>
      <c r="CF297" s="346"/>
      <c r="CG297" s="346"/>
      <c r="CH297" s="346"/>
      <c r="CI297" s="346"/>
      <c r="CJ297" s="346"/>
      <c r="CK297" s="346"/>
      <c r="CL297" s="346"/>
      <c r="CM297" s="346"/>
      <c r="CN297" s="346"/>
      <c r="CO297" s="346"/>
      <c r="CP297" s="346"/>
      <c r="CQ297" s="346"/>
      <c r="CR297" s="346"/>
      <c r="CS297" s="346"/>
      <c r="CT297" s="346"/>
      <c r="CU297" s="346"/>
      <c r="CV297" s="346"/>
      <c r="CW297" s="346"/>
      <c r="CX297" s="346"/>
      <c r="CY297" s="346"/>
      <c r="CZ297" s="346"/>
      <c r="DA297" s="346"/>
      <c r="DB297" s="346"/>
      <c r="DC297" s="346"/>
      <c r="DD297" s="346"/>
      <c r="DE297" s="346"/>
      <c r="DF297" s="346"/>
      <c r="DG297" s="346"/>
      <c r="DH297" s="346"/>
      <c r="DI297" s="346"/>
    </row>
    <row r="298" spans="1:113" x14ac:dyDescent="0.25">
      <c r="A298" s="152">
        <v>22</v>
      </c>
      <c r="B298" s="79" t="s">
        <v>428</v>
      </c>
      <c r="C298" s="80">
        <v>7000</v>
      </c>
      <c r="D298" s="142">
        <v>3488.55</v>
      </c>
      <c r="E298" s="43">
        <v>1515</v>
      </c>
      <c r="F298" s="60"/>
      <c r="G298" s="139">
        <f t="shared" si="53"/>
        <v>1515</v>
      </c>
      <c r="H298" s="55"/>
      <c r="I298" s="56">
        <f t="shared" si="54"/>
        <v>1515</v>
      </c>
      <c r="J298" s="56">
        <f t="shared" si="55"/>
        <v>10605000</v>
      </c>
      <c r="K298" s="57">
        <f t="shared" si="56"/>
        <v>5285153.25</v>
      </c>
      <c r="L298"/>
      <c r="M298" s="314">
        <f t="shared" si="52"/>
        <v>56</v>
      </c>
      <c r="N298" s="310">
        <v>44</v>
      </c>
      <c r="O298" s="315">
        <v>12</v>
      </c>
      <c r="P298" s="315"/>
      <c r="Q298" s="315"/>
      <c r="R298" s="315"/>
      <c r="S298" s="55"/>
      <c r="T298" s="55"/>
      <c r="U298" s="55"/>
      <c r="V298" s="55"/>
      <c r="W298" s="55"/>
      <c r="X298" s="55"/>
      <c r="Y298" s="55"/>
      <c r="Z298" s="55"/>
      <c r="AA298" s="55"/>
      <c r="AB298" s="55"/>
      <c r="AC298" s="55"/>
      <c r="AD298" s="55"/>
      <c r="AE298" s="55"/>
      <c r="AF298" s="55"/>
      <c r="AG298" s="55"/>
      <c r="AH298" s="55"/>
      <c r="AI298" s="55"/>
      <c r="AJ298" s="55"/>
      <c r="AK298" s="55"/>
      <c r="AL298" s="55"/>
      <c r="AM298" s="55"/>
      <c r="AN298" s="55"/>
      <c r="AO298" s="55"/>
      <c r="AP298" s="55"/>
      <c r="AQ298" s="55"/>
      <c r="AR298" s="55"/>
      <c r="AS298" s="55"/>
      <c r="AT298" s="55"/>
      <c r="AU298" s="55"/>
      <c r="AV298" s="55"/>
      <c r="AW298" s="55"/>
      <c r="AX298" s="55"/>
      <c r="AY298" s="55"/>
      <c r="AZ298" s="55"/>
      <c r="BA298" s="55"/>
      <c r="BB298" s="55"/>
      <c r="BC298" s="55"/>
      <c r="BD298" s="55"/>
      <c r="BE298" s="55"/>
      <c r="BF298" s="55"/>
      <c r="BG298" s="55"/>
      <c r="BH298" s="55"/>
      <c r="BI298" s="55"/>
      <c r="BJ298" s="55"/>
      <c r="BK298" s="55"/>
      <c r="BL298" s="55"/>
      <c r="BM298" s="55"/>
      <c r="BN298" s="55"/>
      <c r="BO298" s="55"/>
      <c r="BP298" s="55"/>
      <c r="BQ298" s="55"/>
      <c r="BR298" s="55"/>
      <c r="BS298" s="55"/>
      <c r="BT298" s="55"/>
      <c r="BU298" s="55"/>
      <c r="BV298" s="55"/>
      <c r="BW298" s="55"/>
      <c r="BX298" s="55"/>
      <c r="BY298" s="55"/>
      <c r="BZ298" s="55"/>
      <c r="CA298" s="55"/>
      <c r="CB298" s="55"/>
      <c r="CC298" s="55"/>
      <c r="CD298" s="55"/>
      <c r="CE298" s="55"/>
      <c r="CF298" s="55"/>
      <c r="CG298" s="55"/>
      <c r="CH298" s="55"/>
      <c r="CI298" s="55"/>
      <c r="CJ298" s="55"/>
      <c r="CK298" s="55"/>
      <c r="CL298" s="55"/>
      <c r="CM298" s="55"/>
      <c r="CN298" s="55"/>
      <c r="CO298" s="55"/>
      <c r="CP298" s="55"/>
      <c r="CQ298" s="55"/>
      <c r="CR298" s="55"/>
      <c r="CS298" s="55"/>
      <c r="CT298" s="55"/>
      <c r="CU298" s="55"/>
      <c r="CV298" s="55"/>
      <c r="CW298" s="55"/>
      <c r="CX298" s="55"/>
      <c r="CY298" s="55"/>
      <c r="CZ298" s="55"/>
      <c r="DA298" s="55"/>
      <c r="DB298" s="55"/>
      <c r="DC298" s="55"/>
      <c r="DD298" s="55"/>
      <c r="DE298" s="55"/>
      <c r="DF298" s="55"/>
      <c r="DG298" s="55"/>
      <c r="DH298" s="55"/>
      <c r="DI298" s="55"/>
    </row>
    <row r="299" spans="1:113" x14ac:dyDescent="0.25">
      <c r="A299" s="380"/>
      <c r="B299" s="340"/>
      <c r="C299" s="341"/>
      <c r="D299" s="381"/>
      <c r="E299" s="344"/>
      <c r="F299" s="350"/>
      <c r="G299" s="356"/>
      <c r="H299" s="346"/>
      <c r="I299" s="345"/>
      <c r="J299" s="345"/>
      <c r="K299" s="347"/>
      <c r="L299"/>
      <c r="M299" s="348"/>
      <c r="N299" s="310"/>
      <c r="O299" s="349"/>
      <c r="P299" s="349"/>
      <c r="Q299" s="349"/>
      <c r="R299" s="349"/>
      <c r="S299" s="346"/>
      <c r="T299" s="346"/>
      <c r="U299" s="346"/>
      <c r="V299" s="346"/>
      <c r="W299" s="346"/>
      <c r="X299" s="346"/>
      <c r="Y299" s="346"/>
      <c r="Z299" s="346"/>
      <c r="AA299" s="346"/>
      <c r="AB299" s="346"/>
      <c r="AC299" s="346"/>
      <c r="AD299" s="346"/>
      <c r="AE299" s="346"/>
      <c r="AF299" s="346"/>
      <c r="AG299" s="346"/>
      <c r="AH299" s="346"/>
      <c r="AI299" s="346"/>
      <c r="AJ299" s="346"/>
      <c r="AK299" s="346"/>
      <c r="AL299" s="346"/>
      <c r="AM299" s="346"/>
      <c r="AN299" s="346"/>
      <c r="AO299" s="346"/>
      <c r="AP299" s="346"/>
      <c r="AQ299" s="346"/>
      <c r="AR299" s="346"/>
      <c r="AS299" s="346"/>
      <c r="AT299" s="346"/>
      <c r="AU299" s="346"/>
      <c r="AV299" s="346"/>
      <c r="AW299" s="346"/>
      <c r="AX299" s="346"/>
      <c r="AY299" s="346"/>
      <c r="AZ299" s="346"/>
      <c r="BA299" s="346"/>
      <c r="BB299" s="346"/>
      <c r="BC299" s="346"/>
      <c r="BD299" s="346"/>
      <c r="BE299" s="346"/>
      <c r="BF299" s="346"/>
      <c r="BG299" s="346"/>
      <c r="BH299" s="346"/>
      <c r="BI299" s="346"/>
      <c r="BJ299" s="346"/>
      <c r="BK299" s="346"/>
      <c r="BL299" s="346"/>
      <c r="BM299" s="346"/>
      <c r="BN299" s="346"/>
      <c r="BO299" s="346"/>
      <c r="BP299" s="346"/>
      <c r="BQ299" s="346"/>
      <c r="BR299" s="346"/>
      <c r="BS299" s="346"/>
      <c r="BT299" s="346"/>
      <c r="BU299" s="346"/>
      <c r="BV299" s="346"/>
      <c r="BW299" s="346"/>
      <c r="BX299" s="346"/>
      <c r="BY299" s="346"/>
      <c r="BZ299" s="346"/>
      <c r="CA299" s="346"/>
      <c r="CB299" s="346"/>
      <c r="CC299" s="346"/>
      <c r="CD299" s="346"/>
      <c r="CE299" s="346"/>
      <c r="CF299" s="346"/>
      <c r="CG299" s="346"/>
      <c r="CH299" s="346"/>
      <c r="CI299" s="346"/>
      <c r="CJ299" s="346"/>
      <c r="CK299" s="346"/>
      <c r="CL299" s="346"/>
      <c r="CM299" s="346"/>
      <c r="CN299" s="346"/>
      <c r="CO299" s="346"/>
      <c r="CP299" s="346"/>
      <c r="CQ299" s="346"/>
      <c r="CR299" s="346"/>
      <c r="CS299" s="346"/>
      <c r="CT299" s="346"/>
      <c r="CU299" s="346"/>
      <c r="CV299" s="346"/>
      <c r="CW299" s="346"/>
      <c r="CX299" s="346"/>
      <c r="CY299" s="346"/>
      <c r="CZ299" s="346"/>
      <c r="DA299" s="346"/>
      <c r="DB299" s="346"/>
      <c r="DC299" s="346"/>
      <c r="DD299" s="346"/>
      <c r="DE299" s="346"/>
      <c r="DF299" s="346"/>
      <c r="DG299" s="346"/>
      <c r="DH299" s="346"/>
      <c r="DI299" s="346"/>
    </row>
    <row r="300" spans="1:113" x14ac:dyDescent="0.25">
      <c r="A300" s="152">
        <v>23</v>
      </c>
      <c r="B300" s="79" t="s">
        <v>429</v>
      </c>
      <c r="C300" s="80">
        <v>19000</v>
      </c>
      <c r="D300" s="142">
        <v>2353.6999999999998</v>
      </c>
      <c r="E300" s="43">
        <v>30</v>
      </c>
      <c r="F300" s="60"/>
      <c r="G300" s="139">
        <f t="shared" si="53"/>
        <v>30</v>
      </c>
      <c r="H300" s="55"/>
      <c r="I300" s="56">
        <f t="shared" si="54"/>
        <v>30</v>
      </c>
      <c r="J300" s="56">
        <f t="shared" si="55"/>
        <v>570000</v>
      </c>
      <c r="K300" s="57">
        <f t="shared" si="56"/>
        <v>70611</v>
      </c>
      <c r="L300"/>
      <c r="M300" s="314">
        <f t="shared" si="52"/>
        <v>0</v>
      </c>
      <c r="N300" s="310"/>
      <c r="O300" s="315"/>
      <c r="P300" s="315"/>
      <c r="Q300" s="315"/>
      <c r="R300" s="315"/>
      <c r="S300" s="55"/>
      <c r="T300" s="55"/>
      <c r="U300" s="55"/>
      <c r="V300" s="55"/>
      <c r="W300" s="55"/>
      <c r="X300" s="55"/>
      <c r="Y300" s="55"/>
      <c r="Z300" s="55"/>
      <c r="AA300" s="55"/>
      <c r="AB300" s="55"/>
      <c r="AC300" s="55"/>
      <c r="AD300" s="55"/>
      <c r="AE300" s="55"/>
      <c r="AF300" s="55"/>
      <c r="AG300" s="55"/>
      <c r="AH300" s="55"/>
      <c r="AI300" s="55"/>
      <c r="AJ300" s="55"/>
      <c r="AK300" s="55"/>
      <c r="AL300" s="55"/>
      <c r="AM300" s="55"/>
      <c r="AN300" s="55"/>
      <c r="AO300" s="55"/>
      <c r="AP300" s="55"/>
      <c r="AQ300" s="55"/>
      <c r="AR300" s="55"/>
      <c r="AS300" s="55"/>
      <c r="AT300" s="55"/>
      <c r="AU300" s="55"/>
      <c r="AV300" s="55"/>
      <c r="AW300" s="55"/>
      <c r="AX300" s="55"/>
      <c r="AY300" s="55"/>
      <c r="AZ300" s="55"/>
      <c r="BA300" s="55"/>
      <c r="BB300" s="55"/>
      <c r="BC300" s="55"/>
      <c r="BD300" s="55"/>
      <c r="BE300" s="55"/>
      <c r="BF300" s="55"/>
      <c r="BG300" s="55"/>
      <c r="BH300" s="55"/>
      <c r="BI300" s="55"/>
      <c r="BJ300" s="55"/>
      <c r="BK300" s="55"/>
      <c r="BL300" s="55"/>
      <c r="BM300" s="55"/>
      <c r="BN300" s="55"/>
      <c r="BO300" s="55"/>
      <c r="BP300" s="55"/>
      <c r="BQ300" s="55"/>
      <c r="BR300" s="55"/>
      <c r="BS300" s="55"/>
      <c r="BT300" s="55"/>
      <c r="BU300" s="55"/>
      <c r="BV300" s="55"/>
      <c r="BW300" s="55"/>
      <c r="BX300" s="55"/>
      <c r="BY300" s="55"/>
      <c r="BZ300" s="55"/>
      <c r="CA300" s="55"/>
      <c r="CB300" s="55"/>
      <c r="CC300" s="55"/>
      <c r="CD300" s="55"/>
      <c r="CE300" s="55"/>
      <c r="CF300" s="55"/>
      <c r="CG300" s="55"/>
      <c r="CH300" s="55"/>
      <c r="CI300" s="55"/>
      <c r="CJ300" s="55"/>
      <c r="CK300" s="55"/>
      <c r="CL300" s="55"/>
      <c r="CM300" s="55"/>
      <c r="CN300" s="55"/>
      <c r="CO300" s="55"/>
      <c r="CP300" s="55"/>
      <c r="CQ300" s="55"/>
      <c r="CR300" s="55"/>
      <c r="CS300" s="55"/>
      <c r="CT300" s="55"/>
      <c r="CU300" s="55"/>
      <c r="CV300" s="55"/>
      <c r="CW300" s="55"/>
      <c r="CX300" s="55"/>
      <c r="CY300" s="55"/>
      <c r="CZ300" s="55"/>
      <c r="DA300" s="55"/>
      <c r="DB300" s="55"/>
      <c r="DC300" s="55"/>
      <c r="DD300" s="55"/>
      <c r="DE300" s="55"/>
      <c r="DF300" s="55"/>
      <c r="DG300" s="55"/>
      <c r="DH300" s="55"/>
      <c r="DI300" s="55"/>
    </row>
    <row r="301" spans="1:113" x14ac:dyDescent="0.25">
      <c r="A301" s="380"/>
      <c r="B301" s="340"/>
      <c r="C301" s="341"/>
      <c r="D301" s="381"/>
      <c r="E301" s="344"/>
      <c r="F301" s="350"/>
      <c r="G301" s="356"/>
      <c r="H301" s="346"/>
      <c r="I301" s="345"/>
      <c r="J301" s="345"/>
      <c r="K301" s="347"/>
      <c r="L301"/>
      <c r="M301" s="348"/>
      <c r="N301" s="310" t="s">
        <v>1095</v>
      </c>
      <c r="O301" s="349" t="s">
        <v>1096</v>
      </c>
      <c r="P301" s="349" t="s">
        <v>1090</v>
      </c>
      <c r="Q301" s="349" t="s">
        <v>1088</v>
      </c>
      <c r="R301" s="349" t="s">
        <v>1092</v>
      </c>
      <c r="S301" s="346" t="s">
        <v>1066</v>
      </c>
      <c r="T301" s="346" t="s">
        <v>1098</v>
      </c>
      <c r="U301" s="346" t="s">
        <v>1044</v>
      </c>
      <c r="V301" s="346" t="s">
        <v>1076</v>
      </c>
      <c r="W301" s="346" t="s">
        <v>1036</v>
      </c>
      <c r="X301" s="350" t="s">
        <v>1100</v>
      </c>
      <c r="Y301" s="346"/>
      <c r="Z301" s="346"/>
      <c r="AA301" s="346"/>
      <c r="AB301" s="346"/>
      <c r="AC301" s="346"/>
      <c r="AD301" s="346"/>
      <c r="AE301" s="346"/>
      <c r="AF301" s="346"/>
      <c r="AG301" s="346"/>
      <c r="AH301" s="346"/>
      <c r="AI301" s="346"/>
      <c r="AJ301" s="346"/>
      <c r="AK301" s="346"/>
      <c r="AL301" s="346"/>
      <c r="AM301" s="346"/>
      <c r="AN301" s="346"/>
      <c r="AO301" s="346"/>
      <c r="AP301" s="346"/>
      <c r="AQ301" s="346"/>
      <c r="AR301" s="346"/>
      <c r="AS301" s="346"/>
      <c r="AT301" s="346"/>
      <c r="AU301" s="346"/>
      <c r="AV301" s="346"/>
      <c r="AW301" s="346"/>
      <c r="AX301" s="346"/>
      <c r="AY301" s="346"/>
      <c r="AZ301" s="346"/>
      <c r="BA301" s="346"/>
      <c r="BB301" s="346"/>
      <c r="BC301" s="346"/>
      <c r="BD301" s="346"/>
      <c r="BE301" s="346"/>
      <c r="BF301" s="346"/>
      <c r="BG301" s="346"/>
      <c r="BH301" s="346"/>
      <c r="BI301" s="346"/>
      <c r="BJ301" s="346"/>
      <c r="BK301" s="346"/>
      <c r="BL301" s="346"/>
      <c r="BM301" s="346"/>
      <c r="BN301" s="346"/>
      <c r="BO301" s="346"/>
      <c r="BP301" s="346"/>
      <c r="BQ301" s="346"/>
      <c r="BR301" s="346"/>
      <c r="BS301" s="346"/>
      <c r="BT301" s="346"/>
      <c r="BU301" s="346"/>
      <c r="BV301" s="346"/>
      <c r="BW301" s="346"/>
      <c r="BX301" s="346"/>
      <c r="BY301" s="346"/>
      <c r="BZ301" s="346"/>
      <c r="CA301" s="346"/>
      <c r="CB301" s="346"/>
      <c r="CC301" s="346"/>
      <c r="CD301" s="346"/>
      <c r="CE301" s="346"/>
      <c r="CF301" s="346"/>
      <c r="CG301" s="346"/>
      <c r="CH301" s="346"/>
      <c r="CI301" s="346"/>
      <c r="CJ301" s="346"/>
      <c r="CK301" s="346"/>
      <c r="CL301" s="346"/>
      <c r="CM301" s="346"/>
      <c r="CN301" s="346"/>
      <c r="CO301" s="346"/>
      <c r="CP301" s="346"/>
      <c r="CQ301" s="346"/>
      <c r="CR301" s="346"/>
      <c r="CS301" s="346"/>
      <c r="CT301" s="346"/>
      <c r="CU301" s="346"/>
      <c r="CV301" s="346"/>
      <c r="CW301" s="346"/>
      <c r="CX301" s="346"/>
      <c r="CY301" s="346"/>
      <c r="CZ301" s="346"/>
      <c r="DA301" s="346"/>
      <c r="DB301" s="346"/>
      <c r="DC301" s="346"/>
      <c r="DD301" s="346"/>
      <c r="DE301" s="346"/>
      <c r="DF301" s="346"/>
      <c r="DG301" s="346"/>
      <c r="DH301" s="346"/>
      <c r="DI301" s="346"/>
    </row>
    <row r="302" spans="1:113" x14ac:dyDescent="0.25">
      <c r="A302" s="152">
        <v>24</v>
      </c>
      <c r="B302" s="79" t="s">
        <v>430</v>
      </c>
      <c r="C302" s="80">
        <v>14500</v>
      </c>
      <c r="D302" s="142">
        <v>4092.45</v>
      </c>
      <c r="E302" s="43">
        <v>315</v>
      </c>
      <c r="F302" s="60"/>
      <c r="G302" s="139">
        <f t="shared" si="53"/>
        <v>315</v>
      </c>
      <c r="H302" s="55"/>
      <c r="I302" s="56">
        <f t="shared" si="54"/>
        <v>315</v>
      </c>
      <c r="J302" s="56">
        <f t="shared" si="55"/>
        <v>4567500</v>
      </c>
      <c r="K302" s="57">
        <f t="shared" si="56"/>
        <v>1289121.75</v>
      </c>
      <c r="L302"/>
      <c r="M302" s="314">
        <f t="shared" si="52"/>
        <v>388</v>
      </c>
      <c r="N302" s="310">
        <v>8</v>
      </c>
      <c r="O302" s="315">
        <v>4</v>
      </c>
      <c r="P302" s="315">
        <v>10</v>
      </c>
      <c r="Q302" s="315">
        <v>21</v>
      </c>
      <c r="R302" s="315">
        <v>5</v>
      </c>
      <c r="S302" s="55">
        <v>32</v>
      </c>
      <c r="T302" s="55">
        <v>39</v>
      </c>
      <c r="U302" s="55">
        <v>50</v>
      </c>
      <c r="V302" s="55">
        <v>95</v>
      </c>
      <c r="W302" s="55">
        <v>24</v>
      </c>
      <c r="X302" s="60">
        <v>100</v>
      </c>
      <c r="Y302" s="55"/>
      <c r="Z302" s="55"/>
      <c r="AA302" s="55"/>
      <c r="AB302" s="55"/>
      <c r="AC302" s="55"/>
      <c r="AD302" s="55"/>
      <c r="AE302" s="55"/>
      <c r="AF302" s="55"/>
      <c r="AG302" s="55"/>
      <c r="AH302" s="55"/>
      <c r="AI302" s="55"/>
      <c r="AJ302" s="55"/>
      <c r="AK302" s="55"/>
      <c r="AL302" s="55"/>
      <c r="AM302" s="55"/>
      <c r="AN302" s="55"/>
      <c r="AO302" s="55"/>
      <c r="AP302" s="55"/>
      <c r="AQ302" s="55"/>
      <c r="AR302" s="55"/>
      <c r="AS302" s="55"/>
      <c r="AT302" s="55"/>
      <c r="AU302" s="55"/>
      <c r="AV302" s="55"/>
      <c r="AW302" s="55"/>
      <c r="AX302" s="55"/>
      <c r="AY302" s="55"/>
      <c r="AZ302" s="55"/>
      <c r="BA302" s="55"/>
      <c r="BB302" s="55"/>
      <c r="BC302" s="55"/>
      <c r="BD302" s="55"/>
      <c r="BE302" s="55"/>
      <c r="BF302" s="55"/>
      <c r="BG302" s="55"/>
      <c r="BH302" s="55"/>
      <c r="BI302" s="55"/>
      <c r="BJ302" s="55"/>
      <c r="BK302" s="55"/>
      <c r="BL302" s="55"/>
      <c r="BM302" s="55"/>
      <c r="BN302" s="55"/>
      <c r="BO302" s="55"/>
      <c r="BP302" s="55"/>
      <c r="BQ302" s="55"/>
      <c r="BR302" s="55"/>
      <c r="BS302" s="55"/>
      <c r="BT302" s="55"/>
      <c r="BU302" s="55"/>
      <c r="BV302" s="55"/>
      <c r="BW302" s="55"/>
      <c r="BX302" s="55"/>
      <c r="BY302" s="55"/>
      <c r="BZ302" s="55"/>
      <c r="CA302" s="55"/>
      <c r="CB302" s="55"/>
      <c r="CC302" s="55"/>
      <c r="CD302" s="55"/>
      <c r="CE302" s="55"/>
      <c r="CF302" s="55"/>
      <c r="CG302" s="55"/>
      <c r="CH302" s="55"/>
      <c r="CI302" s="55"/>
      <c r="CJ302" s="55"/>
      <c r="CK302" s="55"/>
      <c r="CL302" s="55"/>
      <c r="CM302" s="55"/>
      <c r="CN302" s="55"/>
      <c r="CO302" s="55"/>
      <c r="CP302" s="55"/>
      <c r="CQ302" s="55"/>
      <c r="CR302" s="55"/>
      <c r="CS302" s="55"/>
      <c r="CT302" s="55"/>
      <c r="CU302" s="55"/>
      <c r="CV302" s="55"/>
      <c r="CW302" s="55"/>
      <c r="CX302" s="55"/>
      <c r="CY302" s="55"/>
      <c r="CZ302" s="55"/>
      <c r="DA302" s="55"/>
      <c r="DB302" s="55"/>
      <c r="DC302" s="55"/>
      <c r="DD302" s="55"/>
      <c r="DE302" s="55"/>
      <c r="DF302" s="55"/>
      <c r="DG302" s="55"/>
      <c r="DH302" s="55"/>
      <c r="DI302" s="55"/>
    </row>
    <row r="303" spans="1:113" x14ac:dyDescent="0.25">
      <c r="A303" s="152">
        <v>25</v>
      </c>
      <c r="B303" s="79" t="s">
        <v>431</v>
      </c>
      <c r="C303" s="80">
        <v>12000</v>
      </c>
      <c r="D303" s="142">
        <v>2369.37</v>
      </c>
      <c r="E303" s="43">
        <v>1175</v>
      </c>
      <c r="F303" s="60"/>
      <c r="G303" s="139">
        <f t="shared" si="53"/>
        <v>1175</v>
      </c>
      <c r="H303" s="55"/>
      <c r="I303" s="56">
        <f t="shared" si="54"/>
        <v>1175</v>
      </c>
      <c r="J303" s="56">
        <f t="shared" si="55"/>
        <v>14100000</v>
      </c>
      <c r="K303" s="57">
        <f t="shared" si="56"/>
        <v>2784009.75</v>
      </c>
      <c r="L303"/>
      <c r="M303" s="314">
        <f t="shared" si="52"/>
        <v>0</v>
      </c>
      <c r="N303" s="310"/>
      <c r="O303" s="315"/>
      <c r="P303" s="315"/>
      <c r="Q303" s="315"/>
      <c r="R303" s="315"/>
      <c r="S303" s="55"/>
      <c r="T303" s="55"/>
      <c r="U303" s="55"/>
      <c r="V303" s="55"/>
      <c r="W303" s="55"/>
      <c r="X303" s="55"/>
      <c r="Y303" s="55"/>
      <c r="Z303" s="55"/>
      <c r="AA303" s="55"/>
      <c r="AB303" s="55"/>
      <c r="AC303" s="55"/>
      <c r="AD303" s="55"/>
      <c r="AE303" s="55"/>
      <c r="AF303" s="55"/>
      <c r="AG303" s="55"/>
      <c r="AH303" s="55"/>
      <c r="AI303" s="55"/>
      <c r="AJ303" s="55"/>
      <c r="AK303" s="55"/>
      <c r="AL303" s="55"/>
      <c r="AM303" s="55"/>
      <c r="AN303" s="55"/>
      <c r="AO303" s="55"/>
      <c r="AP303" s="55"/>
      <c r="AQ303" s="55"/>
      <c r="AR303" s="55"/>
      <c r="AS303" s="55"/>
      <c r="AT303" s="55"/>
      <c r="AU303" s="55"/>
      <c r="AV303" s="55"/>
      <c r="AW303" s="55"/>
      <c r="AX303" s="55"/>
      <c r="AY303" s="55"/>
      <c r="AZ303" s="55"/>
      <c r="BA303" s="55"/>
      <c r="BB303" s="55"/>
      <c r="BC303" s="55"/>
      <c r="BD303" s="55"/>
      <c r="BE303" s="55"/>
      <c r="BF303" s="55"/>
      <c r="BG303" s="55"/>
      <c r="BH303" s="55"/>
      <c r="BI303" s="55"/>
      <c r="BJ303" s="55"/>
      <c r="BK303" s="55"/>
      <c r="BL303" s="55"/>
      <c r="BM303" s="55"/>
      <c r="BN303" s="55"/>
      <c r="BO303" s="55"/>
      <c r="BP303" s="55"/>
      <c r="BQ303" s="55"/>
      <c r="BR303" s="55"/>
      <c r="BS303" s="55"/>
      <c r="BT303" s="55"/>
      <c r="BU303" s="55"/>
      <c r="BV303" s="55"/>
      <c r="BW303" s="55"/>
      <c r="BX303" s="55"/>
      <c r="BY303" s="55"/>
      <c r="BZ303" s="55"/>
      <c r="CA303" s="55"/>
      <c r="CB303" s="55"/>
      <c r="CC303" s="55"/>
      <c r="CD303" s="55"/>
      <c r="CE303" s="55"/>
      <c r="CF303" s="55"/>
      <c r="CG303" s="55"/>
      <c r="CH303" s="55"/>
      <c r="CI303" s="55"/>
      <c r="CJ303" s="55"/>
      <c r="CK303" s="55"/>
      <c r="CL303" s="55"/>
      <c r="CM303" s="55"/>
      <c r="CN303" s="55"/>
      <c r="CO303" s="55"/>
      <c r="CP303" s="55"/>
      <c r="CQ303" s="55"/>
      <c r="CR303" s="55"/>
      <c r="CS303" s="55"/>
      <c r="CT303" s="55"/>
      <c r="CU303" s="55"/>
      <c r="CV303" s="55"/>
      <c r="CW303" s="55"/>
      <c r="CX303" s="55"/>
      <c r="CY303" s="55"/>
      <c r="CZ303" s="55"/>
      <c r="DA303" s="55"/>
      <c r="DB303" s="55"/>
      <c r="DC303" s="55"/>
      <c r="DD303" s="55"/>
      <c r="DE303" s="55"/>
      <c r="DF303" s="55"/>
      <c r="DG303" s="55"/>
      <c r="DH303" s="55"/>
      <c r="DI303" s="55"/>
    </row>
    <row r="304" spans="1:113" x14ac:dyDescent="0.25">
      <c r="A304" s="380"/>
      <c r="B304" s="340"/>
      <c r="C304" s="341"/>
      <c r="D304" s="381"/>
      <c r="E304" s="344"/>
      <c r="F304" s="350"/>
      <c r="G304" s="356"/>
      <c r="H304" s="346"/>
      <c r="I304" s="345"/>
      <c r="J304" s="345"/>
      <c r="K304" s="347"/>
      <c r="L304"/>
      <c r="M304" s="348"/>
      <c r="N304" s="310" t="s">
        <v>1095</v>
      </c>
      <c r="O304" s="349" t="s">
        <v>1096</v>
      </c>
      <c r="P304" s="349" t="s">
        <v>965</v>
      </c>
      <c r="Q304" s="349" t="s">
        <v>1036</v>
      </c>
      <c r="R304" s="349" t="s">
        <v>1044</v>
      </c>
      <c r="S304" s="346" t="s">
        <v>1066</v>
      </c>
      <c r="T304" s="346" t="s">
        <v>1098</v>
      </c>
      <c r="U304" s="346" t="s">
        <v>1092</v>
      </c>
      <c r="V304" s="346" t="s">
        <v>1090</v>
      </c>
      <c r="W304" s="346"/>
      <c r="X304" s="346"/>
      <c r="Y304" s="346"/>
      <c r="Z304" s="346"/>
      <c r="AA304" s="346"/>
      <c r="AB304" s="346"/>
      <c r="AC304" s="346"/>
      <c r="AD304" s="346"/>
      <c r="AE304" s="346"/>
      <c r="AF304" s="346"/>
      <c r="AG304" s="346"/>
      <c r="AH304" s="346"/>
      <c r="AI304" s="346"/>
      <c r="AJ304" s="346"/>
      <c r="AK304" s="346"/>
      <c r="AL304" s="346"/>
      <c r="AM304" s="346"/>
      <c r="AN304" s="346"/>
      <c r="AO304" s="346"/>
      <c r="AP304" s="346"/>
      <c r="AQ304" s="346"/>
      <c r="AR304" s="346"/>
      <c r="AS304" s="346"/>
      <c r="AT304" s="346"/>
      <c r="AU304" s="346"/>
      <c r="AV304" s="346"/>
      <c r="AW304" s="346"/>
      <c r="AX304" s="346"/>
      <c r="AY304" s="346"/>
      <c r="AZ304" s="346"/>
      <c r="BA304" s="346"/>
      <c r="BB304" s="346"/>
      <c r="BC304" s="346"/>
      <c r="BD304" s="346"/>
      <c r="BE304" s="346"/>
      <c r="BF304" s="346"/>
      <c r="BG304" s="346"/>
      <c r="BH304" s="346"/>
      <c r="BI304" s="346"/>
      <c r="BJ304" s="346"/>
      <c r="BK304" s="346"/>
      <c r="BL304" s="346"/>
      <c r="BM304" s="346"/>
      <c r="BN304" s="346"/>
      <c r="BO304" s="346"/>
      <c r="BP304" s="346"/>
      <c r="BQ304" s="346"/>
      <c r="BR304" s="346"/>
      <c r="BS304" s="346"/>
      <c r="BT304" s="346"/>
      <c r="BU304" s="346"/>
      <c r="BV304" s="346"/>
      <c r="BW304" s="346"/>
      <c r="BX304" s="346"/>
      <c r="BY304" s="346"/>
      <c r="BZ304" s="346"/>
      <c r="CA304" s="346"/>
      <c r="CB304" s="346"/>
      <c r="CC304" s="346"/>
      <c r="CD304" s="346"/>
      <c r="CE304" s="346"/>
      <c r="CF304" s="346"/>
      <c r="CG304" s="346"/>
      <c r="CH304" s="346"/>
      <c r="CI304" s="346"/>
      <c r="CJ304" s="346"/>
      <c r="CK304" s="346"/>
      <c r="CL304" s="346"/>
      <c r="CM304" s="346"/>
      <c r="CN304" s="346"/>
      <c r="CO304" s="346"/>
      <c r="CP304" s="346"/>
      <c r="CQ304" s="346"/>
      <c r="CR304" s="346"/>
      <c r="CS304" s="346"/>
      <c r="CT304" s="346"/>
      <c r="CU304" s="346"/>
      <c r="CV304" s="346"/>
      <c r="CW304" s="346"/>
      <c r="CX304" s="346"/>
      <c r="CY304" s="346"/>
      <c r="CZ304" s="346"/>
      <c r="DA304" s="346"/>
      <c r="DB304" s="346"/>
      <c r="DC304" s="346"/>
      <c r="DD304" s="346"/>
      <c r="DE304" s="346"/>
      <c r="DF304" s="346"/>
      <c r="DG304" s="346"/>
      <c r="DH304" s="346"/>
      <c r="DI304" s="346"/>
    </row>
    <row r="305" spans="1:113" x14ac:dyDescent="0.25">
      <c r="A305" s="152">
        <v>26</v>
      </c>
      <c r="B305" s="79" t="s">
        <v>432</v>
      </c>
      <c r="C305" s="80">
        <v>7000</v>
      </c>
      <c r="D305" s="142">
        <v>1955.38</v>
      </c>
      <c r="E305" s="43">
        <v>115</v>
      </c>
      <c r="F305" s="60"/>
      <c r="G305" s="139">
        <f t="shared" si="53"/>
        <v>115</v>
      </c>
      <c r="H305" s="55"/>
      <c r="I305" s="56">
        <f t="shared" si="54"/>
        <v>115</v>
      </c>
      <c r="J305" s="56">
        <f t="shared" si="55"/>
        <v>805000</v>
      </c>
      <c r="K305" s="57">
        <f t="shared" si="56"/>
        <v>224868.7</v>
      </c>
      <c r="L305"/>
      <c r="M305" s="314">
        <f t="shared" si="52"/>
        <v>147</v>
      </c>
      <c r="N305" s="310">
        <v>10</v>
      </c>
      <c r="O305" s="315">
        <v>5</v>
      </c>
      <c r="P305" s="315">
        <v>8</v>
      </c>
      <c r="Q305" s="315">
        <v>4</v>
      </c>
      <c r="R305" s="315">
        <v>50</v>
      </c>
      <c r="S305" s="55">
        <v>41</v>
      </c>
      <c r="T305" s="55">
        <v>14</v>
      </c>
      <c r="U305" s="55">
        <v>6</v>
      </c>
      <c r="V305" s="55">
        <v>9</v>
      </c>
      <c r="W305" s="55"/>
      <c r="X305" s="55"/>
      <c r="Y305" s="55"/>
      <c r="Z305" s="55"/>
      <c r="AA305" s="55"/>
      <c r="AB305" s="55"/>
      <c r="AC305" s="55"/>
      <c r="AD305" s="55"/>
      <c r="AE305" s="55"/>
      <c r="AF305" s="55"/>
      <c r="AG305" s="55"/>
      <c r="AH305" s="55"/>
      <c r="AI305" s="55"/>
      <c r="AJ305" s="55"/>
      <c r="AK305" s="55"/>
      <c r="AL305" s="55"/>
      <c r="AM305" s="55"/>
      <c r="AN305" s="55"/>
      <c r="AO305" s="55"/>
      <c r="AP305" s="55"/>
      <c r="AQ305" s="55"/>
      <c r="AR305" s="55"/>
      <c r="AS305" s="55"/>
      <c r="AT305" s="55"/>
      <c r="AU305" s="55"/>
      <c r="AV305" s="55"/>
      <c r="AW305" s="55"/>
      <c r="AX305" s="55"/>
      <c r="AY305" s="55"/>
      <c r="AZ305" s="55"/>
      <c r="BA305" s="55"/>
      <c r="BB305" s="55"/>
      <c r="BC305" s="55"/>
      <c r="BD305" s="55"/>
      <c r="BE305" s="55"/>
      <c r="BF305" s="55"/>
      <c r="BG305" s="55"/>
      <c r="BH305" s="55"/>
      <c r="BI305" s="55"/>
      <c r="BJ305" s="55"/>
      <c r="BK305" s="55"/>
      <c r="BL305" s="55"/>
      <c r="BM305" s="55"/>
      <c r="BN305" s="55"/>
      <c r="BO305" s="55"/>
      <c r="BP305" s="55"/>
      <c r="BQ305" s="55"/>
      <c r="BR305" s="55"/>
      <c r="BS305" s="55"/>
      <c r="BT305" s="55"/>
      <c r="BU305" s="55"/>
      <c r="BV305" s="55"/>
      <c r="BW305" s="55"/>
      <c r="BX305" s="55"/>
      <c r="BY305" s="55"/>
      <c r="BZ305" s="55"/>
      <c r="CA305" s="55"/>
      <c r="CB305" s="55"/>
      <c r="CC305" s="55"/>
      <c r="CD305" s="55"/>
      <c r="CE305" s="55"/>
      <c r="CF305" s="55"/>
      <c r="CG305" s="55"/>
      <c r="CH305" s="55"/>
      <c r="CI305" s="55"/>
      <c r="CJ305" s="55"/>
      <c r="CK305" s="55"/>
      <c r="CL305" s="55"/>
      <c r="CM305" s="55"/>
      <c r="CN305" s="55"/>
      <c r="CO305" s="55"/>
      <c r="CP305" s="55"/>
      <c r="CQ305" s="55"/>
      <c r="CR305" s="55"/>
      <c r="CS305" s="55"/>
      <c r="CT305" s="55"/>
      <c r="CU305" s="55"/>
      <c r="CV305" s="55"/>
      <c r="CW305" s="55"/>
      <c r="CX305" s="55"/>
      <c r="CY305" s="55"/>
      <c r="CZ305" s="55"/>
      <c r="DA305" s="55"/>
      <c r="DB305" s="55"/>
      <c r="DC305" s="55"/>
      <c r="DD305" s="55"/>
      <c r="DE305" s="55"/>
      <c r="DF305" s="55"/>
      <c r="DG305" s="55"/>
      <c r="DH305" s="55"/>
      <c r="DI305" s="55"/>
    </row>
    <row r="306" spans="1:113" x14ac:dyDescent="0.25">
      <c r="A306" s="380"/>
      <c r="B306" s="340"/>
      <c r="C306" s="341"/>
      <c r="D306" s="381"/>
      <c r="E306" s="344"/>
      <c r="F306" s="350"/>
      <c r="G306" s="356"/>
      <c r="H306" s="346"/>
      <c r="I306" s="345"/>
      <c r="J306" s="345"/>
      <c r="K306" s="347"/>
      <c r="L306"/>
      <c r="M306" s="348"/>
      <c r="N306" s="310" t="s">
        <v>1044</v>
      </c>
      <c r="O306" s="349" t="s">
        <v>1066</v>
      </c>
      <c r="P306" s="349" t="s">
        <v>1050</v>
      </c>
      <c r="Q306" s="349" t="s">
        <v>965</v>
      </c>
      <c r="R306" s="349" t="s">
        <v>1090</v>
      </c>
      <c r="S306" s="346" t="s">
        <v>1092</v>
      </c>
      <c r="T306" s="346" t="s">
        <v>1095</v>
      </c>
      <c r="U306" s="346" t="s">
        <v>1036</v>
      </c>
      <c r="V306" s="346" t="s">
        <v>1098</v>
      </c>
      <c r="W306" s="346"/>
      <c r="X306" s="346"/>
      <c r="Y306" s="346"/>
      <c r="Z306" s="346"/>
      <c r="AA306" s="346"/>
      <c r="AB306" s="346"/>
      <c r="AC306" s="346"/>
      <c r="AD306" s="346"/>
      <c r="AE306" s="346"/>
      <c r="AF306" s="346"/>
      <c r="AG306" s="346"/>
      <c r="AH306" s="346"/>
      <c r="AI306" s="346"/>
      <c r="AJ306" s="346"/>
      <c r="AK306" s="346"/>
      <c r="AL306" s="346"/>
      <c r="AM306" s="346"/>
      <c r="AN306" s="346"/>
      <c r="AO306" s="346"/>
      <c r="AP306" s="346"/>
      <c r="AQ306" s="346"/>
      <c r="AR306" s="346"/>
      <c r="AS306" s="346"/>
      <c r="AT306" s="346"/>
      <c r="AU306" s="346"/>
      <c r="AV306" s="346"/>
      <c r="AW306" s="346"/>
      <c r="AX306" s="346"/>
      <c r="AY306" s="346"/>
      <c r="AZ306" s="346"/>
      <c r="BA306" s="346"/>
      <c r="BB306" s="346"/>
      <c r="BC306" s="346"/>
      <c r="BD306" s="346"/>
      <c r="BE306" s="346"/>
      <c r="BF306" s="346"/>
      <c r="BG306" s="346"/>
      <c r="BH306" s="346"/>
      <c r="BI306" s="346"/>
      <c r="BJ306" s="346"/>
      <c r="BK306" s="346"/>
      <c r="BL306" s="346"/>
      <c r="BM306" s="346"/>
      <c r="BN306" s="346"/>
      <c r="BO306" s="346"/>
      <c r="BP306" s="346"/>
      <c r="BQ306" s="346"/>
      <c r="BR306" s="346"/>
      <c r="BS306" s="346"/>
      <c r="BT306" s="346"/>
      <c r="BU306" s="346"/>
      <c r="BV306" s="346"/>
      <c r="BW306" s="346"/>
      <c r="BX306" s="346"/>
      <c r="BY306" s="346"/>
      <c r="BZ306" s="346"/>
      <c r="CA306" s="346"/>
      <c r="CB306" s="346"/>
      <c r="CC306" s="346"/>
      <c r="CD306" s="346"/>
      <c r="CE306" s="346"/>
      <c r="CF306" s="346"/>
      <c r="CG306" s="346"/>
      <c r="CH306" s="346"/>
      <c r="CI306" s="346"/>
      <c r="CJ306" s="346"/>
      <c r="CK306" s="346"/>
      <c r="CL306" s="346"/>
      <c r="CM306" s="346"/>
      <c r="CN306" s="346"/>
      <c r="CO306" s="346"/>
      <c r="CP306" s="346"/>
      <c r="CQ306" s="346"/>
      <c r="CR306" s="346"/>
      <c r="CS306" s="346"/>
      <c r="CT306" s="346"/>
      <c r="CU306" s="346"/>
      <c r="CV306" s="346"/>
      <c r="CW306" s="346"/>
      <c r="CX306" s="346"/>
      <c r="CY306" s="346"/>
      <c r="CZ306" s="346"/>
      <c r="DA306" s="346"/>
      <c r="DB306" s="346"/>
      <c r="DC306" s="346"/>
      <c r="DD306" s="346"/>
      <c r="DE306" s="346"/>
      <c r="DF306" s="346"/>
      <c r="DG306" s="346"/>
      <c r="DH306" s="346"/>
      <c r="DI306" s="346"/>
    </row>
    <row r="307" spans="1:113" x14ac:dyDescent="0.25">
      <c r="A307" s="152">
        <v>27</v>
      </c>
      <c r="B307" s="79" t="s">
        <v>433</v>
      </c>
      <c r="C307" s="80">
        <v>12000</v>
      </c>
      <c r="D307" s="142">
        <v>2321.0700000000002</v>
      </c>
      <c r="E307" s="43">
        <v>75</v>
      </c>
      <c r="F307" s="60"/>
      <c r="G307" s="139">
        <f t="shared" si="53"/>
        <v>75</v>
      </c>
      <c r="H307" s="55"/>
      <c r="I307" s="56">
        <f t="shared" si="54"/>
        <v>75</v>
      </c>
      <c r="J307" s="56">
        <f t="shared" si="55"/>
        <v>900000</v>
      </c>
      <c r="K307" s="57">
        <f t="shared" si="56"/>
        <v>174080.25</v>
      </c>
      <c r="L307"/>
      <c r="M307" s="314">
        <f t="shared" si="52"/>
        <v>184</v>
      </c>
      <c r="N307" s="310">
        <v>50</v>
      </c>
      <c r="O307" s="315">
        <v>40</v>
      </c>
      <c r="P307" s="315">
        <v>46</v>
      </c>
      <c r="Q307" s="315">
        <v>8</v>
      </c>
      <c r="R307" s="315">
        <v>10</v>
      </c>
      <c r="S307" s="55">
        <v>2</v>
      </c>
      <c r="T307" s="55">
        <v>10</v>
      </c>
      <c r="U307" s="55">
        <v>4</v>
      </c>
      <c r="V307" s="55">
        <v>14</v>
      </c>
      <c r="W307" s="55"/>
      <c r="X307" s="55"/>
      <c r="Y307" s="55"/>
      <c r="Z307" s="55"/>
      <c r="AA307" s="55"/>
      <c r="AB307" s="55"/>
      <c r="AC307" s="55"/>
      <c r="AD307" s="55"/>
      <c r="AE307" s="55"/>
      <c r="AF307" s="55"/>
      <c r="AG307" s="55"/>
      <c r="AH307" s="55"/>
      <c r="AI307" s="55"/>
      <c r="AJ307" s="55"/>
      <c r="AK307" s="55"/>
      <c r="AL307" s="55"/>
      <c r="AM307" s="55"/>
      <c r="AN307" s="55"/>
      <c r="AO307" s="55"/>
      <c r="AP307" s="55"/>
      <c r="AQ307" s="55"/>
      <c r="AR307" s="55"/>
      <c r="AS307" s="55"/>
      <c r="AT307" s="55"/>
      <c r="AU307" s="55"/>
      <c r="AV307" s="55"/>
      <c r="AW307" s="55"/>
      <c r="AX307" s="55"/>
      <c r="AY307" s="55"/>
      <c r="AZ307" s="55"/>
      <c r="BA307" s="55"/>
      <c r="BB307" s="55"/>
      <c r="BC307" s="55"/>
      <c r="BD307" s="55"/>
      <c r="BE307" s="55"/>
      <c r="BF307" s="55"/>
      <c r="BG307" s="55"/>
      <c r="BH307" s="55"/>
      <c r="BI307" s="55"/>
      <c r="BJ307" s="55"/>
      <c r="BK307" s="55"/>
      <c r="BL307" s="55"/>
      <c r="BM307" s="55"/>
      <c r="BN307" s="55"/>
      <c r="BO307" s="55"/>
      <c r="BP307" s="55"/>
      <c r="BQ307" s="55"/>
      <c r="BR307" s="55"/>
      <c r="BS307" s="55"/>
      <c r="BT307" s="55"/>
      <c r="BU307" s="55"/>
      <c r="BV307" s="55"/>
      <c r="BW307" s="55"/>
      <c r="BX307" s="55"/>
      <c r="BY307" s="55"/>
      <c r="BZ307" s="55"/>
      <c r="CA307" s="55"/>
      <c r="CB307" s="55"/>
      <c r="CC307" s="55"/>
      <c r="CD307" s="55"/>
      <c r="CE307" s="55"/>
      <c r="CF307" s="55"/>
      <c r="CG307" s="55"/>
      <c r="CH307" s="55"/>
      <c r="CI307" s="55"/>
      <c r="CJ307" s="55"/>
      <c r="CK307" s="55"/>
      <c r="CL307" s="55"/>
      <c r="CM307" s="55"/>
      <c r="CN307" s="55"/>
      <c r="CO307" s="55"/>
      <c r="CP307" s="55"/>
      <c r="CQ307" s="55"/>
      <c r="CR307" s="55"/>
      <c r="CS307" s="55"/>
      <c r="CT307" s="55"/>
      <c r="CU307" s="55"/>
      <c r="CV307" s="55"/>
      <c r="CW307" s="55"/>
      <c r="CX307" s="55"/>
      <c r="CY307" s="55"/>
      <c r="CZ307" s="55"/>
      <c r="DA307" s="55"/>
      <c r="DB307" s="55"/>
      <c r="DC307" s="55"/>
      <c r="DD307" s="55"/>
      <c r="DE307" s="55"/>
      <c r="DF307" s="55"/>
      <c r="DG307" s="55"/>
      <c r="DH307" s="55"/>
      <c r="DI307" s="55"/>
    </row>
    <row r="308" spans="1:113" x14ac:dyDescent="0.25">
      <c r="A308" s="152">
        <v>28</v>
      </c>
      <c r="B308" s="79" t="s">
        <v>434</v>
      </c>
      <c r="C308" s="80">
        <v>11000</v>
      </c>
      <c r="D308" s="142">
        <f>495+98.95+(1416.8/8)</f>
        <v>771.05000000000007</v>
      </c>
      <c r="E308" s="43">
        <v>630</v>
      </c>
      <c r="F308" s="60"/>
      <c r="G308" s="139">
        <f t="shared" si="53"/>
        <v>630</v>
      </c>
      <c r="H308" s="55"/>
      <c r="I308" s="56">
        <f t="shared" si="54"/>
        <v>630</v>
      </c>
      <c r="J308" s="56">
        <f t="shared" si="55"/>
        <v>6930000</v>
      </c>
      <c r="K308" s="57">
        <f t="shared" si="56"/>
        <v>485761.50000000006</v>
      </c>
      <c r="L308"/>
      <c r="M308" s="314">
        <f t="shared" si="52"/>
        <v>0</v>
      </c>
      <c r="N308" s="310"/>
      <c r="O308" s="315"/>
      <c r="P308" s="315"/>
      <c r="Q308" s="315"/>
      <c r="R308" s="315"/>
      <c r="S308" s="55"/>
      <c r="T308" s="55"/>
      <c r="U308" s="55"/>
      <c r="V308" s="55"/>
      <c r="W308" s="55"/>
      <c r="X308" s="55"/>
      <c r="Y308" s="55"/>
      <c r="Z308" s="55"/>
      <c r="AA308" s="55"/>
      <c r="AB308" s="55"/>
      <c r="AC308" s="55"/>
      <c r="AD308" s="55"/>
      <c r="AE308" s="55"/>
      <c r="AF308" s="55"/>
      <c r="AG308" s="55"/>
      <c r="AH308" s="55"/>
      <c r="AI308" s="55"/>
      <c r="AJ308" s="55"/>
      <c r="AK308" s="55"/>
      <c r="AL308" s="55"/>
      <c r="AM308" s="55"/>
      <c r="AN308" s="55"/>
      <c r="AO308" s="55"/>
      <c r="AP308" s="55"/>
      <c r="AQ308" s="55"/>
      <c r="AR308" s="55"/>
      <c r="AS308" s="55"/>
      <c r="AT308" s="55"/>
      <c r="AU308" s="55"/>
      <c r="AV308" s="55"/>
      <c r="AW308" s="55"/>
      <c r="AX308" s="55"/>
      <c r="AY308" s="55"/>
      <c r="AZ308" s="55"/>
      <c r="BA308" s="55"/>
      <c r="BB308" s="55"/>
      <c r="BC308" s="55"/>
      <c r="BD308" s="55"/>
      <c r="BE308" s="55"/>
      <c r="BF308" s="55"/>
      <c r="BG308" s="55"/>
      <c r="BH308" s="55"/>
      <c r="BI308" s="55"/>
      <c r="BJ308" s="55"/>
      <c r="BK308" s="55"/>
      <c r="BL308" s="55"/>
      <c r="BM308" s="55"/>
      <c r="BN308" s="55"/>
      <c r="BO308" s="55"/>
      <c r="BP308" s="55"/>
      <c r="BQ308" s="55"/>
      <c r="BR308" s="55"/>
      <c r="BS308" s="55"/>
      <c r="BT308" s="55"/>
      <c r="BU308" s="55"/>
      <c r="BV308" s="55"/>
      <c r="BW308" s="55"/>
      <c r="BX308" s="55"/>
      <c r="BY308" s="55"/>
      <c r="BZ308" s="55"/>
      <c r="CA308" s="55"/>
      <c r="CB308" s="55"/>
      <c r="CC308" s="55"/>
      <c r="CD308" s="55"/>
      <c r="CE308" s="55"/>
      <c r="CF308" s="55"/>
      <c r="CG308" s="55"/>
      <c r="CH308" s="55"/>
      <c r="CI308" s="55"/>
      <c r="CJ308" s="55"/>
      <c r="CK308" s="55"/>
      <c r="CL308" s="55"/>
      <c r="CM308" s="55"/>
      <c r="CN308" s="55"/>
      <c r="CO308" s="55"/>
      <c r="CP308" s="55"/>
      <c r="CQ308" s="55"/>
      <c r="CR308" s="55"/>
      <c r="CS308" s="55"/>
      <c r="CT308" s="55"/>
      <c r="CU308" s="55"/>
      <c r="CV308" s="55"/>
      <c r="CW308" s="55"/>
      <c r="CX308" s="55"/>
      <c r="CY308" s="55"/>
      <c r="CZ308" s="55"/>
      <c r="DA308" s="55"/>
      <c r="DB308" s="55"/>
      <c r="DC308" s="55"/>
      <c r="DD308" s="55"/>
      <c r="DE308" s="55"/>
      <c r="DF308" s="55"/>
      <c r="DG308" s="55"/>
      <c r="DH308" s="55"/>
      <c r="DI308" s="55"/>
    </row>
    <row r="309" spans="1:113" x14ac:dyDescent="0.25">
      <c r="A309" s="152">
        <v>29</v>
      </c>
      <c r="B309" s="79" t="s">
        <v>435</v>
      </c>
      <c r="C309" s="80">
        <v>11000</v>
      </c>
      <c r="D309" s="142">
        <f>495+98.95+(1416.8/8)</f>
        <v>771.05000000000007</v>
      </c>
      <c r="E309" s="43">
        <v>626</v>
      </c>
      <c r="F309" s="60"/>
      <c r="G309" s="139">
        <f t="shared" si="53"/>
        <v>626</v>
      </c>
      <c r="H309" s="55"/>
      <c r="I309" s="56">
        <f t="shared" si="54"/>
        <v>626</v>
      </c>
      <c r="J309" s="56">
        <f t="shared" si="55"/>
        <v>6886000</v>
      </c>
      <c r="K309" s="57">
        <f t="shared" si="56"/>
        <v>482677.30000000005</v>
      </c>
      <c r="L309"/>
      <c r="M309" s="314">
        <f t="shared" si="52"/>
        <v>0</v>
      </c>
      <c r="N309" s="310"/>
      <c r="O309" s="315"/>
      <c r="P309" s="315"/>
      <c r="Q309" s="315"/>
      <c r="R309" s="315"/>
      <c r="S309" s="55"/>
      <c r="T309" s="55"/>
      <c r="U309" s="55"/>
      <c r="V309" s="55"/>
      <c r="W309" s="55"/>
      <c r="X309" s="55"/>
      <c r="Y309" s="55"/>
      <c r="Z309" s="55"/>
      <c r="AA309" s="55"/>
      <c r="AB309" s="55"/>
      <c r="AC309" s="55"/>
      <c r="AD309" s="55"/>
      <c r="AE309" s="55"/>
      <c r="AF309" s="55"/>
      <c r="AG309" s="55"/>
      <c r="AH309" s="55"/>
      <c r="AI309" s="55"/>
      <c r="AJ309" s="55"/>
      <c r="AK309" s="55"/>
      <c r="AL309" s="55"/>
      <c r="AM309" s="55"/>
      <c r="AN309" s="55"/>
      <c r="AO309" s="55"/>
      <c r="AP309" s="55"/>
      <c r="AQ309" s="55"/>
      <c r="AR309" s="55"/>
      <c r="AS309" s="55"/>
      <c r="AT309" s="55"/>
      <c r="AU309" s="55"/>
      <c r="AV309" s="55"/>
      <c r="AW309" s="55"/>
      <c r="AX309" s="55"/>
      <c r="AY309" s="55"/>
      <c r="AZ309" s="55"/>
      <c r="BA309" s="55"/>
      <c r="BB309" s="55"/>
      <c r="BC309" s="55"/>
      <c r="BD309" s="55"/>
      <c r="BE309" s="55"/>
      <c r="BF309" s="55"/>
      <c r="BG309" s="55"/>
      <c r="BH309" s="55"/>
      <c r="BI309" s="55"/>
      <c r="BJ309" s="55"/>
      <c r="BK309" s="55"/>
      <c r="BL309" s="55"/>
      <c r="BM309" s="55"/>
      <c r="BN309" s="55"/>
      <c r="BO309" s="55"/>
      <c r="BP309" s="55"/>
      <c r="BQ309" s="55"/>
      <c r="BR309" s="55"/>
      <c r="BS309" s="55"/>
      <c r="BT309" s="55"/>
      <c r="BU309" s="55"/>
      <c r="BV309" s="55"/>
      <c r="BW309" s="55"/>
      <c r="BX309" s="55"/>
      <c r="BY309" s="55"/>
      <c r="BZ309" s="55"/>
      <c r="CA309" s="55"/>
      <c r="CB309" s="55"/>
      <c r="CC309" s="55"/>
      <c r="CD309" s="55"/>
      <c r="CE309" s="55"/>
      <c r="CF309" s="55"/>
      <c r="CG309" s="55"/>
      <c r="CH309" s="55"/>
      <c r="CI309" s="55"/>
      <c r="CJ309" s="55"/>
      <c r="CK309" s="55"/>
      <c r="CL309" s="55"/>
      <c r="CM309" s="55"/>
      <c r="CN309" s="55"/>
      <c r="CO309" s="55"/>
      <c r="CP309" s="55"/>
      <c r="CQ309" s="55"/>
      <c r="CR309" s="55"/>
      <c r="CS309" s="55"/>
      <c r="CT309" s="55"/>
      <c r="CU309" s="55"/>
      <c r="CV309" s="55"/>
      <c r="CW309" s="55"/>
      <c r="CX309" s="55"/>
      <c r="CY309" s="55"/>
      <c r="CZ309" s="55"/>
      <c r="DA309" s="55"/>
      <c r="DB309" s="55"/>
      <c r="DC309" s="55"/>
      <c r="DD309" s="55"/>
      <c r="DE309" s="55"/>
      <c r="DF309" s="55"/>
      <c r="DG309" s="55"/>
      <c r="DH309" s="55"/>
      <c r="DI309" s="55"/>
    </row>
    <row r="310" spans="1:113" x14ac:dyDescent="0.25">
      <c r="A310" s="152">
        <v>30</v>
      </c>
      <c r="B310" s="79" t="s">
        <v>436</v>
      </c>
      <c r="C310" s="80">
        <v>11000</v>
      </c>
      <c r="D310" s="142">
        <f>495+98.95+(1416.8/8)</f>
        <v>771.05000000000007</v>
      </c>
      <c r="E310" s="43">
        <v>631</v>
      </c>
      <c r="F310" s="60"/>
      <c r="G310" s="139">
        <f t="shared" si="53"/>
        <v>631</v>
      </c>
      <c r="H310" s="55"/>
      <c r="I310" s="56">
        <f t="shared" si="54"/>
        <v>631</v>
      </c>
      <c r="J310" s="56">
        <f t="shared" si="55"/>
        <v>6941000</v>
      </c>
      <c r="K310" s="57">
        <f t="shared" si="56"/>
        <v>486532.55000000005</v>
      </c>
      <c r="L310"/>
      <c r="M310" s="314">
        <f t="shared" si="52"/>
        <v>0</v>
      </c>
      <c r="N310" s="310"/>
      <c r="O310" s="315"/>
      <c r="P310" s="315"/>
      <c r="Q310" s="315"/>
      <c r="R310" s="315"/>
      <c r="S310" s="55"/>
      <c r="T310" s="55"/>
      <c r="U310" s="55"/>
      <c r="V310" s="55"/>
      <c r="W310" s="55"/>
      <c r="X310" s="55"/>
      <c r="Y310" s="55"/>
      <c r="Z310" s="55"/>
      <c r="AA310" s="55"/>
      <c r="AB310" s="55"/>
      <c r="AC310" s="55"/>
      <c r="AD310" s="55"/>
      <c r="AE310" s="55"/>
      <c r="AF310" s="55"/>
      <c r="AG310" s="55"/>
      <c r="AH310" s="55"/>
      <c r="AI310" s="55"/>
      <c r="AJ310" s="55"/>
      <c r="AK310" s="55"/>
      <c r="AL310" s="55"/>
      <c r="AM310" s="55"/>
      <c r="AN310" s="55"/>
      <c r="AO310" s="55"/>
      <c r="AP310" s="55"/>
      <c r="AQ310" s="55"/>
      <c r="AR310" s="55"/>
      <c r="AS310" s="55"/>
      <c r="AT310" s="55"/>
      <c r="AU310" s="55"/>
      <c r="AV310" s="55"/>
      <c r="AW310" s="55"/>
      <c r="AX310" s="55"/>
      <c r="AY310" s="55"/>
      <c r="AZ310" s="55"/>
      <c r="BA310" s="55"/>
      <c r="BB310" s="55"/>
      <c r="BC310" s="55"/>
      <c r="BD310" s="55"/>
      <c r="BE310" s="55"/>
      <c r="BF310" s="55"/>
      <c r="BG310" s="55"/>
      <c r="BH310" s="55"/>
      <c r="BI310" s="55"/>
      <c r="BJ310" s="55"/>
      <c r="BK310" s="55"/>
      <c r="BL310" s="55"/>
      <c r="BM310" s="55"/>
      <c r="BN310" s="55"/>
      <c r="BO310" s="55"/>
      <c r="BP310" s="55"/>
      <c r="BQ310" s="55"/>
      <c r="BR310" s="55"/>
      <c r="BS310" s="55"/>
      <c r="BT310" s="55"/>
      <c r="BU310" s="55"/>
      <c r="BV310" s="55"/>
      <c r="BW310" s="55"/>
      <c r="BX310" s="55"/>
      <c r="BY310" s="55"/>
      <c r="BZ310" s="55"/>
      <c r="CA310" s="55"/>
      <c r="CB310" s="55"/>
      <c r="CC310" s="55"/>
      <c r="CD310" s="55"/>
      <c r="CE310" s="55"/>
      <c r="CF310" s="55"/>
      <c r="CG310" s="55"/>
      <c r="CH310" s="55"/>
      <c r="CI310" s="55"/>
      <c r="CJ310" s="55"/>
      <c r="CK310" s="55"/>
      <c r="CL310" s="55"/>
      <c r="CM310" s="55"/>
      <c r="CN310" s="55"/>
      <c r="CO310" s="55"/>
      <c r="CP310" s="55"/>
      <c r="CQ310" s="55"/>
      <c r="CR310" s="55"/>
      <c r="CS310" s="55"/>
      <c r="CT310" s="55"/>
      <c r="CU310" s="55"/>
      <c r="CV310" s="55"/>
      <c r="CW310" s="55"/>
      <c r="CX310" s="55"/>
      <c r="CY310" s="55"/>
      <c r="CZ310" s="55"/>
      <c r="DA310" s="55"/>
      <c r="DB310" s="55"/>
      <c r="DC310" s="55"/>
      <c r="DD310" s="55"/>
      <c r="DE310" s="55"/>
      <c r="DF310" s="55"/>
      <c r="DG310" s="55"/>
      <c r="DH310" s="55"/>
      <c r="DI310" s="55"/>
    </row>
    <row r="311" spans="1:113" x14ac:dyDescent="0.25">
      <c r="A311" s="152">
        <v>31</v>
      </c>
      <c r="B311" s="79" t="s">
        <v>437</v>
      </c>
      <c r="C311" s="80">
        <v>5000</v>
      </c>
      <c r="D311" s="142">
        <v>2377.3200000000002</v>
      </c>
      <c r="E311" s="43">
        <v>250</v>
      </c>
      <c r="F311" s="60"/>
      <c r="G311" s="139">
        <f t="shared" si="53"/>
        <v>250</v>
      </c>
      <c r="H311" s="55"/>
      <c r="I311" s="56">
        <f t="shared" si="54"/>
        <v>250</v>
      </c>
      <c r="J311" s="56">
        <f t="shared" si="55"/>
        <v>1250000</v>
      </c>
      <c r="K311" s="57">
        <f t="shared" si="56"/>
        <v>594330</v>
      </c>
      <c r="L311"/>
      <c r="M311" s="314">
        <f t="shared" si="52"/>
        <v>0</v>
      </c>
      <c r="N311" s="310"/>
      <c r="O311" s="315"/>
      <c r="P311" s="315"/>
      <c r="Q311" s="315"/>
      <c r="R311" s="315"/>
      <c r="S311" s="55"/>
      <c r="T311" s="55"/>
      <c r="U311" s="55"/>
      <c r="V311" s="55"/>
      <c r="W311" s="55"/>
      <c r="X311" s="55"/>
      <c r="Y311" s="55"/>
      <c r="Z311" s="55"/>
      <c r="AA311" s="55"/>
      <c r="AB311" s="55"/>
      <c r="AC311" s="55"/>
      <c r="AD311" s="55"/>
      <c r="AE311" s="55"/>
      <c r="AF311" s="55"/>
      <c r="AG311" s="55"/>
      <c r="AH311" s="55"/>
      <c r="AI311" s="55"/>
      <c r="AJ311" s="55"/>
      <c r="AK311" s="55"/>
      <c r="AL311" s="55"/>
      <c r="AM311" s="55"/>
      <c r="AN311" s="55"/>
      <c r="AO311" s="55"/>
      <c r="AP311" s="55"/>
      <c r="AQ311" s="55"/>
      <c r="AR311" s="55"/>
      <c r="AS311" s="55"/>
      <c r="AT311" s="55"/>
      <c r="AU311" s="55"/>
      <c r="AV311" s="55"/>
      <c r="AW311" s="55"/>
      <c r="AX311" s="55"/>
      <c r="AY311" s="55"/>
      <c r="AZ311" s="55"/>
      <c r="BA311" s="55"/>
      <c r="BB311" s="55"/>
      <c r="BC311" s="55"/>
      <c r="BD311" s="55"/>
      <c r="BE311" s="55"/>
      <c r="BF311" s="55"/>
      <c r="BG311" s="55"/>
      <c r="BH311" s="55"/>
      <c r="BI311" s="55"/>
      <c r="BJ311" s="55"/>
      <c r="BK311" s="55"/>
      <c r="BL311" s="55"/>
      <c r="BM311" s="55"/>
      <c r="BN311" s="55"/>
      <c r="BO311" s="55"/>
      <c r="BP311" s="55"/>
      <c r="BQ311" s="55"/>
      <c r="BR311" s="55"/>
      <c r="BS311" s="55"/>
      <c r="BT311" s="55"/>
      <c r="BU311" s="55"/>
      <c r="BV311" s="55"/>
      <c r="BW311" s="55"/>
      <c r="BX311" s="55"/>
      <c r="BY311" s="55"/>
      <c r="BZ311" s="55"/>
      <c r="CA311" s="55"/>
      <c r="CB311" s="55"/>
      <c r="CC311" s="55"/>
      <c r="CD311" s="55"/>
      <c r="CE311" s="55"/>
      <c r="CF311" s="55"/>
      <c r="CG311" s="55"/>
      <c r="CH311" s="55"/>
      <c r="CI311" s="55"/>
      <c r="CJ311" s="55"/>
      <c r="CK311" s="55"/>
      <c r="CL311" s="55"/>
      <c r="CM311" s="55"/>
      <c r="CN311" s="55"/>
      <c r="CO311" s="55"/>
      <c r="CP311" s="55"/>
      <c r="CQ311" s="55"/>
      <c r="CR311" s="55"/>
      <c r="CS311" s="55"/>
      <c r="CT311" s="55"/>
      <c r="CU311" s="55"/>
      <c r="CV311" s="55"/>
      <c r="CW311" s="55"/>
      <c r="CX311" s="55"/>
      <c r="CY311" s="55"/>
      <c r="CZ311" s="55"/>
      <c r="DA311" s="55"/>
      <c r="DB311" s="55"/>
      <c r="DC311" s="55"/>
      <c r="DD311" s="55"/>
      <c r="DE311" s="55"/>
      <c r="DF311" s="55"/>
      <c r="DG311" s="55"/>
      <c r="DH311" s="55"/>
      <c r="DI311" s="55"/>
    </row>
    <row r="312" spans="1:113" x14ac:dyDescent="0.25">
      <c r="A312" s="152">
        <v>32</v>
      </c>
      <c r="B312" s="79" t="s">
        <v>438</v>
      </c>
      <c r="C312" s="80">
        <v>5000</v>
      </c>
      <c r="D312" s="142">
        <v>2377.3200000000002</v>
      </c>
      <c r="E312" s="43">
        <v>42</v>
      </c>
      <c r="F312" s="60"/>
      <c r="G312" s="139">
        <f t="shared" si="53"/>
        <v>42</v>
      </c>
      <c r="H312" s="55"/>
      <c r="I312" s="56">
        <f t="shared" si="54"/>
        <v>42</v>
      </c>
      <c r="J312" s="56">
        <f t="shared" si="55"/>
        <v>210000</v>
      </c>
      <c r="K312" s="57">
        <f t="shared" si="56"/>
        <v>99847.44</v>
      </c>
      <c r="L312"/>
      <c r="M312" s="314">
        <f t="shared" si="52"/>
        <v>0</v>
      </c>
      <c r="N312" s="310"/>
      <c r="O312" s="315"/>
      <c r="P312" s="315"/>
      <c r="Q312" s="315"/>
      <c r="R312" s="315"/>
      <c r="S312" s="55"/>
      <c r="T312" s="55"/>
      <c r="U312" s="55"/>
      <c r="V312" s="55"/>
      <c r="W312" s="55"/>
      <c r="X312" s="55"/>
      <c r="Y312" s="55"/>
      <c r="Z312" s="55"/>
      <c r="AA312" s="55"/>
      <c r="AB312" s="55"/>
      <c r="AC312" s="55"/>
      <c r="AD312" s="55"/>
      <c r="AE312" s="55"/>
      <c r="AF312" s="55"/>
      <c r="AG312" s="55"/>
      <c r="AH312" s="55"/>
      <c r="AI312" s="55"/>
      <c r="AJ312" s="55"/>
      <c r="AK312" s="55"/>
      <c r="AL312" s="55"/>
      <c r="AM312" s="55"/>
      <c r="AN312" s="55"/>
      <c r="AO312" s="55"/>
      <c r="AP312" s="55"/>
      <c r="AQ312" s="55"/>
      <c r="AR312" s="55"/>
      <c r="AS312" s="55"/>
      <c r="AT312" s="55"/>
      <c r="AU312" s="55"/>
      <c r="AV312" s="55"/>
      <c r="AW312" s="55"/>
      <c r="AX312" s="55"/>
      <c r="AY312" s="55"/>
      <c r="AZ312" s="55"/>
      <c r="BA312" s="55"/>
      <c r="BB312" s="55"/>
      <c r="BC312" s="55"/>
      <c r="BD312" s="55"/>
      <c r="BE312" s="55"/>
      <c r="BF312" s="55"/>
      <c r="BG312" s="55"/>
      <c r="BH312" s="55"/>
      <c r="BI312" s="55"/>
      <c r="BJ312" s="55"/>
      <c r="BK312" s="55"/>
      <c r="BL312" s="55"/>
      <c r="BM312" s="55"/>
      <c r="BN312" s="55"/>
      <c r="BO312" s="55"/>
      <c r="BP312" s="55"/>
      <c r="BQ312" s="55"/>
      <c r="BR312" s="55"/>
      <c r="BS312" s="55"/>
      <c r="BT312" s="55"/>
      <c r="BU312" s="55"/>
      <c r="BV312" s="55"/>
      <c r="BW312" s="55"/>
      <c r="BX312" s="55"/>
      <c r="BY312" s="55"/>
      <c r="BZ312" s="55"/>
      <c r="CA312" s="55"/>
      <c r="CB312" s="55"/>
      <c r="CC312" s="55"/>
      <c r="CD312" s="55"/>
      <c r="CE312" s="55"/>
      <c r="CF312" s="55"/>
      <c r="CG312" s="55"/>
      <c r="CH312" s="55"/>
      <c r="CI312" s="55"/>
      <c r="CJ312" s="55"/>
      <c r="CK312" s="55"/>
      <c r="CL312" s="55"/>
      <c r="CM312" s="55"/>
      <c r="CN312" s="55"/>
      <c r="CO312" s="55"/>
      <c r="CP312" s="55"/>
      <c r="CQ312" s="55"/>
      <c r="CR312" s="55"/>
      <c r="CS312" s="55"/>
      <c r="CT312" s="55"/>
      <c r="CU312" s="55"/>
      <c r="CV312" s="55"/>
      <c r="CW312" s="55"/>
      <c r="CX312" s="55"/>
      <c r="CY312" s="55"/>
      <c r="CZ312" s="55"/>
      <c r="DA312" s="55"/>
      <c r="DB312" s="55"/>
      <c r="DC312" s="55"/>
      <c r="DD312" s="55"/>
      <c r="DE312" s="55"/>
      <c r="DF312" s="55"/>
      <c r="DG312" s="55"/>
      <c r="DH312" s="55"/>
      <c r="DI312" s="55"/>
    </row>
    <row r="313" spans="1:113" x14ac:dyDescent="0.25">
      <c r="A313" s="380"/>
      <c r="B313" s="340"/>
      <c r="C313" s="341"/>
      <c r="D313" s="381"/>
      <c r="E313" s="344"/>
      <c r="F313" s="350"/>
      <c r="G313" s="356"/>
      <c r="H313" s="346"/>
      <c r="I313" s="345"/>
      <c r="J313" s="345"/>
      <c r="K313" s="347"/>
      <c r="L313"/>
      <c r="M313" s="348"/>
      <c r="N313" s="310" t="s">
        <v>1100</v>
      </c>
      <c r="O313" s="310" t="s">
        <v>1100</v>
      </c>
      <c r="P313" s="310" t="s">
        <v>1100</v>
      </c>
      <c r="Q313" s="310" t="s">
        <v>1100</v>
      </c>
      <c r="R313" s="349" t="s">
        <v>1092</v>
      </c>
      <c r="S313" s="346" t="s">
        <v>1088</v>
      </c>
      <c r="T313" s="346" t="s">
        <v>1095</v>
      </c>
      <c r="U313" s="346" t="s">
        <v>1066</v>
      </c>
      <c r="V313" s="346" t="s">
        <v>965</v>
      </c>
      <c r="W313" s="346" t="s">
        <v>1036</v>
      </c>
      <c r="X313" s="346" t="s">
        <v>1057</v>
      </c>
      <c r="Y313" s="346" t="s">
        <v>1096</v>
      </c>
      <c r="Z313" s="346" t="s">
        <v>1090</v>
      </c>
      <c r="AA313" s="346"/>
      <c r="AB313" s="346"/>
      <c r="AC313" s="346"/>
      <c r="AD313" s="346"/>
      <c r="AE313" s="346"/>
      <c r="AF313" s="346"/>
      <c r="AG313" s="346"/>
      <c r="AH313" s="346"/>
      <c r="AI313" s="346"/>
      <c r="AJ313" s="346"/>
      <c r="AK313" s="346"/>
      <c r="AL313" s="346"/>
      <c r="AM313" s="346"/>
      <c r="AN313" s="346"/>
      <c r="AO313" s="346"/>
      <c r="AP313" s="346"/>
      <c r="AQ313" s="346"/>
      <c r="AR313" s="346"/>
      <c r="AS313" s="346"/>
      <c r="AT313" s="346"/>
      <c r="AU313" s="346"/>
      <c r="AV313" s="346"/>
      <c r="AW313" s="346"/>
      <c r="AX313" s="346"/>
      <c r="AY313" s="346"/>
      <c r="AZ313" s="346"/>
      <c r="BA313" s="346"/>
      <c r="BB313" s="346"/>
      <c r="BC313" s="346"/>
      <c r="BD313" s="346"/>
      <c r="BE313" s="346"/>
      <c r="BF313" s="346"/>
      <c r="BG313" s="346"/>
      <c r="BH313" s="346"/>
      <c r="BI313" s="346"/>
      <c r="BJ313" s="346"/>
      <c r="BK313" s="346"/>
      <c r="BL313" s="346"/>
      <c r="BM313" s="346"/>
      <c r="BN313" s="346"/>
      <c r="BO313" s="346"/>
      <c r="BP313" s="346"/>
      <c r="BQ313" s="346"/>
      <c r="BR313" s="346"/>
      <c r="BS313" s="346"/>
      <c r="BT313" s="346"/>
      <c r="BU313" s="346"/>
      <c r="BV313" s="346"/>
      <c r="BW313" s="346"/>
      <c r="BX313" s="346"/>
      <c r="BY313" s="346"/>
      <c r="BZ313" s="346"/>
      <c r="CA313" s="346"/>
      <c r="CB313" s="346"/>
      <c r="CC313" s="346"/>
      <c r="CD313" s="346"/>
      <c r="CE313" s="346"/>
      <c r="CF313" s="346"/>
      <c r="CG313" s="346"/>
      <c r="CH313" s="346"/>
      <c r="CI313" s="346"/>
      <c r="CJ313" s="346"/>
      <c r="CK313" s="346"/>
      <c r="CL313" s="346"/>
      <c r="CM313" s="346"/>
      <c r="CN313" s="346"/>
      <c r="CO313" s="346"/>
      <c r="CP313" s="346"/>
      <c r="CQ313" s="346"/>
      <c r="CR313" s="346"/>
      <c r="CS313" s="346"/>
      <c r="CT313" s="346"/>
      <c r="CU313" s="346"/>
      <c r="CV313" s="346"/>
      <c r="CW313" s="346"/>
      <c r="CX313" s="346"/>
      <c r="CY313" s="346"/>
      <c r="CZ313" s="346"/>
      <c r="DA313" s="346"/>
      <c r="DB313" s="346"/>
      <c r="DC313" s="346"/>
      <c r="DD313" s="346"/>
      <c r="DE313" s="346"/>
      <c r="DF313" s="346"/>
      <c r="DG313" s="346"/>
      <c r="DH313" s="346"/>
      <c r="DI313" s="346"/>
    </row>
    <row r="314" spans="1:113" x14ac:dyDescent="0.25">
      <c r="A314" s="152"/>
      <c r="B314" s="79" t="s">
        <v>1099</v>
      </c>
      <c r="C314" s="80">
        <v>14500</v>
      </c>
      <c r="D314" s="142">
        <v>2377.3200000000002</v>
      </c>
      <c r="E314" s="43">
        <v>42</v>
      </c>
      <c r="F314" s="60"/>
      <c r="G314" s="139">
        <f t="shared" ref="G314:G315" si="57">+E314+F314</f>
        <v>42</v>
      </c>
      <c r="H314" s="55"/>
      <c r="I314" s="56">
        <f t="shared" ref="I314:I315" si="58">+G314-H314</f>
        <v>42</v>
      </c>
      <c r="J314" s="56">
        <f t="shared" ref="J314:J315" si="59">I314*C314</f>
        <v>609000</v>
      </c>
      <c r="K314" s="57">
        <f t="shared" ref="K314:K315" si="60">+D314*I314</f>
        <v>99847.44</v>
      </c>
      <c r="L314"/>
      <c r="M314" s="314">
        <f t="shared" ref="M314" si="61">SUM(N314:DJ314)</f>
        <v>503</v>
      </c>
      <c r="N314" s="310">
        <v>100</v>
      </c>
      <c r="O314" s="315">
        <v>100</v>
      </c>
      <c r="P314" s="315">
        <v>100</v>
      </c>
      <c r="Q314" s="315">
        <v>29</v>
      </c>
      <c r="R314" s="315">
        <v>14</v>
      </c>
      <c r="S314" s="55">
        <v>20</v>
      </c>
      <c r="T314" s="55">
        <v>23</v>
      </c>
      <c r="U314" s="55">
        <v>42</v>
      </c>
      <c r="V314" s="55">
        <v>10</v>
      </c>
      <c r="W314" s="55">
        <v>24</v>
      </c>
      <c r="X314" s="55">
        <v>25</v>
      </c>
      <c r="Y314" s="55">
        <v>11</v>
      </c>
      <c r="Z314" s="55">
        <v>5</v>
      </c>
      <c r="AA314" s="55"/>
      <c r="AB314" s="55"/>
      <c r="AC314" s="55"/>
      <c r="AD314" s="55"/>
      <c r="AE314" s="55"/>
      <c r="AF314" s="55"/>
      <c r="AG314" s="55"/>
      <c r="AH314" s="55"/>
      <c r="AI314" s="55"/>
      <c r="AJ314" s="55"/>
      <c r="AK314" s="55"/>
      <c r="AL314" s="55"/>
      <c r="AM314" s="55"/>
      <c r="AN314" s="55"/>
      <c r="AO314" s="55"/>
      <c r="AP314" s="55"/>
      <c r="AQ314" s="55"/>
      <c r="AR314" s="55"/>
      <c r="AS314" s="55"/>
      <c r="AT314" s="55"/>
      <c r="AU314" s="55"/>
      <c r="AV314" s="55"/>
      <c r="AW314" s="55"/>
      <c r="AX314" s="55"/>
      <c r="AY314" s="55"/>
      <c r="AZ314" s="55"/>
      <c r="BA314" s="55"/>
      <c r="BB314" s="55"/>
      <c r="BC314" s="55"/>
      <c r="BD314" s="55"/>
      <c r="BE314" s="55"/>
      <c r="BF314" s="55"/>
      <c r="BG314" s="55"/>
      <c r="BH314" s="55"/>
      <c r="BI314" s="55"/>
      <c r="BJ314" s="55"/>
      <c r="BK314" s="55"/>
      <c r="BL314" s="55"/>
      <c r="BM314" s="55"/>
      <c r="BN314" s="55"/>
      <c r="BO314" s="55"/>
      <c r="BP314" s="55"/>
      <c r="BQ314" s="55"/>
      <c r="BR314" s="55"/>
      <c r="BS314" s="55"/>
      <c r="BT314" s="55"/>
      <c r="BU314" s="55"/>
      <c r="BV314" s="55"/>
      <c r="BW314" s="55"/>
      <c r="BX314" s="55"/>
      <c r="BY314" s="55"/>
      <c r="BZ314" s="55"/>
      <c r="CA314" s="55"/>
      <c r="CB314" s="55"/>
      <c r="CC314" s="55"/>
      <c r="CD314" s="55"/>
      <c r="CE314" s="55"/>
      <c r="CF314" s="55"/>
      <c r="CG314" s="55"/>
      <c r="CH314" s="55"/>
      <c r="CI314" s="55"/>
      <c r="CJ314" s="55"/>
      <c r="CK314" s="55"/>
      <c r="CL314" s="55"/>
      <c r="CM314" s="55"/>
      <c r="CN314" s="55"/>
      <c r="CO314" s="55"/>
      <c r="CP314" s="55"/>
      <c r="CQ314" s="55"/>
      <c r="CR314" s="55"/>
      <c r="CS314" s="55"/>
      <c r="CT314" s="55"/>
      <c r="CU314" s="55"/>
      <c r="CV314" s="55"/>
      <c r="CW314" s="55"/>
      <c r="CX314" s="55"/>
      <c r="CY314" s="55"/>
      <c r="CZ314" s="55"/>
      <c r="DA314" s="55"/>
      <c r="DB314" s="55"/>
      <c r="DC314" s="55"/>
      <c r="DD314" s="55"/>
      <c r="DE314" s="55"/>
      <c r="DF314" s="55"/>
      <c r="DG314" s="55"/>
      <c r="DH314" s="55"/>
      <c r="DI314" s="55"/>
    </row>
    <row r="315" spans="1:113" x14ac:dyDescent="0.25">
      <c r="A315" s="152"/>
      <c r="B315" s="79"/>
      <c r="C315" s="80"/>
      <c r="D315" s="142">
        <v>2377.3200000000002</v>
      </c>
      <c r="E315" s="43">
        <v>42</v>
      </c>
      <c r="F315" s="60"/>
      <c r="G315" s="139">
        <f t="shared" si="57"/>
        <v>42</v>
      </c>
      <c r="H315" s="55"/>
      <c r="I315" s="56">
        <f t="shared" si="58"/>
        <v>42</v>
      </c>
      <c r="J315" s="56">
        <f t="shared" si="59"/>
        <v>0</v>
      </c>
      <c r="K315" s="57">
        <f t="shared" si="60"/>
        <v>99847.44</v>
      </c>
      <c r="L315"/>
      <c r="M315" s="314"/>
      <c r="N315" s="310" t="s">
        <v>1103</v>
      </c>
      <c r="O315" s="315" t="s">
        <v>1076</v>
      </c>
      <c r="P315" s="60" t="s">
        <v>1086</v>
      </c>
      <c r="Q315" s="315" t="s">
        <v>1044</v>
      </c>
      <c r="R315" s="315"/>
      <c r="S315" s="55"/>
      <c r="T315" s="55"/>
      <c r="U315" s="55"/>
      <c r="V315" s="55"/>
      <c r="W315" s="55"/>
      <c r="X315" s="55"/>
      <c r="Y315" s="55"/>
      <c r="Z315" s="55"/>
      <c r="AA315" s="55"/>
      <c r="AB315" s="55"/>
      <c r="AC315" s="55"/>
      <c r="AD315" s="55"/>
      <c r="AE315" s="55"/>
      <c r="AF315" s="55"/>
      <c r="AG315" s="55"/>
      <c r="AH315" s="55"/>
      <c r="AI315" s="55"/>
      <c r="AJ315" s="55"/>
      <c r="AK315" s="55"/>
      <c r="AL315" s="55"/>
      <c r="AM315" s="55"/>
      <c r="AN315" s="55"/>
      <c r="AO315" s="55"/>
      <c r="AP315" s="55"/>
      <c r="AQ315" s="55"/>
      <c r="AR315" s="55"/>
      <c r="AS315" s="55"/>
      <c r="AT315" s="55"/>
      <c r="AU315" s="55"/>
      <c r="AV315" s="55"/>
      <c r="AW315" s="55"/>
      <c r="AX315" s="55"/>
      <c r="AY315" s="55"/>
      <c r="AZ315" s="55"/>
      <c r="BA315" s="55"/>
      <c r="BB315" s="55"/>
      <c r="BC315" s="55"/>
      <c r="BD315" s="55"/>
      <c r="BE315" s="55"/>
      <c r="BF315" s="55"/>
      <c r="BG315" s="55"/>
      <c r="BH315" s="55"/>
      <c r="BI315" s="55"/>
      <c r="BJ315" s="55"/>
      <c r="BK315" s="55"/>
      <c r="BL315" s="55"/>
      <c r="BM315" s="55"/>
      <c r="BN315" s="55"/>
      <c r="BO315" s="55"/>
      <c r="BP315" s="55"/>
      <c r="BQ315" s="55"/>
      <c r="BR315" s="55"/>
      <c r="BS315" s="55"/>
      <c r="BT315" s="55"/>
      <c r="BU315" s="55"/>
      <c r="BV315" s="55"/>
      <c r="BW315" s="55"/>
      <c r="BX315" s="55"/>
      <c r="BY315" s="55"/>
      <c r="BZ315" s="55"/>
      <c r="CA315" s="55"/>
      <c r="CB315" s="55"/>
      <c r="CC315" s="55"/>
      <c r="CD315" s="55"/>
      <c r="CE315" s="55"/>
      <c r="CF315" s="55"/>
      <c r="CG315" s="55"/>
      <c r="CH315" s="55"/>
      <c r="CI315" s="55"/>
      <c r="CJ315" s="55"/>
      <c r="CK315" s="55"/>
      <c r="CL315" s="55"/>
      <c r="CM315" s="55"/>
      <c r="CN315" s="55"/>
      <c r="CO315" s="55"/>
      <c r="CP315" s="55"/>
      <c r="CQ315" s="55"/>
      <c r="CR315" s="55"/>
      <c r="CS315" s="55"/>
      <c r="CT315" s="55"/>
      <c r="CU315" s="55"/>
      <c r="CV315" s="55"/>
      <c r="CW315" s="55"/>
      <c r="CX315" s="55"/>
      <c r="CY315" s="55"/>
      <c r="CZ315" s="55"/>
      <c r="DA315" s="55"/>
      <c r="DB315" s="55"/>
      <c r="DC315" s="55"/>
      <c r="DD315" s="55"/>
      <c r="DE315" s="55"/>
      <c r="DF315" s="55"/>
      <c r="DG315" s="55"/>
      <c r="DH315" s="55"/>
      <c r="DI315" s="55"/>
    </row>
    <row r="316" spans="1:113" x14ac:dyDescent="0.25">
      <c r="A316" s="152"/>
      <c r="B316" s="79" t="s">
        <v>1102</v>
      </c>
      <c r="C316" s="80">
        <v>7000</v>
      </c>
      <c r="D316" s="142">
        <v>2377.3200000000002</v>
      </c>
      <c r="E316" s="43">
        <v>42</v>
      </c>
      <c r="F316" s="60"/>
      <c r="G316" s="139">
        <f t="shared" ref="G316" si="62">+E316+F316</f>
        <v>42</v>
      </c>
      <c r="H316" s="55"/>
      <c r="I316" s="56">
        <f t="shared" ref="I316" si="63">+G316-H316</f>
        <v>42</v>
      </c>
      <c r="J316" s="56">
        <f t="shared" ref="J316" si="64">I316*C316</f>
        <v>294000</v>
      </c>
      <c r="K316" s="57">
        <f t="shared" ref="K316" si="65">+D316*I316</f>
        <v>99847.44</v>
      </c>
      <c r="L316"/>
      <c r="M316" s="314">
        <f t="shared" ref="M316" si="66">SUM(N316:DJ316)</f>
        <v>1198</v>
      </c>
      <c r="N316" s="310">
        <f>100*8</f>
        <v>800</v>
      </c>
      <c r="O316" s="315">
        <f>100+47+50</f>
        <v>197</v>
      </c>
      <c r="P316" s="60">
        <f>100+20+31</f>
        <v>151</v>
      </c>
      <c r="Q316" s="315">
        <v>50</v>
      </c>
      <c r="R316" s="315"/>
      <c r="S316" s="55"/>
      <c r="T316" s="55"/>
      <c r="U316" s="55"/>
      <c r="V316" s="55"/>
      <c r="W316" s="55"/>
      <c r="X316" s="55"/>
      <c r="Y316" s="55"/>
      <c r="Z316" s="55"/>
      <c r="AA316" s="55"/>
      <c r="AB316" s="55"/>
      <c r="AC316" s="55"/>
      <c r="AD316" s="55"/>
      <c r="AE316" s="55"/>
      <c r="AF316" s="55"/>
      <c r="AG316" s="55"/>
      <c r="AH316" s="55"/>
      <c r="AI316" s="55"/>
      <c r="AJ316" s="55"/>
      <c r="AK316" s="55"/>
      <c r="AL316" s="55"/>
      <c r="AM316" s="55"/>
      <c r="AN316" s="55"/>
      <c r="AO316" s="55"/>
      <c r="AP316" s="55"/>
      <c r="AQ316" s="55"/>
      <c r="AR316" s="55"/>
      <c r="AS316" s="55"/>
      <c r="AT316" s="55"/>
      <c r="AU316" s="55"/>
      <c r="AV316" s="55"/>
      <c r="AW316" s="55"/>
      <c r="AX316" s="55"/>
      <c r="AY316" s="55"/>
      <c r="AZ316" s="55"/>
      <c r="BA316" s="55"/>
      <c r="BB316" s="55"/>
      <c r="BC316" s="55"/>
      <c r="BD316" s="55"/>
      <c r="BE316" s="55"/>
      <c r="BF316" s="55"/>
      <c r="BG316" s="55"/>
      <c r="BH316" s="55"/>
      <c r="BI316" s="55"/>
      <c r="BJ316" s="55"/>
      <c r="BK316" s="55"/>
      <c r="BL316" s="55"/>
      <c r="BM316" s="55"/>
      <c r="BN316" s="55"/>
      <c r="BO316" s="55"/>
      <c r="BP316" s="55"/>
      <c r="BQ316" s="55"/>
      <c r="BR316" s="55"/>
      <c r="BS316" s="55"/>
      <c r="BT316" s="55"/>
      <c r="BU316" s="55"/>
      <c r="BV316" s="55"/>
      <c r="BW316" s="55"/>
      <c r="BX316" s="55"/>
      <c r="BY316" s="55"/>
      <c r="BZ316" s="55"/>
      <c r="CA316" s="55"/>
      <c r="CB316" s="55"/>
      <c r="CC316" s="55"/>
      <c r="CD316" s="55"/>
      <c r="CE316" s="55"/>
      <c r="CF316" s="55"/>
      <c r="CG316" s="55"/>
      <c r="CH316" s="55"/>
      <c r="CI316" s="55"/>
      <c r="CJ316" s="55"/>
      <c r="CK316" s="55"/>
      <c r="CL316" s="55"/>
      <c r="CM316" s="55"/>
      <c r="CN316" s="55"/>
      <c r="CO316" s="55"/>
      <c r="CP316" s="55"/>
      <c r="CQ316" s="55"/>
      <c r="CR316" s="55"/>
      <c r="CS316" s="55"/>
      <c r="CT316" s="55"/>
      <c r="CU316" s="55"/>
      <c r="CV316" s="55"/>
      <c r="CW316" s="55"/>
      <c r="CX316" s="55"/>
      <c r="CY316" s="55"/>
      <c r="CZ316" s="55"/>
      <c r="DA316" s="55"/>
      <c r="DB316" s="55"/>
      <c r="DC316" s="55"/>
      <c r="DD316" s="55"/>
      <c r="DE316" s="55"/>
      <c r="DF316" s="55"/>
      <c r="DG316" s="55"/>
      <c r="DH316" s="55"/>
      <c r="DI316" s="55"/>
    </row>
    <row r="317" spans="1:113" x14ac:dyDescent="0.25">
      <c r="A317" s="384"/>
      <c r="B317" s="394"/>
      <c r="C317" s="362"/>
      <c r="D317" s="397"/>
      <c r="E317" s="364"/>
      <c r="F317" s="361"/>
      <c r="G317" s="386"/>
      <c r="H317" s="366"/>
      <c r="I317" s="365"/>
      <c r="J317" s="365"/>
      <c r="K317" s="367"/>
      <c r="L317"/>
      <c r="M317" s="348"/>
      <c r="N317" s="310" t="s">
        <v>1100</v>
      </c>
      <c r="O317" s="349" t="s">
        <v>1044</v>
      </c>
      <c r="P317" s="349" t="s">
        <v>1066</v>
      </c>
      <c r="Q317" s="349" t="s">
        <v>1036</v>
      </c>
      <c r="R317" s="349" t="s">
        <v>1076</v>
      </c>
      <c r="S317" s="346" t="s">
        <v>954</v>
      </c>
      <c r="T317" s="346" t="s">
        <v>1100</v>
      </c>
      <c r="U317" s="346" t="s">
        <v>1105</v>
      </c>
      <c r="V317" s="346"/>
      <c r="W317" s="346"/>
      <c r="X317" s="346"/>
      <c r="Y317" s="346"/>
      <c r="Z317" s="346"/>
      <c r="AA317" s="346"/>
      <c r="AB317" s="346"/>
      <c r="AC317" s="346"/>
      <c r="AD317" s="346"/>
      <c r="AE317" s="346"/>
      <c r="AF317" s="346"/>
      <c r="AG317" s="346"/>
      <c r="AH317" s="346"/>
      <c r="AI317" s="346"/>
      <c r="AJ317" s="346"/>
      <c r="AK317" s="346"/>
      <c r="AL317" s="346"/>
      <c r="AM317" s="346"/>
      <c r="AN317" s="346"/>
      <c r="AO317" s="346"/>
      <c r="AP317" s="346"/>
      <c r="AQ317" s="346"/>
      <c r="AR317" s="346"/>
      <c r="AS317" s="346"/>
      <c r="AT317" s="346"/>
      <c r="AU317" s="346"/>
      <c r="AV317" s="346"/>
      <c r="AW317" s="346"/>
      <c r="AX317" s="346"/>
      <c r="AY317" s="346"/>
      <c r="AZ317" s="346"/>
      <c r="BA317" s="346"/>
      <c r="BB317" s="346"/>
      <c r="BC317" s="346"/>
      <c r="BD317" s="346"/>
      <c r="BE317" s="346"/>
      <c r="BF317" s="346"/>
      <c r="BG317" s="346"/>
      <c r="BH317" s="346"/>
      <c r="BI317" s="346"/>
      <c r="BJ317" s="346"/>
      <c r="BK317" s="346"/>
      <c r="BL317" s="346"/>
      <c r="BM317" s="346"/>
      <c r="BN317" s="346"/>
      <c r="BO317" s="346"/>
      <c r="BP317" s="346"/>
      <c r="BQ317" s="346"/>
      <c r="BR317" s="346"/>
      <c r="BS317" s="346"/>
      <c r="BT317" s="346"/>
      <c r="BU317" s="346"/>
      <c r="BV317" s="346"/>
      <c r="BW317" s="346"/>
      <c r="BX317" s="346"/>
      <c r="BY317" s="346"/>
      <c r="BZ317" s="346"/>
      <c r="CA317" s="346"/>
      <c r="CB317" s="346"/>
      <c r="CC317" s="346"/>
      <c r="CD317" s="346"/>
      <c r="CE317" s="346"/>
      <c r="CF317" s="346"/>
      <c r="CG317" s="346"/>
      <c r="CH317" s="346"/>
      <c r="CI317" s="346"/>
      <c r="CJ317" s="346"/>
      <c r="CK317" s="346"/>
      <c r="CL317" s="346"/>
      <c r="CM317" s="346"/>
      <c r="CN317" s="346"/>
      <c r="CO317" s="346"/>
      <c r="CP317" s="346"/>
      <c r="CQ317" s="346"/>
      <c r="CR317" s="346"/>
      <c r="CS317" s="346"/>
      <c r="CT317" s="346"/>
      <c r="CU317" s="346"/>
      <c r="CV317" s="346"/>
      <c r="CW317" s="346"/>
      <c r="CX317" s="346"/>
      <c r="CY317" s="346"/>
      <c r="CZ317" s="346"/>
      <c r="DA317" s="346"/>
      <c r="DB317" s="346"/>
      <c r="DC317" s="346"/>
      <c r="DD317" s="346"/>
      <c r="DE317" s="346"/>
      <c r="DF317" s="346"/>
      <c r="DG317" s="346"/>
      <c r="DH317" s="346"/>
      <c r="DI317" s="346"/>
    </row>
    <row r="318" spans="1:113" x14ac:dyDescent="0.25">
      <c r="A318" s="152"/>
      <c r="B318" s="79" t="s">
        <v>1104</v>
      </c>
      <c r="C318" s="80">
        <v>9500</v>
      </c>
      <c r="D318" s="142">
        <v>2377.3200000000002</v>
      </c>
      <c r="E318" s="43">
        <v>42</v>
      </c>
      <c r="F318" s="60"/>
      <c r="G318" s="139">
        <f t="shared" ref="G318" si="67">+E318+F318</f>
        <v>42</v>
      </c>
      <c r="H318" s="55"/>
      <c r="I318" s="56">
        <f t="shared" ref="I318" si="68">+G318-H318</f>
        <v>42</v>
      </c>
      <c r="J318" s="56">
        <f t="shared" ref="J318" si="69">I318*C318</f>
        <v>399000</v>
      </c>
      <c r="K318" s="57">
        <f t="shared" ref="K318" si="70">+D318*I318</f>
        <v>99847.44</v>
      </c>
      <c r="L318"/>
      <c r="M318" s="314">
        <f t="shared" ref="M318" si="71">SUM(N318:DJ318)</f>
        <v>1428</v>
      </c>
      <c r="N318" s="310">
        <f>100*10</f>
        <v>1000</v>
      </c>
      <c r="O318" s="315">
        <f>50*2</f>
        <v>100</v>
      </c>
      <c r="P318" s="60">
        <f>20+20</f>
        <v>40</v>
      </c>
      <c r="Q318" s="315">
        <f>8*2</f>
        <v>16</v>
      </c>
      <c r="R318" s="315">
        <f>100*2</f>
        <v>200</v>
      </c>
      <c r="S318" s="55">
        <f>10*2</f>
        <v>20</v>
      </c>
      <c r="T318" s="55">
        <v>32</v>
      </c>
      <c r="U318" s="55">
        <f>10*2</f>
        <v>20</v>
      </c>
      <c r="V318" s="55"/>
      <c r="W318" s="55"/>
      <c r="X318" s="55"/>
      <c r="Y318" s="55"/>
      <c r="Z318" s="55"/>
      <c r="AA318" s="55"/>
      <c r="AB318" s="55"/>
      <c r="AC318" s="55"/>
      <c r="AD318" s="55"/>
      <c r="AE318" s="55"/>
      <c r="AF318" s="55"/>
      <c r="AG318" s="55"/>
      <c r="AH318" s="55"/>
      <c r="AI318" s="55"/>
      <c r="AJ318" s="55"/>
      <c r="AK318" s="55"/>
      <c r="AL318" s="55"/>
      <c r="AM318" s="55"/>
      <c r="AN318" s="55"/>
      <c r="AO318" s="55"/>
      <c r="AP318" s="55"/>
      <c r="AQ318" s="55"/>
      <c r="AR318" s="55"/>
      <c r="AS318" s="55"/>
      <c r="AT318" s="55"/>
      <c r="AU318" s="55"/>
      <c r="AV318" s="55"/>
      <c r="AW318" s="55"/>
      <c r="AX318" s="55"/>
      <c r="AY318" s="55"/>
      <c r="AZ318" s="55"/>
      <c r="BA318" s="55"/>
      <c r="BB318" s="55"/>
      <c r="BC318" s="55"/>
      <c r="BD318" s="55"/>
      <c r="BE318" s="55"/>
      <c r="BF318" s="55"/>
      <c r="BG318" s="55"/>
      <c r="BH318" s="55"/>
      <c r="BI318" s="55"/>
      <c r="BJ318" s="55"/>
      <c r="BK318" s="55"/>
      <c r="BL318" s="55"/>
      <c r="BM318" s="55"/>
      <c r="BN318" s="55"/>
      <c r="BO318" s="55"/>
      <c r="BP318" s="55"/>
      <c r="BQ318" s="55"/>
      <c r="BR318" s="55"/>
      <c r="BS318" s="55"/>
      <c r="BT318" s="55"/>
      <c r="BU318" s="55"/>
      <c r="BV318" s="55"/>
      <c r="BW318" s="55"/>
      <c r="BX318" s="55"/>
      <c r="BY318" s="55"/>
      <c r="BZ318" s="55"/>
      <c r="CA318" s="55"/>
      <c r="CB318" s="55"/>
      <c r="CC318" s="55"/>
      <c r="CD318" s="55"/>
      <c r="CE318" s="55"/>
      <c r="CF318" s="55"/>
      <c r="CG318" s="55"/>
      <c r="CH318" s="55"/>
      <c r="CI318" s="55"/>
      <c r="CJ318" s="55"/>
      <c r="CK318" s="55"/>
      <c r="CL318" s="55"/>
      <c r="CM318" s="55"/>
      <c r="CN318" s="55"/>
      <c r="CO318" s="55"/>
      <c r="CP318" s="55"/>
      <c r="CQ318" s="55"/>
      <c r="CR318" s="55"/>
      <c r="CS318" s="55"/>
      <c r="CT318" s="55"/>
      <c r="CU318" s="55"/>
      <c r="CV318" s="55"/>
      <c r="CW318" s="55"/>
      <c r="CX318" s="55"/>
      <c r="CY318" s="55"/>
      <c r="CZ318" s="55"/>
      <c r="DA318" s="55"/>
      <c r="DB318" s="55"/>
      <c r="DC318" s="55"/>
      <c r="DD318" s="55"/>
      <c r="DE318" s="55"/>
      <c r="DF318" s="55"/>
      <c r="DG318" s="55"/>
      <c r="DH318" s="55"/>
      <c r="DI318" s="55"/>
    </row>
    <row r="319" spans="1:113" x14ac:dyDescent="0.25">
      <c r="A319" s="384"/>
      <c r="B319" s="394"/>
      <c r="C319" s="362"/>
      <c r="D319" s="397"/>
      <c r="E319" s="364"/>
      <c r="F319" s="361"/>
      <c r="G319" s="386"/>
      <c r="H319" s="366"/>
      <c r="I319" s="365"/>
      <c r="J319" s="365"/>
      <c r="K319" s="367"/>
      <c r="L319"/>
      <c r="M319" s="348"/>
      <c r="N319" s="310" t="s">
        <v>1110</v>
      </c>
      <c r="O319" s="349" t="s">
        <v>1094</v>
      </c>
      <c r="P319" s="350" t="s">
        <v>1044</v>
      </c>
      <c r="Q319" s="349" t="s">
        <v>1093</v>
      </c>
      <c r="R319" s="349" t="s">
        <v>1036</v>
      </c>
      <c r="S319" s="346" t="s">
        <v>1087</v>
      </c>
      <c r="T319" s="346" t="s">
        <v>1092</v>
      </c>
      <c r="U319" s="346" t="s">
        <v>1095</v>
      </c>
      <c r="V319" s="346"/>
      <c r="W319" s="346"/>
      <c r="X319" s="346"/>
      <c r="Y319" s="346"/>
      <c r="Z319" s="346"/>
      <c r="AA319" s="346"/>
      <c r="AB319" s="346"/>
      <c r="AC319" s="346"/>
      <c r="AD319" s="346"/>
      <c r="AE319" s="346"/>
      <c r="AF319" s="346"/>
      <c r="AG319" s="346"/>
      <c r="AH319" s="346"/>
      <c r="AI319" s="346"/>
      <c r="AJ319" s="346"/>
      <c r="AK319" s="346"/>
      <c r="AL319" s="346"/>
      <c r="AM319" s="346"/>
      <c r="AN319" s="346"/>
      <c r="AO319" s="346"/>
      <c r="AP319" s="346"/>
      <c r="AQ319" s="346"/>
      <c r="AR319" s="346"/>
      <c r="AS319" s="346"/>
      <c r="AT319" s="346"/>
      <c r="AU319" s="346"/>
      <c r="AV319" s="346"/>
      <c r="AW319" s="346"/>
      <c r="AX319" s="346"/>
      <c r="AY319" s="346"/>
      <c r="AZ319" s="346"/>
      <c r="BA319" s="346"/>
      <c r="BB319" s="346"/>
      <c r="BC319" s="346"/>
      <c r="BD319" s="346"/>
      <c r="BE319" s="346"/>
      <c r="BF319" s="346"/>
      <c r="BG319" s="346"/>
      <c r="BH319" s="346"/>
      <c r="BI319" s="346"/>
      <c r="BJ319" s="346"/>
      <c r="BK319" s="346"/>
      <c r="BL319" s="346"/>
      <c r="BM319" s="346"/>
      <c r="BN319" s="346"/>
      <c r="BO319" s="346"/>
      <c r="BP319" s="346"/>
      <c r="BQ319" s="346"/>
      <c r="BR319" s="346"/>
      <c r="BS319" s="346"/>
      <c r="BT319" s="346"/>
      <c r="BU319" s="346"/>
      <c r="BV319" s="346"/>
      <c r="BW319" s="346"/>
      <c r="BX319" s="346"/>
      <c r="BY319" s="346"/>
      <c r="BZ319" s="346"/>
      <c r="CA319" s="346"/>
      <c r="CB319" s="346"/>
      <c r="CC319" s="346"/>
      <c r="CD319" s="346"/>
      <c r="CE319" s="346"/>
      <c r="CF319" s="346"/>
      <c r="CG319" s="346"/>
      <c r="CH319" s="346"/>
      <c r="CI319" s="346"/>
      <c r="CJ319" s="346"/>
      <c r="CK319" s="346"/>
      <c r="CL319" s="346"/>
      <c r="CM319" s="346"/>
      <c r="CN319" s="346"/>
      <c r="CO319" s="346"/>
      <c r="CP319" s="346"/>
      <c r="CQ319" s="346"/>
      <c r="CR319" s="346"/>
      <c r="CS319" s="346"/>
      <c r="CT319" s="346"/>
      <c r="CU319" s="346"/>
      <c r="CV319" s="346"/>
      <c r="CW319" s="346"/>
      <c r="CX319" s="346"/>
      <c r="CY319" s="346"/>
      <c r="CZ319" s="346"/>
      <c r="DA319" s="346"/>
      <c r="DB319" s="346"/>
      <c r="DC319" s="346"/>
      <c r="DD319" s="346"/>
      <c r="DE319" s="346"/>
      <c r="DF319" s="346"/>
      <c r="DG319" s="346"/>
      <c r="DH319" s="346"/>
      <c r="DI319" s="346"/>
    </row>
    <row r="320" spans="1:113" x14ac:dyDescent="0.25">
      <c r="A320" s="152"/>
      <c r="B320" s="79" t="s">
        <v>1109</v>
      </c>
      <c r="C320" s="80">
        <v>7000</v>
      </c>
      <c r="D320" s="142">
        <v>2377.3200000000002</v>
      </c>
      <c r="E320" s="43">
        <v>42</v>
      </c>
      <c r="F320" s="60"/>
      <c r="G320" s="139">
        <f t="shared" ref="G320" si="72">+E320+F320</f>
        <v>42</v>
      </c>
      <c r="H320" s="55"/>
      <c r="I320" s="56">
        <f t="shared" ref="I320" si="73">+G320-H320</f>
        <v>42</v>
      </c>
      <c r="J320" s="56">
        <f t="shared" ref="J320" si="74">I320*C320</f>
        <v>294000</v>
      </c>
      <c r="K320" s="57">
        <f t="shared" ref="K320" si="75">+D320*I320</f>
        <v>99847.44</v>
      </c>
      <c r="L320"/>
      <c r="M320" s="314">
        <f t="shared" ref="M320:M330" si="76">SUM(N320:DJ320)</f>
        <v>348</v>
      </c>
      <c r="N320" s="310">
        <f>20+20+20+20+20</f>
        <v>100</v>
      </c>
      <c r="O320" s="315">
        <f>20+9</f>
        <v>29</v>
      </c>
      <c r="P320" s="60">
        <v>49</v>
      </c>
      <c r="Q320" s="315">
        <v>94</v>
      </c>
      <c r="R320" s="315">
        <v>3</v>
      </c>
      <c r="S320" s="55">
        <v>28</v>
      </c>
      <c r="T320" s="55">
        <v>22</v>
      </c>
      <c r="U320" s="55">
        <v>23</v>
      </c>
      <c r="V320" s="55"/>
      <c r="W320" s="55"/>
      <c r="X320" s="55"/>
      <c r="Y320" s="55"/>
      <c r="Z320" s="55"/>
      <c r="AA320" s="55"/>
      <c r="AB320" s="55"/>
      <c r="AC320" s="55"/>
      <c r="AD320" s="55"/>
      <c r="AE320" s="55"/>
      <c r="AF320" s="55"/>
      <c r="AG320" s="55"/>
      <c r="AH320" s="55"/>
      <c r="AI320" s="55"/>
      <c r="AJ320" s="55"/>
      <c r="AK320" s="55"/>
      <c r="AL320" s="55"/>
      <c r="AM320" s="55"/>
      <c r="AN320" s="55"/>
      <c r="AO320" s="55"/>
      <c r="AP320" s="55"/>
      <c r="AQ320" s="55"/>
      <c r="AR320" s="55"/>
      <c r="AS320" s="55"/>
      <c r="AT320" s="55"/>
      <c r="AU320" s="55"/>
      <c r="AV320" s="55"/>
      <c r="AW320" s="55"/>
      <c r="AX320" s="55"/>
      <c r="AY320" s="55"/>
      <c r="AZ320" s="55"/>
      <c r="BA320" s="55"/>
      <c r="BB320" s="55"/>
      <c r="BC320" s="55"/>
      <c r="BD320" s="55"/>
      <c r="BE320" s="55"/>
      <c r="BF320" s="55"/>
      <c r="BG320" s="55"/>
      <c r="BH320" s="55"/>
      <c r="BI320" s="55"/>
      <c r="BJ320" s="55"/>
      <c r="BK320" s="55"/>
      <c r="BL320" s="55"/>
      <c r="BM320" s="55"/>
      <c r="BN320" s="55"/>
      <c r="BO320" s="55"/>
      <c r="BP320" s="55"/>
      <c r="BQ320" s="55"/>
      <c r="BR320" s="55"/>
      <c r="BS320" s="55"/>
      <c r="BT320" s="55"/>
      <c r="BU320" s="55"/>
      <c r="BV320" s="55"/>
      <c r="BW320" s="55"/>
      <c r="BX320" s="55"/>
      <c r="BY320" s="55"/>
      <c r="BZ320" s="55"/>
      <c r="CA320" s="55"/>
      <c r="CB320" s="55"/>
      <c r="CC320" s="55"/>
      <c r="CD320" s="55"/>
      <c r="CE320" s="55"/>
      <c r="CF320" s="55"/>
      <c r="CG320" s="55"/>
      <c r="CH320" s="55"/>
      <c r="CI320" s="55"/>
      <c r="CJ320" s="55"/>
      <c r="CK320" s="55"/>
      <c r="CL320" s="55"/>
      <c r="CM320" s="55"/>
      <c r="CN320" s="55"/>
      <c r="CO320" s="55"/>
      <c r="CP320" s="55"/>
      <c r="CQ320" s="55"/>
      <c r="CR320" s="55"/>
      <c r="CS320" s="55"/>
      <c r="CT320" s="55"/>
      <c r="CU320" s="55"/>
      <c r="CV320" s="55"/>
      <c r="CW320" s="55"/>
      <c r="CX320" s="55"/>
      <c r="CY320" s="55"/>
      <c r="CZ320" s="55"/>
      <c r="DA320" s="55"/>
      <c r="DB320" s="55"/>
      <c r="DC320" s="55"/>
      <c r="DD320" s="55"/>
      <c r="DE320" s="55"/>
      <c r="DF320" s="55"/>
      <c r="DG320" s="55"/>
      <c r="DH320" s="55"/>
      <c r="DI320" s="55"/>
    </row>
    <row r="321" spans="1:113" x14ac:dyDescent="0.25">
      <c r="A321" s="384"/>
      <c r="B321" s="394"/>
      <c r="C321" s="362"/>
      <c r="D321" s="397"/>
      <c r="E321" s="364"/>
      <c r="F321" s="361"/>
      <c r="G321" s="386"/>
      <c r="H321" s="366"/>
      <c r="I321" s="365"/>
      <c r="J321" s="365"/>
      <c r="K321" s="367"/>
      <c r="L321"/>
      <c r="M321" s="348"/>
      <c r="N321" s="310" t="s">
        <v>1086</v>
      </c>
      <c r="O321" s="349"/>
      <c r="P321" s="350"/>
      <c r="Q321" s="349"/>
      <c r="R321" s="349"/>
      <c r="S321" s="346"/>
      <c r="T321" s="346"/>
      <c r="U321" s="346"/>
      <c r="V321" s="346"/>
      <c r="W321" s="346"/>
      <c r="X321" s="346"/>
      <c r="Y321" s="346"/>
      <c r="Z321" s="346"/>
      <c r="AA321" s="346"/>
      <c r="AB321" s="346"/>
      <c r="AC321" s="346"/>
      <c r="AD321" s="346"/>
      <c r="AE321" s="346"/>
      <c r="AF321" s="346"/>
      <c r="AG321" s="346"/>
      <c r="AH321" s="346"/>
      <c r="AI321" s="346"/>
      <c r="AJ321" s="346"/>
      <c r="AK321" s="346"/>
      <c r="AL321" s="346"/>
      <c r="AM321" s="346"/>
      <c r="AN321" s="346"/>
      <c r="AO321" s="346"/>
      <c r="AP321" s="346"/>
      <c r="AQ321" s="346"/>
      <c r="AR321" s="346"/>
      <c r="AS321" s="346"/>
      <c r="AT321" s="346"/>
      <c r="AU321" s="346"/>
      <c r="AV321" s="346"/>
      <c r="AW321" s="346"/>
      <c r="AX321" s="346"/>
      <c r="AY321" s="346"/>
      <c r="AZ321" s="346"/>
      <c r="BA321" s="346"/>
      <c r="BB321" s="346"/>
      <c r="BC321" s="346"/>
      <c r="BD321" s="346"/>
      <c r="BE321" s="346"/>
      <c r="BF321" s="346"/>
      <c r="BG321" s="346"/>
      <c r="BH321" s="346"/>
      <c r="BI321" s="346"/>
      <c r="BJ321" s="346"/>
      <c r="BK321" s="346"/>
      <c r="BL321" s="346"/>
      <c r="BM321" s="346"/>
      <c r="BN321" s="346"/>
      <c r="BO321" s="346"/>
      <c r="BP321" s="346"/>
      <c r="BQ321" s="346"/>
      <c r="BR321" s="346"/>
      <c r="BS321" s="346"/>
      <c r="BT321" s="346"/>
      <c r="BU321" s="346"/>
      <c r="BV321" s="346"/>
      <c r="BW321" s="346"/>
      <c r="BX321" s="346"/>
      <c r="BY321" s="346"/>
      <c r="BZ321" s="346"/>
      <c r="CA321" s="346"/>
      <c r="CB321" s="346"/>
      <c r="CC321" s="346"/>
      <c r="CD321" s="346"/>
      <c r="CE321" s="346"/>
      <c r="CF321" s="346"/>
      <c r="CG321" s="346"/>
      <c r="CH321" s="346"/>
      <c r="CI321" s="346"/>
      <c r="CJ321" s="346"/>
      <c r="CK321" s="346"/>
      <c r="CL321" s="346"/>
      <c r="CM321" s="346"/>
      <c r="CN321" s="346"/>
      <c r="CO321" s="346"/>
      <c r="CP321" s="346"/>
      <c r="CQ321" s="346"/>
      <c r="CR321" s="346"/>
      <c r="CS321" s="346"/>
      <c r="CT321" s="346"/>
      <c r="CU321" s="346"/>
      <c r="CV321" s="346"/>
      <c r="CW321" s="346"/>
      <c r="CX321" s="346"/>
      <c r="CY321" s="346"/>
      <c r="CZ321" s="346"/>
      <c r="DA321" s="346"/>
      <c r="DB321" s="346"/>
      <c r="DC321" s="346"/>
      <c r="DD321" s="346"/>
      <c r="DE321" s="346"/>
      <c r="DF321" s="346"/>
      <c r="DG321" s="346"/>
      <c r="DH321" s="346"/>
      <c r="DI321" s="346"/>
    </row>
    <row r="322" spans="1:113" x14ac:dyDescent="0.25">
      <c r="A322" s="384"/>
      <c r="B322" s="394" t="s">
        <v>1111</v>
      </c>
      <c r="C322" s="362">
        <v>5000</v>
      </c>
      <c r="D322" s="397"/>
      <c r="E322" s="364"/>
      <c r="F322" s="361"/>
      <c r="G322" s="386"/>
      <c r="H322" s="366"/>
      <c r="I322" s="365"/>
      <c r="J322" s="365"/>
      <c r="K322" s="367"/>
      <c r="L322"/>
      <c r="M322" s="314">
        <f t="shared" si="76"/>
        <v>280</v>
      </c>
      <c r="N322" s="310">
        <f>100+100+50+30</f>
        <v>280</v>
      </c>
      <c r="O322" s="349"/>
      <c r="P322" s="350"/>
      <c r="Q322" s="349"/>
      <c r="R322" s="349"/>
      <c r="S322" s="346"/>
      <c r="T322" s="346"/>
      <c r="U322" s="346"/>
      <c r="V322" s="346"/>
      <c r="W322" s="346"/>
      <c r="X322" s="346"/>
      <c r="Y322" s="346"/>
      <c r="Z322" s="346"/>
      <c r="AA322" s="346"/>
      <c r="AB322" s="346"/>
      <c r="AC322" s="346"/>
      <c r="AD322" s="346"/>
      <c r="AE322" s="346"/>
      <c r="AF322" s="346"/>
      <c r="AG322" s="346"/>
      <c r="AH322" s="346"/>
      <c r="AI322" s="346"/>
      <c r="AJ322" s="346"/>
      <c r="AK322" s="346"/>
      <c r="AL322" s="346"/>
      <c r="AM322" s="346"/>
      <c r="AN322" s="346"/>
      <c r="AO322" s="346"/>
      <c r="AP322" s="346"/>
      <c r="AQ322" s="346"/>
      <c r="AR322" s="346"/>
      <c r="AS322" s="346"/>
      <c r="AT322" s="346"/>
      <c r="AU322" s="346"/>
      <c r="AV322" s="346"/>
      <c r="AW322" s="346"/>
      <c r="AX322" s="346"/>
      <c r="AY322" s="346"/>
      <c r="AZ322" s="346"/>
      <c r="BA322" s="346"/>
      <c r="BB322" s="346"/>
      <c r="BC322" s="346"/>
      <c r="BD322" s="346"/>
      <c r="BE322" s="346"/>
      <c r="BF322" s="346"/>
      <c r="BG322" s="346"/>
      <c r="BH322" s="346"/>
      <c r="BI322" s="346"/>
      <c r="BJ322" s="346"/>
      <c r="BK322" s="346"/>
      <c r="BL322" s="346"/>
      <c r="BM322" s="346"/>
      <c r="BN322" s="346"/>
      <c r="BO322" s="346"/>
      <c r="BP322" s="346"/>
      <c r="BQ322" s="346"/>
      <c r="BR322" s="346"/>
      <c r="BS322" s="346"/>
      <c r="BT322" s="346"/>
      <c r="BU322" s="346"/>
      <c r="BV322" s="346"/>
      <c r="BW322" s="346"/>
      <c r="BX322" s="346"/>
      <c r="BY322" s="346"/>
      <c r="BZ322" s="346"/>
      <c r="CA322" s="346"/>
      <c r="CB322" s="346"/>
      <c r="CC322" s="346"/>
      <c r="CD322" s="346"/>
      <c r="CE322" s="346"/>
      <c r="CF322" s="346"/>
      <c r="CG322" s="346"/>
      <c r="CH322" s="346"/>
      <c r="CI322" s="346"/>
      <c r="CJ322" s="346"/>
      <c r="CK322" s="346"/>
      <c r="CL322" s="346"/>
      <c r="CM322" s="346"/>
      <c r="CN322" s="346"/>
      <c r="CO322" s="346"/>
      <c r="CP322" s="346"/>
      <c r="CQ322" s="346"/>
      <c r="CR322" s="346"/>
      <c r="CS322" s="346"/>
      <c r="CT322" s="346"/>
      <c r="CU322" s="346"/>
      <c r="CV322" s="346"/>
      <c r="CW322" s="346"/>
      <c r="CX322" s="346"/>
      <c r="CY322" s="346"/>
      <c r="CZ322" s="346"/>
      <c r="DA322" s="346"/>
      <c r="DB322" s="346"/>
      <c r="DC322" s="346"/>
      <c r="DD322" s="346"/>
      <c r="DE322" s="346"/>
      <c r="DF322" s="346"/>
      <c r="DG322" s="346"/>
      <c r="DH322" s="346"/>
      <c r="DI322" s="346"/>
    </row>
    <row r="323" spans="1:113" x14ac:dyDescent="0.25">
      <c r="A323" s="384"/>
      <c r="B323" s="394"/>
      <c r="C323" s="362"/>
      <c r="D323" s="397"/>
      <c r="E323" s="364"/>
      <c r="F323" s="361"/>
      <c r="G323" s="386"/>
      <c r="H323" s="366"/>
      <c r="I323" s="365"/>
      <c r="J323" s="365"/>
      <c r="K323" s="367"/>
      <c r="L323"/>
      <c r="M323" s="348"/>
      <c r="N323" s="310" t="s">
        <v>1087</v>
      </c>
      <c r="O323" s="349"/>
      <c r="P323" s="350"/>
      <c r="Q323" s="349"/>
      <c r="R323" s="349"/>
      <c r="S323" s="346"/>
      <c r="T323" s="346"/>
      <c r="U323" s="346"/>
      <c r="V323" s="346"/>
      <c r="W323" s="346"/>
      <c r="X323" s="346"/>
      <c r="Y323" s="346"/>
      <c r="Z323" s="346"/>
      <c r="AA323" s="346"/>
      <c r="AB323" s="346"/>
      <c r="AC323" s="346"/>
      <c r="AD323" s="346"/>
      <c r="AE323" s="346"/>
      <c r="AF323" s="346"/>
      <c r="AG323" s="346"/>
      <c r="AH323" s="346"/>
      <c r="AI323" s="346"/>
      <c r="AJ323" s="346"/>
      <c r="AK323" s="346"/>
      <c r="AL323" s="346"/>
      <c r="AM323" s="346"/>
      <c r="AN323" s="346"/>
      <c r="AO323" s="346"/>
      <c r="AP323" s="346"/>
      <c r="AQ323" s="346"/>
      <c r="AR323" s="346"/>
      <c r="AS323" s="346"/>
      <c r="AT323" s="346"/>
      <c r="AU323" s="346"/>
      <c r="AV323" s="346"/>
      <c r="AW323" s="346"/>
      <c r="AX323" s="346"/>
      <c r="AY323" s="346"/>
      <c r="AZ323" s="346"/>
      <c r="BA323" s="346"/>
      <c r="BB323" s="346"/>
      <c r="BC323" s="346"/>
      <c r="BD323" s="346"/>
      <c r="BE323" s="346"/>
      <c r="BF323" s="346"/>
      <c r="BG323" s="346"/>
      <c r="BH323" s="346"/>
      <c r="BI323" s="346"/>
      <c r="BJ323" s="346"/>
      <c r="BK323" s="346"/>
      <c r="BL323" s="346"/>
      <c r="BM323" s="346"/>
      <c r="BN323" s="346"/>
      <c r="BO323" s="346"/>
      <c r="BP323" s="346"/>
      <c r="BQ323" s="346"/>
      <c r="BR323" s="346"/>
      <c r="BS323" s="346"/>
      <c r="BT323" s="346"/>
      <c r="BU323" s="346"/>
      <c r="BV323" s="346"/>
      <c r="BW323" s="346"/>
      <c r="BX323" s="346"/>
      <c r="BY323" s="346"/>
      <c r="BZ323" s="346"/>
      <c r="CA323" s="346"/>
      <c r="CB323" s="346"/>
      <c r="CC323" s="346"/>
      <c r="CD323" s="346"/>
      <c r="CE323" s="346"/>
      <c r="CF323" s="346"/>
      <c r="CG323" s="346"/>
      <c r="CH323" s="346"/>
      <c r="CI323" s="346"/>
      <c r="CJ323" s="346"/>
      <c r="CK323" s="346"/>
      <c r="CL323" s="346"/>
      <c r="CM323" s="346"/>
      <c r="CN323" s="346"/>
      <c r="CO323" s="346"/>
      <c r="CP323" s="346"/>
      <c r="CQ323" s="346"/>
      <c r="CR323" s="346"/>
      <c r="CS323" s="346"/>
      <c r="CT323" s="346"/>
      <c r="CU323" s="346"/>
      <c r="CV323" s="346"/>
      <c r="CW323" s="346"/>
      <c r="CX323" s="346"/>
      <c r="CY323" s="346"/>
      <c r="CZ323" s="346"/>
      <c r="DA323" s="346"/>
      <c r="DB323" s="346"/>
      <c r="DC323" s="346"/>
      <c r="DD323" s="346"/>
      <c r="DE323" s="346"/>
      <c r="DF323" s="346"/>
      <c r="DG323" s="346"/>
      <c r="DH323" s="346"/>
      <c r="DI323" s="346"/>
    </row>
    <row r="324" spans="1:113" x14ac:dyDescent="0.25">
      <c r="A324" s="384"/>
      <c r="B324" s="394" t="s">
        <v>1112</v>
      </c>
      <c r="C324" s="362">
        <v>0</v>
      </c>
      <c r="D324" s="397"/>
      <c r="E324" s="364"/>
      <c r="F324" s="361"/>
      <c r="G324" s="386"/>
      <c r="H324" s="366"/>
      <c r="I324" s="365"/>
      <c r="J324" s="365"/>
      <c r="K324" s="367"/>
      <c r="L324"/>
      <c r="M324" s="314">
        <f t="shared" si="76"/>
        <v>70</v>
      </c>
      <c r="N324" s="310">
        <f>50+20</f>
        <v>70</v>
      </c>
      <c r="O324" s="349"/>
      <c r="P324" s="350"/>
      <c r="Q324" s="349"/>
      <c r="R324" s="349"/>
      <c r="S324" s="346"/>
      <c r="T324" s="346"/>
      <c r="U324" s="346"/>
      <c r="V324" s="346"/>
      <c r="W324" s="346"/>
      <c r="X324" s="346"/>
      <c r="Y324" s="346"/>
      <c r="Z324" s="346"/>
      <c r="AA324" s="346"/>
      <c r="AB324" s="346"/>
      <c r="AC324" s="346"/>
      <c r="AD324" s="346"/>
      <c r="AE324" s="346"/>
      <c r="AF324" s="346"/>
      <c r="AG324" s="346"/>
      <c r="AH324" s="346"/>
      <c r="AI324" s="346"/>
      <c r="AJ324" s="346"/>
      <c r="AK324" s="346"/>
      <c r="AL324" s="346"/>
      <c r="AM324" s="346"/>
      <c r="AN324" s="346"/>
      <c r="AO324" s="346"/>
      <c r="AP324" s="346"/>
      <c r="AQ324" s="346"/>
      <c r="AR324" s="346"/>
      <c r="AS324" s="346"/>
      <c r="AT324" s="346"/>
      <c r="AU324" s="346"/>
      <c r="AV324" s="346"/>
      <c r="AW324" s="346"/>
      <c r="AX324" s="346"/>
      <c r="AY324" s="346"/>
      <c r="AZ324" s="346"/>
      <c r="BA324" s="346"/>
      <c r="BB324" s="346"/>
      <c r="BC324" s="346"/>
      <c r="BD324" s="346"/>
      <c r="BE324" s="346"/>
      <c r="BF324" s="346"/>
      <c r="BG324" s="346"/>
      <c r="BH324" s="346"/>
      <c r="BI324" s="346"/>
      <c r="BJ324" s="346"/>
      <c r="BK324" s="346"/>
      <c r="BL324" s="346"/>
      <c r="BM324" s="346"/>
      <c r="BN324" s="346"/>
      <c r="BO324" s="346"/>
      <c r="BP324" s="346"/>
      <c r="BQ324" s="346"/>
      <c r="BR324" s="346"/>
      <c r="BS324" s="346"/>
      <c r="BT324" s="346"/>
      <c r="BU324" s="346"/>
      <c r="BV324" s="346"/>
      <c r="BW324" s="346"/>
      <c r="BX324" s="346"/>
      <c r="BY324" s="346"/>
      <c r="BZ324" s="346"/>
      <c r="CA324" s="346"/>
      <c r="CB324" s="346"/>
      <c r="CC324" s="346"/>
      <c r="CD324" s="346"/>
      <c r="CE324" s="346"/>
      <c r="CF324" s="346"/>
      <c r="CG324" s="346"/>
      <c r="CH324" s="346"/>
      <c r="CI324" s="346"/>
      <c r="CJ324" s="346"/>
      <c r="CK324" s="346"/>
      <c r="CL324" s="346"/>
      <c r="CM324" s="346"/>
      <c r="CN324" s="346"/>
      <c r="CO324" s="346"/>
      <c r="CP324" s="346"/>
      <c r="CQ324" s="346"/>
      <c r="CR324" s="346"/>
      <c r="CS324" s="346"/>
      <c r="CT324" s="346"/>
      <c r="CU324" s="346"/>
      <c r="CV324" s="346"/>
      <c r="CW324" s="346"/>
      <c r="CX324" s="346"/>
      <c r="CY324" s="346"/>
      <c r="CZ324" s="346"/>
      <c r="DA324" s="346"/>
      <c r="DB324" s="346"/>
      <c r="DC324" s="346"/>
      <c r="DD324" s="346"/>
      <c r="DE324" s="346"/>
      <c r="DF324" s="346"/>
      <c r="DG324" s="346"/>
      <c r="DH324" s="346"/>
      <c r="DI324" s="346"/>
    </row>
    <row r="325" spans="1:113" x14ac:dyDescent="0.25">
      <c r="A325" s="384"/>
      <c r="B325" s="394"/>
      <c r="C325" s="362"/>
      <c r="D325" s="397"/>
      <c r="E325" s="364"/>
      <c r="F325" s="361"/>
      <c r="G325" s="386"/>
      <c r="H325" s="366"/>
      <c r="I325" s="365"/>
      <c r="J325" s="365"/>
      <c r="K325" s="367"/>
      <c r="L325"/>
      <c r="M325" s="348"/>
      <c r="N325" s="310" t="s">
        <v>1087</v>
      </c>
      <c r="O325" s="349"/>
      <c r="P325" s="350"/>
      <c r="Q325" s="349"/>
      <c r="R325" s="349"/>
      <c r="S325" s="346"/>
      <c r="T325" s="346"/>
      <c r="U325" s="346"/>
      <c r="V325" s="346"/>
      <c r="W325" s="346"/>
      <c r="X325" s="346"/>
      <c r="Y325" s="346"/>
      <c r="Z325" s="346"/>
      <c r="AA325" s="346"/>
      <c r="AB325" s="346"/>
      <c r="AC325" s="346"/>
      <c r="AD325" s="346"/>
      <c r="AE325" s="346"/>
      <c r="AF325" s="346"/>
      <c r="AG325" s="346"/>
      <c r="AH325" s="346"/>
      <c r="AI325" s="346"/>
      <c r="AJ325" s="346"/>
      <c r="AK325" s="346"/>
      <c r="AL325" s="346"/>
      <c r="AM325" s="346"/>
      <c r="AN325" s="346"/>
      <c r="AO325" s="346"/>
      <c r="AP325" s="346"/>
      <c r="AQ325" s="346"/>
      <c r="AR325" s="346"/>
      <c r="AS325" s="346"/>
      <c r="AT325" s="346"/>
      <c r="AU325" s="346"/>
      <c r="AV325" s="346"/>
      <c r="AW325" s="346"/>
      <c r="AX325" s="346"/>
      <c r="AY325" s="346"/>
      <c r="AZ325" s="346"/>
      <c r="BA325" s="346"/>
      <c r="BB325" s="346"/>
      <c r="BC325" s="346"/>
      <c r="BD325" s="346"/>
      <c r="BE325" s="346"/>
      <c r="BF325" s="346"/>
      <c r="BG325" s="346"/>
      <c r="BH325" s="346"/>
      <c r="BI325" s="346"/>
      <c r="BJ325" s="346"/>
      <c r="BK325" s="346"/>
      <c r="BL325" s="346"/>
      <c r="BM325" s="346"/>
      <c r="BN325" s="346"/>
      <c r="BO325" s="346"/>
      <c r="BP325" s="346"/>
      <c r="BQ325" s="346"/>
      <c r="BR325" s="346"/>
      <c r="BS325" s="346"/>
      <c r="BT325" s="346"/>
      <c r="BU325" s="346"/>
      <c r="BV325" s="346"/>
      <c r="BW325" s="346"/>
      <c r="BX325" s="346"/>
      <c r="BY325" s="346"/>
      <c r="BZ325" s="346"/>
      <c r="CA325" s="346"/>
      <c r="CB325" s="346"/>
      <c r="CC325" s="346"/>
      <c r="CD325" s="346"/>
      <c r="CE325" s="346"/>
      <c r="CF325" s="346"/>
      <c r="CG325" s="346"/>
      <c r="CH325" s="346"/>
      <c r="CI325" s="346"/>
      <c r="CJ325" s="346"/>
      <c r="CK325" s="346"/>
      <c r="CL325" s="346"/>
      <c r="CM325" s="346"/>
      <c r="CN325" s="346"/>
      <c r="CO325" s="346"/>
      <c r="CP325" s="346"/>
      <c r="CQ325" s="346"/>
      <c r="CR325" s="346"/>
      <c r="CS325" s="346"/>
      <c r="CT325" s="346"/>
      <c r="CU325" s="346"/>
      <c r="CV325" s="346"/>
      <c r="CW325" s="346"/>
      <c r="CX325" s="346"/>
      <c r="CY325" s="346"/>
      <c r="CZ325" s="346"/>
      <c r="DA325" s="346"/>
      <c r="DB325" s="346"/>
      <c r="DC325" s="346"/>
      <c r="DD325" s="346"/>
      <c r="DE325" s="346"/>
      <c r="DF325" s="346"/>
      <c r="DG325" s="346"/>
      <c r="DH325" s="346"/>
      <c r="DI325" s="346"/>
    </row>
    <row r="326" spans="1:113" x14ac:dyDescent="0.25">
      <c r="A326" s="384"/>
      <c r="B326" s="394" t="s">
        <v>1113</v>
      </c>
      <c r="C326" s="362">
        <v>5000</v>
      </c>
      <c r="D326" s="397"/>
      <c r="E326" s="364"/>
      <c r="F326" s="361"/>
      <c r="G326" s="386"/>
      <c r="H326" s="366"/>
      <c r="I326" s="365"/>
      <c r="J326" s="365"/>
      <c r="K326" s="367"/>
      <c r="L326"/>
      <c r="M326" s="314">
        <f t="shared" si="76"/>
        <v>37</v>
      </c>
      <c r="N326" s="310">
        <v>37</v>
      </c>
      <c r="O326" s="349"/>
      <c r="P326" s="350"/>
      <c r="Q326" s="349"/>
      <c r="R326" s="349"/>
      <c r="S326" s="346"/>
      <c r="T326" s="346"/>
      <c r="U326" s="346"/>
      <c r="V326" s="346"/>
      <c r="W326" s="346"/>
      <c r="X326" s="346"/>
      <c r="Y326" s="346"/>
      <c r="Z326" s="346"/>
      <c r="AA326" s="346"/>
      <c r="AB326" s="346"/>
      <c r="AC326" s="346"/>
      <c r="AD326" s="346"/>
      <c r="AE326" s="346"/>
      <c r="AF326" s="346"/>
      <c r="AG326" s="346"/>
      <c r="AH326" s="346"/>
      <c r="AI326" s="346"/>
      <c r="AJ326" s="346"/>
      <c r="AK326" s="346"/>
      <c r="AL326" s="346"/>
      <c r="AM326" s="346"/>
      <c r="AN326" s="346"/>
      <c r="AO326" s="346"/>
      <c r="AP326" s="346"/>
      <c r="AQ326" s="346"/>
      <c r="AR326" s="346"/>
      <c r="AS326" s="346"/>
      <c r="AT326" s="346"/>
      <c r="AU326" s="346"/>
      <c r="AV326" s="346"/>
      <c r="AW326" s="346"/>
      <c r="AX326" s="346"/>
      <c r="AY326" s="346"/>
      <c r="AZ326" s="346"/>
      <c r="BA326" s="346"/>
      <c r="BB326" s="346"/>
      <c r="BC326" s="346"/>
      <c r="BD326" s="346"/>
      <c r="BE326" s="346"/>
      <c r="BF326" s="346"/>
      <c r="BG326" s="346"/>
      <c r="BH326" s="346"/>
      <c r="BI326" s="346"/>
      <c r="BJ326" s="346"/>
      <c r="BK326" s="346"/>
      <c r="BL326" s="346"/>
      <c r="BM326" s="346"/>
      <c r="BN326" s="346"/>
      <c r="BO326" s="346"/>
      <c r="BP326" s="346"/>
      <c r="BQ326" s="346"/>
      <c r="BR326" s="346"/>
      <c r="BS326" s="346"/>
      <c r="BT326" s="346"/>
      <c r="BU326" s="346"/>
      <c r="BV326" s="346"/>
      <c r="BW326" s="346"/>
      <c r="BX326" s="346"/>
      <c r="BY326" s="346"/>
      <c r="BZ326" s="346"/>
      <c r="CA326" s="346"/>
      <c r="CB326" s="346"/>
      <c r="CC326" s="346"/>
      <c r="CD326" s="346"/>
      <c r="CE326" s="346"/>
      <c r="CF326" s="346"/>
      <c r="CG326" s="346"/>
      <c r="CH326" s="346"/>
      <c r="CI326" s="346"/>
      <c r="CJ326" s="346"/>
      <c r="CK326" s="346"/>
      <c r="CL326" s="346"/>
      <c r="CM326" s="346"/>
      <c r="CN326" s="346"/>
      <c r="CO326" s="346"/>
      <c r="CP326" s="346"/>
      <c r="CQ326" s="346"/>
      <c r="CR326" s="346"/>
      <c r="CS326" s="346"/>
      <c r="CT326" s="346"/>
      <c r="CU326" s="346"/>
      <c r="CV326" s="346"/>
      <c r="CW326" s="346"/>
      <c r="CX326" s="346"/>
      <c r="CY326" s="346"/>
      <c r="CZ326" s="346"/>
      <c r="DA326" s="346"/>
      <c r="DB326" s="346"/>
      <c r="DC326" s="346"/>
      <c r="DD326" s="346"/>
      <c r="DE326" s="346"/>
      <c r="DF326" s="346"/>
      <c r="DG326" s="346"/>
      <c r="DH326" s="346"/>
      <c r="DI326" s="346"/>
    </row>
    <row r="327" spans="1:113" x14ac:dyDescent="0.25">
      <c r="A327" s="384"/>
      <c r="B327" s="394"/>
      <c r="C327" s="362"/>
      <c r="D327" s="397"/>
      <c r="E327" s="364"/>
      <c r="F327" s="361"/>
      <c r="G327" s="386"/>
      <c r="H327" s="366"/>
      <c r="I327" s="365"/>
      <c r="J327" s="365"/>
      <c r="K327" s="367"/>
      <c r="L327"/>
      <c r="M327" s="348"/>
      <c r="N327" s="310" t="s">
        <v>1087</v>
      </c>
      <c r="O327" s="349"/>
      <c r="P327" s="350"/>
      <c r="Q327" s="349"/>
      <c r="R327" s="349"/>
      <c r="S327" s="346"/>
      <c r="T327" s="346"/>
      <c r="U327" s="346"/>
      <c r="V327" s="346"/>
      <c r="W327" s="346"/>
      <c r="X327" s="346"/>
      <c r="Y327" s="346"/>
      <c r="Z327" s="346"/>
      <c r="AA327" s="346"/>
      <c r="AB327" s="346"/>
      <c r="AC327" s="346"/>
      <c r="AD327" s="346"/>
      <c r="AE327" s="346"/>
      <c r="AF327" s="346"/>
      <c r="AG327" s="346"/>
      <c r="AH327" s="346"/>
      <c r="AI327" s="346"/>
      <c r="AJ327" s="346"/>
      <c r="AK327" s="346"/>
      <c r="AL327" s="346"/>
      <c r="AM327" s="346"/>
      <c r="AN327" s="346"/>
      <c r="AO327" s="346"/>
      <c r="AP327" s="346"/>
      <c r="AQ327" s="346"/>
      <c r="AR327" s="346"/>
      <c r="AS327" s="346"/>
      <c r="AT327" s="346"/>
      <c r="AU327" s="346"/>
      <c r="AV327" s="346"/>
      <c r="AW327" s="346"/>
      <c r="AX327" s="346"/>
      <c r="AY327" s="346"/>
      <c r="AZ327" s="346"/>
      <c r="BA327" s="346"/>
      <c r="BB327" s="346"/>
      <c r="BC327" s="346"/>
      <c r="BD327" s="346"/>
      <c r="BE327" s="346"/>
      <c r="BF327" s="346"/>
      <c r="BG327" s="346"/>
      <c r="BH327" s="346"/>
      <c r="BI327" s="346"/>
      <c r="BJ327" s="346"/>
      <c r="BK327" s="346"/>
      <c r="BL327" s="346"/>
      <c r="BM327" s="346"/>
      <c r="BN327" s="346"/>
      <c r="BO327" s="346"/>
      <c r="BP327" s="346"/>
      <c r="BQ327" s="346"/>
      <c r="BR327" s="346"/>
      <c r="BS327" s="346"/>
      <c r="BT327" s="346"/>
      <c r="BU327" s="346"/>
      <c r="BV327" s="346"/>
      <c r="BW327" s="346"/>
      <c r="BX327" s="346"/>
      <c r="BY327" s="346"/>
      <c r="BZ327" s="346"/>
      <c r="CA327" s="346"/>
      <c r="CB327" s="346"/>
      <c r="CC327" s="346"/>
      <c r="CD327" s="346"/>
      <c r="CE327" s="346"/>
      <c r="CF327" s="346"/>
      <c r="CG327" s="346"/>
      <c r="CH327" s="346"/>
      <c r="CI327" s="346"/>
      <c r="CJ327" s="346"/>
      <c r="CK327" s="346"/>
      <c r="CL327" s="346"/>
      <c r="CM327" s="346"/>
      <c r="CN327" s="346"/>
      <c r="CO327" s="346"/>
      <c r="CP327" s="346"/>
      <c r="CQ327" s="346"/>
      <c r="CR327" s="346"/>
      <c r="CS327" s="346"/>
      <c r="CT327" s="346"/>
      <c r="CU327" s="346"/>
      <c r="CV327" s="346"/>
      <c r="CW327" s="346"/>
      <c r="CX327" s="346"/>
      <c r="CY327" s="346"/>
      <c r="CZ327" s="346"/>
      <c r="DA327" s="346"/>
      <c r="DB327" s="346"/>
      <c r="DC327" s="346"/>
      <c r="DD327" s="346"/>
      <c r="DE327" s="346"/>
      <c r="DF327" s="346"/>
      <c r="DG327" s="346"/>
      <c r="DH327" s="346"/>
      <c r="DI327" s="346"/>
    </row>
    <row r="328" spans="1:113" x14ac:dyDescent="0.25">
      <c r="A328" s="384"/>
      <c r="B328" s="394" t="s">
        <v>1114</v>
      </c>
      <c r="C328" s="362">
        <v>7500</v>
      </c>
      <c r="D328" s="397"/>
      <c r="E328" s="364"/>
      <c r="F328" s="361"/>
      <c r="G328" s="386"/>
      <c r="H328" s="366"/>
      <c r="I328" s="365"/>
      <c r="J328" s="365"/>
      <c r="K328" s="367"/>
      <c r="L328"/>
      <c r="M328" s="314">
        <f t="shared" si="76"/>
        <v>42</v>
      </c>
      <c r="N328" s="310">
        <v>42</v>
      </c>
      <c r="O328" s="349"/>
      <c r="P328" s="350"/>
      <c r="Q328" s="349"/>
      <c r="R328" s="349"/>
      <c r="S328" s="346"/>
      <c r="T328" s="346"/>
      <c r="U328" s="346"/>
      <c r="V328" s="346"/>
      <c r="W328" s="346"/>
      <c r="X328" s="346"/>
      <c r="Y328" s="346"/>
      <c r="Z328" s="346"/>
      <c r="AA328" s="346"/>
      <c r="AB328" s="346"/>
      <c r="AC328" s="346"/>
      <c r="AD328" s="346"/>
      <c r="AE328" s="346"/>
      <c r="AF328" s="346"/>
      <c r="AG328" s="346"/>
      <c r="AH328" s="346"/>
      <c r="AI328" s="346"/>
      <c r="AJ328" s="346"/>
      <c r="AK328" s="346"/>
      <c r="AL328" s="346"/>
      <c r="AM328" s="346"/>
      <c r="AN328" s="346"/>
      <c r="AO328" s="346"/>
      <c r="AP328" s="346"/>
      <c r="AQ328" s="346"/>
      <c r="AR328" s="346"/>
      <c r="AS328" s="346"/>
      <c r="AT328" s="346"/>
      <c r="AU328" s="346"/>
      <c r="AV328" s="346"/>
      <c r="AW328" s="346"/>
      <c r="AX328" s="346"/>
      <c r="AY328" s="346"/>
      <c r="AZ328" s="346"/>
      <c r="BA328" s="346"/>
      <c r="BB328" s="346"/>
      <c r="BC328" s="346"/>
      <c r="BD328" s="346"/>
      <c r="BE328" s="346"/>
      <c r="BF328" s="346"/>
      <c r="BG328" s="346"/>
      <c r="BH328" s="346"/>
      <c r="BI328" s="346"/>
      <c r="BJ328" s="346"/>
      <c r="BK328" s="346"/>
      <c r="BL328" s="346"/>
      <c r="BM328" s="346"/>
      <c r="BN328" s="346"/>
      <c r="BO328" s="346"/>
      <c r="BP328" s="346"/>
      <c r="BQ328" s="346"/>
      <c r="BR328" s="346"/>
      <c r="BS328" s="346"/>
      <c r="BT328" s="346"/>
      <c r="BU328" s="346"/>
      <c r="BV328" s="346"/>
      <c r="BW328" s="346"/>
      <c r="BX328" s="346"/>
      <c r="BY328" s="346"/>
      <c r="BZ328" s="346"/>
      <c r="CA328" s="346"/>
      <c r="CB328" s="346"/>
      <c r="CC328" s="346"/>
      <c r="CD328" s="346"/>
      <c r="CE328" s="346"/>
      <c r="CF328" s="346"/>
      <c r="CG328" s="346"/>
      <c r="CH328" s="346"/>
      <c r="CI328" s="346"/>
      <c r="CJ328" s="346"/>
      <c r="CK328" s="346"/>
      <c r="CL328" s="346"/>
      <c r="CM328" s="346"/>
      <c r="CN328" s="346"/>
      <c r="CO328" s="346"/>
      <c r="CP328" s="346"/>
      <c r="CQ328" s="346"/>
      <c r="CR328" s="346"/>
      <c r="CS328" s="346"/>
      <c r="CT328" s="346"/>
      <c r="CU328" s="346"/>
      <c r="CV328" s="346"/>
      <c r="CW328" s="346"/>
      <c r="CX328" s="346"/>
      <c r="CY328" s="346"/>
      <c r="CZ328" s="346"/>
      <c r="DA328" s="346"/>
      <c r="DB328" s="346"/>
      <c r="DC328" s="346"/>
      <c r="DD328" s="346"/>
      <c r="DE328" s="346"/>
      <c r="DF328" s="346"/>
      <c r="DG328" s="346"/>
      <c r="DH328" s="346"/>
      <c r="DI328" s="346"/>
    </row>
    <row r="329" spans="1:113" x14ac:dyDescent="0.25">
      <c r="A329" s="384"/>
      <c r="B329" s="394"/>
      <c r="C329" s="362"/>
      <c r="D329" s="397"/>
      <c r="E329" s="364"/>
      <c r="F329" s="361"/>
      <c r="G329" s="386"/>
      <c r="H329" s="366"/>
      <c r="I329" s="365"/>
      <c r="J329" s="365"/>
      <c r="K329" s="367"/>
      <c r="L329"/>
      <c r="M329" s="348"/>
      <c r="N329" s="310" t="s">
        <v>1087</v>
      </c>
      <c r="O329" s="349"/>
      <c r="P329" s="350"/>
      <c r="Q329" s="349"/>
      <c r="R329" s="349"/>
      <c r="S329" s="346"/>
      <c r="T329" s="346"/>
      <c r="U329" s="346"/>
      <c r="V329" s="346"/>
      <c r="W329" s="346"/>
      <c r="X329" s="346"/>
      <c r="Y329" s="346"/>
      <c r="Z329" s="346"/>
      <c r="AA329" s="346"/>
      <c r="AB329" s="346"/>
      <c r="AC329" s="346"/>
      <c r="AD329" s="346"/>
      <c r="AE329" s="346"/>
      <c r="AF329" s="346"/>
      <c r="AG329" s="346"/>
      <c r="AH329" s="346"/>
      <c r="AI329" s="346"/>
      <c r="AJ329" s="346"/>
      <c r="AK329" s="346"/>
      <c r="AL329" s="346"/>
      <c r="AM329" s="346"/>
      <c r="AN329" s="346"/>
      <c r="AO329" s="346"/>
      <c r="AP329" s="346"/>
      <c r="AQ329" s="346"/>
      <c r="AR329" s="346"/>
      <c r="AS329" s="346"/>
      <c r="AT329" s="346"/>
      <c r="AU329" s="346"/>
      <c r="AV329" s="346"/>
      <c r="AW329" s="346"/>
      <c r="AX329" s="346"/>
      <c r="AY329" s="346"/>
      <c r="AZ329" s="346"/>
      <c r="BA329" s="346"/>
      <c r="BB329" s="346"/>
      <c r="BC329" s="346"/>
      <c r="BD329" s="346"/>
      <c r="BE329" s="346"/>
      <c r="BF329" s="346"/>
      <c r="BG329" s="346"/>
      <c r="BH329" s="346"/>
      <c r="BI329" s="346"/>
      <c r="BJ329" s="346"/>
      <c r="BK329" s="346"/>
      <c r="BL329" s="346"/>
      <c r="BM329" s="346"/>
      <c r="BN329" s="346"/>
      <c r="BO329" s="346"/>
      <c r="BP329" s="346"/>
      <c r="BQ329" s="346"/>
      <c r="BR329" s="346"/>
      <c r="BS329" s="346"/>
      <c r="BT329" s="346"/>
      <c r="BU329" s="346"/>
      <c r="BV329" s="346"/>
      <c r="BW329" s="346"/>
      <c r="BX329" s="346"/>
      <c r="BY329" s="346"/>
      <c r="BZ329" s="346"/>
      <c r="CA329" s="346"/>
      <c r="CB329" s="346"/>
      <c r="CC329" s="346"/>
      <c r="CD329" s="346"/>
      <c r="CE329" s="346"/>
      <c r="CF329" s="346"/>
      <c r="CG329" s="346"/>
      <c r="CH329" s="346"/>
      <c r="CI329" s="346"/>
      <c r="CJ329" s="346"/>
      <c r="CK329" s="346"/>
      <c r="CL329" s="346"/>
      <c r="CM329" s="346"/>
      <c r="CN329" s="346"/>
      <c r="CO329" s="346"/>
      <c r="CP329" s="346"/>
      <c r="CQ329" s="346"/>
      <c r="CR329" s="346"/>
      <c r="CS329" s="346"/>
      <c r="CT329" s="346"/>
      <c r="CU329" s="346"/>
      <c r="CV329" s="346"/>
      <c r="CW329" s="346"/>
      <c r="CX329" s="346"/>
      <c r="CY329" s="346"/>
      <c r="CZ329" s="346"/>
      <c r="DA329" s="346"/>
      <c r="DB329" s="346"/>
      <c r="DC329" s="346"/>
      <c r="DD329" s="346"/>
      <c r="DE329" s="346"/>
      <c r="DF329" s="346"/>
      <c r="DG329" s="346"/>
      <c r="DH329" s="346"/>
      <c r="DI329" s="346"/>
    </row>
    <row r="330" spans="1:113" x14ac:dyDescent="0.25">
      <c r="A330" s="384"/>
      <c r="B330" s="394" t="s">
        <v>1115</v>
      </c>
      <c r="C330" s="362">
        <v>5000</v>
      </c>
      <c r="D330" s="397"/>
      <c r="E330" s="364"/>
      <c r="F330" s="361"/>
      <c r="G330" s="386"/>
      <c r="H330" s="366"/>
      <c r="I330" s="365"/>
      <c r="J330" s="365"/>
      <c r="K330" s="367"/>
      <c r="L330"/>
      <c r="M330" s="314">
        <f t="shared" si="76"/>
        <v>180</v>
      </c>
      <c r="N330" s="310">
        <v>180</v>
      </c>
      <c r="O330" s="349"/>
      <c r="P330" s="350"/>
      <c r="Q330" s="349"/>
      <c r="R330" s="349"/>
      <c r="S330" s="346"/>
      <c r="T330" s="346"/>
      <c r="U330" s="346"/>
      <c r="V330" s="346"/>
      <c r="W330" s="346"/>
      <c r="X330" s="346"/>
      <c r="Y330" s="346"/>
      <c r="Z330" s="346"/>
      <c r="AA330" s="346"/>
      <c r="AB330" s="346"/>
      <c r="AC330" s="346"/>
      <c r="AD330" s="346"/>
      <c r="AE330" s="346"/>
      <c r="AF330" s="346"/>
      <c r="AG330" s="346"/>
      <c r="AH330" s="346"/>
      <c r="AI330" s="346"/>
      <c r="AJ330" s="346"/>
      <c r="AK330" s="346"/>
      <c r="AL330" s="346"/>
      <c r="AM330" s="346"/>
      <c r="AN330" s="346"/>
      <c r="AO330" s="346"/>
      <c r="AP330" s="346"/>
      <c r="AQ330" s="346"/>
      <c r="AR330" s="346"/>
      <c r="AS330" s="346"/>
      <c r="AT330" s="346"/>
      <c r="AU330" s="346"/>
      <c r="AV330" s="346"/>
      <c r="AW330" s="346"/>
      <c r="AX330" s="346"/>
      <c r="AY330" s="346"/>
      <c r="AZ330" s="346"/>
      <c r="BA330" s="346"/>
      <c r="BB330" s="346"/>
      <c r="BC330" s="346"/>
      <c r="BD330" s="346"/>
      <c r="BE330" s="346"/>
      <c r="BF330" s="346"/>
      <c r="BG330" s="346"/>
      <c r="BH330" s="346"/>
      <c r="BI330" s="346"/>
      <c r="BJ330" s="346"/>
      <c r="BK330" s="346"/>
      <c r="BL330" s="346"/>
      <c r="BM330" s="346"/>
      <c r="BN330" s="346"/>
      <c r="BO330" s="346"/>
      <c r="BP330" s="346"/>
      <c r="BQ330" s="346"/>
      <c r="BR330" s="346"/>
      <c r="BS330" s="346"/>
      <c r="BT330" s="346"/>
      <c r="BU330" s="346"/>
      <c r="BV330" s="346"/>
      <c r="BW330" s="346"/>
      <c r="BX330" s="346"/>
      <c r="BY330" s="346"/>
      <c r="BZ330" s="346"/>
      <c r="CA330" s="346"/>
      <c r="CB330" s="346"/>
      <c r="CC330" s="346"/>
      <c r="CD330" s="346"/>
      <c r="CE330" s="346"/>
      <c r="CF330" s="346"/>
      <c r="CG330" s="346"/>
      <c r="CH330" s="346"/>
      <c r="CI330" s="346"/>
      <c r="CJ330" s="346"/>
      <c r="CK330" s="346"/>
      <c r="CL330" s="346"/>
      <c r="CM330" s="346"/>
      <c r="CN330" s="346"/>
      <c r="CO330" s="346"/>
      <c r="CP330" s="346"/>
      <c r="CQ330" s="346"/>
      <c r="CR330" s="346"/>
      <c r="CS330" s="346"/>
      <c r="CT330" s="346"/>
      <c r="CU330" s="346"/>
      <c r="CV330" s="346"/>
      <c r="CW330" s="346"/>
      <c r="CX330" s="346"/>
      <c r="CY330" s="346"/>
      <c r="CZ330" s="346"/>
      <c r="DA330" s="346"/>
      <c r="DB330" s="346"/>
      <c r="DC330" s="346"/>
      <c r="DD330" s="346"/>
      <c r="DE330" s="346"/>
      <c r="DF330" s="346"/>
      <c r="DG330" s="346"/>
      <c r="DH330" s="346"/>
      <c r="DI330" s="346"/>
    </row>
    <row r="331" spans="1:113" x14ac:dyDescent="0.25">
      <c r="A331" s="384"/>
      <c r="B331" s="394"/>
      <c r="C331" s="362"/>
      <c r="D331" s="397"/>
      <c r="E331" s="364"/>
      <c r="F331" s="361"/>
      <c r="G331" s="386"/>
      <c r="H331" s="366"/>
      <c r="I331" s="365"/>
      <c r="J331" s="365"/>
      <c r="K331" s="367"/>
      <c r="L331"/>
      <c r="M331" s="348"/>
      <c r="N331" s="310" t="s">
        <v>1036</v>
      </c>
      <c r="O331" s="349" t="s">
        <v>1096</v>
      </c>
      <c r="P331" s="350" t="s">
        <v>1094</v>
      </c>
      <c r="Q331" s="349" t="s">
        <v>1117</v>
      </c>
      <c r="S331" s="346"/>
      <c r="T331" s="346"/>
      <c r="U331" s="346"/>
      <c r="V331" s="346"/>
      <c r="W331" s="346"/>
      <c r="X331" s="346"/>
      <c r="Y331" s="346"/>
      <c r="Z331" s="346"/>
      <c r="AA331" s="346"/>
      <c r="AB331" s="346"/>
      <c r="AC331" s="346"/>
      <c r="AD331" s="346"/>
      <c r="AE331" s="346"/>
      <c r="AF331" s="346"/>
      <c r="AG331" s="346"/>
      <c r="AH331" s="346"/>
      <c r="AI331" s="346"/>
      <c r="AJ331" s="346"/>
      <c r="AK331" s="346"/>
      <c r="AL331" s="346"/>
      <c r="AM331" s="346"/>
      <c r="AN331" s="346"/>
      <c r="AO331" s="346"/>
      <c r="AP331" s="346"/>
      <c r="AQ331" s="346"/>
      <c r="AR331" s="346"/>
      <c r="AS331" s="346"/>
      <c r="AT331" s="346"/>
      <c r="AU331" s="346"/>
      <c r="AV331" s="346"/>
      <c r="AW331" s="346"/>
      <c r="AX331" s="346"/>
      <c r="AY331" s="346"/>
      <c r="AZ331" s="346"/>
      <c r="BA331" s="346"/>
      <c r="BB331" s="346"/>
      <c r="BC331" s="346"/>
      <c r="BD331" s="346"/>
      <c r="BE331" s="346"/>
      <c r="BF331" s="346"/>
      <c r="BG331" s="346"/>
      <c r="BH331" s="346"/>
      <c r="BI331" s="346"/>
      <c r="BJ331" s="346"/>
      <c r="BK331" s="346"/>
      <c r="BL331" s="346"/>
      <c r="BM331" s="346"/>
      <c r="BN331" s="346"/>
      <c r="BO331" s="346"/>
      <c r="BP331" s="346"/>
      <c r="BQ331" s="346"/>
      <c r="BR331" s="346"/>
      <c r="BS331" s="346"/>
      <c r="BT331" s="346"/>
      <c r="BU331" s="346"/>
      <c r="BV331" s="346"/>
      <c r="BW331" s="346"/>
      <c r="BX331" s="346"/>
      <c r="BY331" s="346"/>
      <c r="BZ331" s="346"/>
      <c r="CA331" s="346"/>
      <c r="CB331" s="346"/>
      <c r="CC331" s="346"/>
      <c r="CD331" s="346"/>
      <c r="CE331" s="346"/>
      <c r="CF331" s="346"/>
      <c r="CG331" s="346"/>
      <c r="CH331" s="346"/>
      <c r="CI331" s="346"/>
      <c r="CJ331" s="346"/>
      <c r="CK331" s="346"/>
      <c r="CL331" s="346"/>
      <c r="CM331" s="346"/>
      <c r="CN331" s="346"/>
      <c r="CO331" s="346"/>
      <c r="CP331" s="346"/>
      <c r="CQ331" s="346"/>
      <c r="CR331" s="346"/>
      <c r="CS331" s="346"/>
      <c r="CT331" s="346"/>
      <c r="CU331" s="346"/>
      <c r="CV331" s="346"/>
      <c r="CW331" s="346"/>
      <c r="CX331" s="346"/>
      <c r="CY331" s="346"/>
      <c r="CZ331" s="346"/>
      <c r="DA331" s="346"/>
      <c r="DB331" s="346"/>
      <c r="DC331" s="346"/>
      <c r="DD331" s="346"/>
      <c r="DE331" s="346"/>
      <c r="DF331" s="346"/>
      <c r="DG331" s="346"/>
      <c r="DH331" s="346"/>
      <c r="DI331" s="346"/>
    </row>
    <row r="332" spans="1:113" x14ac:dyDescent="0.25">
      <c r="A332" s="170"/>
      <c r="B332" s="115" t="s">
        <v>1116</v>
      </c>
      <c r="C332" s="116">
        <v>4500</v>
      </c>
      <c r="D332" s="190"/>
      <c r="E332" s="122"/>
      <c r="F332" s="121"/>
      <c r="G332" s="169"/>
      <c r="H332" s="108"/>
      <c r="I332" s="109"/>
      <c r="J332" s="109"/>
      <c r="K332" s="110"/>
      <c r="L332"/>
      <c r="M332" s="314">
        <f t="shared" ref="M332" si="77">SUM(N332:DJ332)</f>
        <v>221</v>
      </c>
      <c r="N332" s="310">
        <v>20</v>
      </c>
      <c r="O332" s="349">
        <v>13</v>
      </c>
      <c r="P332" s="350">
        <v>88</v>
      </c>
      <c r="Q332" s="349">
        <v>100</v>
      </c>
      <c r="S332" s="346"/>
      <c r="T332" s="346"/>
      <c r="U332" s="346"/>
      <c r="V332" s="346"/>
      <c r="W332" s="346"/>
      <c r="X332" s="346"/>
      <c r="Y332" s="346"/>
      <c r="Z332" s="346"/>
      <c r="AA332" s="346"/>
      <c r="AB332" s="346"/>
      <c r="AC332" s="346"/>
      <c r="AD332" s="346"/>
      <c r="AE332" s="346"/>
      <c r="AF332" s="346"/>
      <c r="AG332" s="346"/>
      <c r="AH332" s="346"/>
      <c r="AI332" s="346"/>
      <c r="AJ332" s="346"/>
      <c r="AK332" s="346"/>
      <c r="AL332" s="346"/>
      <c r="AM332" s="346"/>
      <c r="AN332" s="346"/>
      <c r="AO332" s="346"/>
      <c r="AP332" s="346"/>
      <c r="AQ332" s="346"/>
      <c r="AR332" s="346"/>
      <c r="AS332" s="346"/>
      <c r="AT332" s="346"/>
      <c r="AU332" s="346"/>
      <c r="AV332" s="346"/>
      <c r="AW332" s="346"/>
      <c r="AX332" s="346"/>
      <c r="AY332" s="346"/>
      <c r="AZ332" s="346"/>
      <c r="BA332" s="346"/>
      <c r="BB332" s="346"/>
      <c r="BC332" s="346"/>
      <c r="BD332" s="346"/>
      <c r="BE332" s="346"/>
      <c r="BF332" s="346"/>
      <c r="BG332" s="346"/>
      <c r="BH332" s="346"/>
      <c r="BI332" s="346"/>
      <c r="BJ332" s="346"/>
      <c r="BK332" s="346"/>
      <c r="BL332" s="346"/>
      <c r="BM332" s="346"/>
      <c r="BN332" s="346"/>
      <c r="BO332" s="346"/>
      <c r="BP332" s="346"/>
      <c r="BQ332" s="346"/>
      <c r="BR332" s="346"/>
      <c r="BS332" s="346"/>
      <c r="BT332" s="346"/>
      <c r="BU332" s="346"/>
      <c r="BV332" s="346"/>
      <c r="BW332" s="346"/>
      <c r="BX332" s="346"/>
      <c r="BY332" s="346"/>
      <c r="BZ332" s="346"/>
      <c r="CA332" s="346"/>
      <c r="CB332" s="346"/>
      <c r="CC332" s="346"/>
      <c r="CD332" s="346"/>
      <c r="CE332" s="346"/>
      <c r="CF332" s="346"/>
      <c r="CG332" s="346"/>
      <c r="CH332" s="346"/>
      <c r="CI332" s="346"/>
      <c r="CJ332" s="346"/>
      <c r="CK332" s="346"/>
      <c r="CL332" s="346"/>
      <c r="CM332" s="346"/>
      <c r="CN332" s="346"/>
      <c r="CO332" s="346"/>
      <c r="CP332" s="346"/>
      <c r="CQ332" s="346"/>
      <c r="CR332" s="346"/>
      <c r="CS332" s="346"/>
      <c r="CT332" s="346"/>
      <c r="CU332" s="346"/>
      <c r="CV332" s="346"/>
      <c r="CW332" s="346"/>
      <c r="CX332" s="346"/>
      <c r="CY332" s="346"/>
      <c r="CZ332" s="346"/>
      <c r="DA332" s="346"/>
      <c r="DB332" s="346"/>
      <c r="DC332" s="346"/>
      <c r="DD332" s="346"/>
      <c r="DE332" s="346"/>
      <c r="DF332" s="346"/>
      <c r="DG332" s="346"/>
      <c r="DH332" s="346"/>
      <c r="DI332" s="346"/>
    </row>
    <row r="333" spans="1:113" x14ac:dyDescent="0.25">
      <c r="A333" s="384"/>
      <c r="B333" s="394"/>
      <c r="C333" s="362"/>
      <c r="D333" s="397"/>
      <c r="E333" s="364"/>
      <c r="F333" s="361"/>
      <c r="G333" s="386"/>
      <c r="H333" s="366"/>
      <c r="I333" s="365"/>
      <c r="J333" s="365"/>
      <c r="K333" s="367"/>
      <c r="L333"/>
      <c r="M333" s="348"/>
      <c r="N333" s="349" t="s">
        <v>1094</v>
      </c>
      <c r="O333" s="349" t="s">
        <v>1036</v>
      </c>
      <c r="P333" s="346" t="s">
        <v>1117</v>
      </c>
      <c r="Q333" s="346" t="s">
        <v>1096</v>
      </c>
      <c r="S333" s="346"/>
      <c r="T333" s="346"/>
      <c r="W333" s="346"/>
      <c r="X333" s="346"/>
      <c r="Y333" s="346"/>
      <c r="Z333" s="346"/>
      <c r="AA333" s="346"/>
      <c r="AB333" s="346"/>
      <c r="AC333" s="346"/>
      <c r="AD333" s="346"/>
      <c r="AE333" s="346"/>
      <c r="AF333" s="346"/>
      <c r="AG333" s="346"/>
      <c r="AH333" s="346"/>
      <c r="AI333" s="346"/>
      <c r="AJ333" s="346"/>
      <c r="AK333" s="346"/>
      <c r="AL333" s="346"/>
      <c r="AM333" s="346"/>
      <c r="AN333" s="346"/>
      <c r="AO333" s="346"/>
      <c r="AP333" s="346"/>
      <c r="AQ333" s="346"/>
      <c r="AR333" s="346"/>
      <c r="AS333" s="346"/>
      <c r="AT333" s="346"/>
      <c r="AU333" s="346"/>
      <c r="AV333" s="346"/>
      <c r="AW333" s="346"/>
      <c r="AX333" s="346"/>
      <c r="AY333" s="346"/>
      <c r="AZ333" s="346"/>
      <c r="BA333" s="346"/>
      <c r="BB333" s="346"/>
      <c r="BC333" s="346"/>
      <c r="BD333" s="346"/>
      <c r="BE333" s="346"/>
      <c r="BF333" s="346"/>
      <c r="BG333" s="346"/>
      <c r="BH333" s="346"/>
      <c r="BI333" s="346"/>
      <c r="BJ333" s="346"/>
      <c r="BK333" s="346"/>
      <c r="BL333" s="346"/>
      <c r="BM333" s="346"/>
      <c r="BN333" s="346"/>
      <c r="BO333" s="346"/>
      <c r="BP333" s="346"/>
      <c r="BQ333" s="346"/>
      <c r="BR333" s="346"/>
      <c r="BS333" s="346"/>
      <c r="BT333" s="346"/>
      <c r="BU333" s="346"/>
      <c r="BV333" s="346"/>
      <c r="BW333" s="346"/>
      <c r="BX333" s="346"/>
      <c r="BY333" s="346"/>
      <c r="BZ333" s="346"/>
      <c r="CA333" s="346"/>
      <c r="CB333" s="346"/>
      <c r="CC333" s="346"/>
      <c r="CD333" s="346"/>
      <c r="CE333" s="346"/>
      <c r="CF333" s="346"/>
      <c r="CG333" s="346"/>
      <c r="CH333" s="346"/>
      <c r="CI333" s="346"/>
      <c r="CJ333" s="346"/>
      <c r="CK333" s="346"/>
      <c r="CL333" s="346"/>
      <c r="CM333" s="346"/>
      <c r="CN333" s="346"/>
      <c r="CO333" s="346"/>
      <c r="CP333" s="346"/>
      <c r="CQ333" s="346"/>
      <c r="CR333" s="346"/>
      <c r="CS333" s="346"/>
      <c r="CT333" s="346"/>
      <c r="CU333" s="346"/>
      <c r="CV333" s="346"/>
      <c r="CW333" s="346"/>
      <c r="CX333" s="346"/>
      <c r="CY333" s="346"/>
      <c r="CZ333" s="346"/>
      <c r="DA333" s="346"/>
      <c r="DB333" s="346"/>
      <c r="DC333" s="346"/>
      <c r="DD333" s="346"/>
      <c r="DE333" s="346"/>
      <c r="DF333" s="346"/>
      <c r="DG333" s="346"/>
      <c r="DH333" s="346"/>
      <c r="DI333" s="346"/>
    </row>
    <row r="334" spans="1:113" x14ac:dyDescent="0.25">
      <c r="A334" s="170"/>
      <c r="B334" s="115" t="s">
        <v>1118</v>
      </c>
      <c r="C334" s="116">
        <v>4500</v>
      </c>
      <c r="D334" s="190"/>
      <c r="E334" s="122"/>
      <c r="F334" s="121"/>
      <c r="G334" s="169"/>
      <c r="H334" s="108"/>
      <c r="I334" s="109"/>
      <c r="J334" s="109"/>
      <c r="K334" s="110"/>
      <c r="L334"/>
      <c r="M334" s="314">
        <f>SUM(N334:DJ334)</f>
        <v>210</v>
      </c>
      <c r="N334" s="349">
        <v>88</v>
      </c>
      <c r="O334" s="349">
        <v>20</v>
      </c>
      <c r="P334" s="346">
        <v>100</v>
      </c>
      <c r="Q334" s="346">
        <v>2</v>
      </c>
      <c r="S334" s="346"/>
      <c r="T334" s="346"/>
      <c r="W334" s="346"/>
      <c r="X334" s="346"/>
      <c r="Y334" s="346"/>
      <c r="Z334" s="346"/>
      <c r="AA334" s="346"/>
      <c r="AB334" s="346"/>
      <c r="AC334" s="346"/>
      <c r="AD334" s="346"/>
      <c r="AE334" s="346"/>
      <c r="AF334" s="346"/>
      <c r="AG334" s="346"/>
      <c r="AH334" s="346"/>
      <c r="AI334" s="346"/>
      <c r="AJ334" s="346"/>
      <c r="AK334" s="346"/>
      <c r="AL334" s="346"/>
      <c r="AM334" s="346"/>
      <c r="AN334" s="346"/>
      <c r="AO334" s="346"/>
      <c r="AP334" s="346"/>
      <c r="AQ334" s="346"/>
      <c r="AR334" s="346"/>
      <c r="AS334" s="346"/>
      <c r="AT334" s="346"/>
      <c r="AU334" s="346"/>
      <c r="AV334" s="346"/>
      <c r="AW334" s="346"/>
      <c r="AX334" s="346"/>
      <c r="AY334" s="346"/>
      <c r="AZ334" s="346"/>
      <c r="BA334" s="346"/>
      <c r="BB334" s="346"/>
      <c r="BC334" s="346"/>
      <c r="BD334" s="346"/>
      <c r="BE334" s="346"/>
      <c r="BF334" s="346"/>
      <c r="BG334" s="346"/>
      <c r="BH334" s="346"/>
      <c r="BI334" s="346"/>
      <c r="BJ334" s="346"/>
      <c r="BK334" s="346"/>
      <c r="BL334" s="346"/>
      <c r="BM334" s="346"/>
      <c r="BN334" s="346"/>
      <c r="BO334" s="346"/>
      <c r="BP334" s="346"/>
      <c r="BQ334" s="346"/>
      <c r="BR334" s="346"/>
      <c r="BS334" s="346"/>
      <c r="BT334" s="346"/>
      <c r="BU334" s="346"/>
      <c r="BV334" s="346"/>
      <c r="BW334" s="346"/>
      <c r="BX334" s="346"/>
      <c r="BY334" s="346"/>
      <c r="BZ334" s="346"/>
      <c r="CA334" s="346"/>
      <c r="CB334" s="346"/>
      <c r="CC334" s="346"/>
      <c r="CD334" s="346"/>
      <c r="CE334" s="346"/>
      <c r="CF334" s="346"/>
      <c r="CG334" s="346"/>
      <c r="CH334" s="346"/>
      <c r="CI334" s="346"/>
      <c r="CJ334" s="346"/>
      <c r="CK334" s="346"/>
      <c r="CL334" s="346"/>
      <c r="CM334" s="346"/>
      <c r="CN334" s="346"/>
      <c r="CO334" s="346"/>
      <c r="CP334" s="346"/>
      <c r="CQ334" s="346"/>
      <c r="CR334" s="346"/>
      <c r="CS334" s="346"/>
      <c r="CT334" s="346"/>
      <c r="CU334" s="346"/>
      <c r="CV334" s="346"/>
      <c r="CW334" s="346"/>
      <c r="CX334" s="346"/>
      <c r="CY334" s="346"/>
      <c r="CZ334" s="346"/>
      <c r="DA334" s="346"/>
      <c r="DB334" s="346"/>
      <c r="DC334" s="346"/>
      <c r="DD334" s="346"/>
      <c r="DE334" s="346"/>
      <c r="DF334" s="346"/>
      <c r="DG334" s="346"/>
      <c r="DH334" s="346"/>
      <c r="DI334" s="346"/>
    </row>
    <row r="335" spans="1:113" x14ac:dyDescent="0.25">
      <c r="A335" s="384"/>
      <c r="B335" s="394"/>
      <c r="C335" s="362"/>
      <c r="D335" s="397"/>
      <c r="E335" s="364"/>
      <c r="F335" s="361"/>
      <c r="G335" s="386"/>
      <c r="H335" s="366"/>
      <c r="I335" s="365"/>
      <c r="J335" s="365"/>
      <c r="K335" s="367"/>
      <c r="L335"/>
      <c r="M335" s="348"/>
      <c r="N335" s="310" t="s">
        <v>1117</v>
      </c>
      <c r="O335" s="349" t="s">
        <v>1071</v>
      </c>
      <c r="P335" s="350" t="s">
        <v>1096</v>
      </c>
      <c r="Q335" s="349" t="s">
        <v>1036</v>
      </c>
      <c r="R335" s="349"/>
      <c r="S335" s="346"/>
      <c r="T335" s="346"/>
      <c r="U335" s="346"/>
      <c r="V335" s="346"/>
      <c r="W335" s="346"/>
      <c r="X335" s="346"/>
      <c r="Y335" s="346"/>
      <c r="Z335" s="346"/>
      <c r="AA335" s="346"/>
      <c r="AB335" s="346"/>
      <c r="AC335" s="346"/>
      <c r="AD335" s="346"/>
      <c r="AE335" s="346"/>
      <c r="AF335" s="346"/>
      <c r="AG335" s="346"/>
      <c r="AH335" s="346"/>
      <c r="AI335" s="346"/>
      <c r="AJ335" s="346"/>
      <c r="AK335" s="346"/>
      <c r="AL335" s="346"/>
      <c r="AM335" s="346"/>
      <c r="AN335" s="346"/>
      <c r="AO335" s="346"/>
      <c r="AP335" s="346"/>
      <c r="AQ335" s="346"/>
      <c r="AR335" s="346"/>
      <c r="AS335" s="346"/>
      <c r="AT335" s="346"/>
      <c r="AU335" s="346"/>
      <c r="AV335" s="346"/>
      <c r="AW335" s="346"/>
      <c r="AX335" s="346"/>
      <c r="AY335" s="346"/>
      <c r="AZ335" s="346"/>
      <c r="BA335" s="346"/>
      <c r="BB335" s="346"/>
      <c r="BC335" s="346"/>
      <c r="BD335" s="346"/>
      <c r="BE335" s="346"/>
      <c r="BF335" s="346"/>
      <c r="BG335" s="346"/>
      <c r="BH335" s="346"/>
      <c r="BI335" s="346"/>
      <c r="BJ335" s="346"/>
      <c r="BK335" s="346"/>
      <c r="BL335" s="346"/>
      <c r="BM335" s="346"/>
      <c r="BN335" s="346"/>
      <c r="BO335" s="346"/>
      <c r="BP335" s="346"/>
      <c r="BQ335" s="346"/>
      <c r="BR335" s="346"/>
      <c r="BS335" s="346"/>
      <c r="BT335" s="346"/>
      <c r="BU335" s="346"/>
      <c r="BV335" s="346"/>
      <c r="BW335" s="346"/>
      <c r="BX335" s="346"/>
      <c r="BY335" s="346"/>
      <c r="BZ335" s="346"/>
      <c r="CA335" s="346"/>
      <c r="CB335" s="346"/>
      <c r="CC335" s="346"/>
      <c r="CD335" s="346"/>
      <c r="CE335" s="346"/>
      <c r="CF335" s="346"/>
      <c r="CG335" s="346"/>
      <c r="CH335" s="346"/>
      <c r="CI335" s="346"/>
      <c r="CJ335" s="346"/>
      <c r="CK335" s="346"/>
      <c r="CL335" s="346"/>
      <c r="CM335" s="346"/>
      <c r="CN335" s="346"/>
      <c r="CO335" s="346"/>
      <c r="CP335" s="346"/>
      <c r="CQ335" s="346"/>
      <c r="CR335" s="346"/>
      <c r="CS335" s="346"/>
      <c r="CT335" s="346"/>
      <c r="CU335" s="346"/>
      <c r="CV335" s="346"/>
      <c r="CW335" s="346"/>
      <c r="CX335" s="346"/>
      <c r="CY335" s="346"/>
      <c r="CZ335" s="346"/>
      <c r="DA335" s="346"/>
      <c r="DB335" s="346"/>
      <c r="DC335" s="346"/>
      <c r="DD335" s="346"/>
      <c r="DE335" s="346"/>
      <c r="DF335" s="346"/>
      <c r="DG335" s="346"/>
      <c r="DH335" s="346"/>
      <c r="DI335" s="346"/>
    </row>
    <row r="336" spans="1:113" x14ac:dyDescent="0.25">
      <c r="A336" s="170"/>
      <c r="B336" s="115" t="s">
        <v>1119</v>
      </c>
      <c r="C336" s="116">
        <v>4500</v>
      </c>
      <c r="D336" s="190"/>
      <c r="E336" s="122"/>
      <c r="F336" s="121"/>
      <c r="G336" s="169"/>
      <c r="H336" s="108"/>
      <c r="I336" s="109"/>
      <c r="J336" s="109"/>
      <c r="K336" s="110"/>
      <c r="L336"/>
      <c r="M336" s="314">
        <f t="shared" ref="M336" si="78">SUM(N336:DJ336)</f>
        <v>202</v>
      </c>
      <c r="N336" s="310">
        <f>60+40</f>
        <v>100</v>
      </c>
      <c r="O336" s="349">
        <v>60</v>
      </c>
      <c r="P336" s="350">
        <v>22</v>
      </c>
      <c r="Q336" s="349">
        <v>20</v>
      </c>
      <c r="R336" s="349"/>
      <c r="S336" s="346"/>
      <c r="T336" s="346"/>
      <c r="U336" s="346"/>
      <c r="V336" s="346"/>
      <c r="W336" s="346"/>
      <c r="X336" s="346"/>
      <c r="Y336" s="346"/>
      <c r="Z336" s="346"/>
      <c r="AA336" s="346"/>
      <c r="AB336" s="346"/>
      <c r="AC336" s="346"/>
      <c r="AD336" s="346"/>
      <c r="AE336" s="346"/>
      <c r="AF336" s="346"/>
      <c r="AG336" s="346"/>
      <c r="AH336" s="346"/>
      <c r="AI336" s="346"/>
      <c r="AJ336" s="346"/>
      <c r="AK336" s="346"/>
      <c r="AL336" s="346"/>
      <c r="AM336" s="346"/>
      <c r="AN336" s="346"/>
      <c r="AO336" s="346"/>
      <c r="AP336" s="346"/>
      <c r="AQ336" s="346"/>
      <c r="AR336" s="346"/>
      <c r="AS336" s="346"/>
      <c r="AT336" s="346"/>
      <c r="AU336" s="346"/>
      <c r="AV336" s="346"/>
      <c r="AW336" s="346"/>
      <c r="AX336" s="346"/>
      <c r="AY336" s="346"/>
      <c r="AZ336" s="346"/>
      <c r="BA336" s="346"/>
      <c r="BB336" s="346"/>
      <c r="BC336" s="346"/>
      <c r="BD336" s="346"/>
      <c r="BE336" s="346"/>
      <c r="BF336" s="346"/>
      <c r="BG336" s="346"/>
      <c r="BH336" s="346"/>
      <c r="BI336" s="346"/>
      <c r="BJ336" s="346"/>
      <c r="BK336" s="346"/>
      <c r="BL336" s="346"/>
      <c r="BM336" s="346"/>
      <c r="BN336" s="346"/>
      <c r="BO336" s="346"/>
      <c r="BP336" s="346"/>
      <c r="BQ336" s="346"/>
      <c r="BR336" s="346"/>
      <c r="BS336" s="346"/>
      <c r="BT336" s="346"/>
      <c r="BU336" s="346"/>
      <c r="BV336" s="346"/>
      <c r="BW336" s="346"/>
      <c r="BX336" s="346"/>
      <c r="BY336" s="346"/>
      <c r="BZ336" s="346"/>
      <c r="CA336" s="346"/>
      <c r="CB336" s="346"/>
      <c r="CC336" s="346"/>
      <c r="CD336" s="346"/>
      <c r="CE336" s="346"/>
      <c r="CF336" s="346"/>
      <c r="CG336" s="346"/>
      <c r="CH336" s="346"/>
      <c r="CI336" s="346"/>
      <c r="CJ336" s="346"/>
      <c r="CK336" s="346"/>
      <c r="CL336" s="346"/>
      <c r="CM336" s="346"/>
      <c r="CN336" s="346"/>
      <c r="CO336" s="346"/>
      <c r="CP336" s="346"/>
      <c r="CQ336" s="346"/>
      <c r="CR336" s="346"/>
      <c r="CS336" s="346"/>
      <c r="CT336" s="346"/>
      <c r="CU336" s="346"/>
      <c r="CV336" s="346"/>
      <c r="CW336" s="346"/>
      <c r="CX336" s="346"/>
      <c r="CY336" s="346"/>
      <c r="CZ336" s="346"/>
      <c r="DA336" s="346"/>
      <c r="DB336" s="346"/>
      <c r="DC336" s="346"/>
      <c r="DD336" s="346"/>
      <c r="DE336" s="346"/>
      <c r="DF336" s="346"/>
      <c r="DG336" s="346"/>
      <c r="DH336" s="346"/>
      <c r="DI336" s="346"/>
    </row>
    <row r="337" spans="1:113" x14ac:dyDescent="0.25">
      <c r="A337" s="384"/>
      <c r="B337" s="394"/>
      <c r="C337" s="362"/>
      <c r="D337" s="397"/>
      <c r="E337" s="364"/>
      <c r="F337" s="361"/>
      <c r="G337" s="386"/>
      <c r="H337" s="366"/>
      <c r="I337" s="365"/>
      <c r="J337" s="365"/>
      <c r="K337" s="367"/>
      <c r="L337"/>
      <c r="M337" s="348"/>
      <c r="N337" s="310" t="s">
        <v>1096</v>
      </c>
      <c r="O337" s="349" t="s">
        <v>1117</v>
      </c>
      <c r="P337" s="350" t="s">
        <v>1036</v>
      </c>
      <c r="Q337" s="349" t="s">
        <v>1071</v>
      </c>
      <c r="R337" s="349" t="s">
        <v>1094</v>
      </c>
      <c r="S337" s="346" t="s">
        <v>1094</v>
      </c>
      <c r="T337" s="350"/>
      <c r="U337" s="346"/>
      <c r="V337" s="346"/>
      <c r="W337" s="346"/>
      <c r="X337" s="346"/>
      <c r="Y337" s="346"/>
      <c r="Z337" s="346"/>
      <c r="AA337" s="346"/>
      <c r="AB337" s="346"/>
      <c r="AC337" s="346"/>
      <c r="AD337" s="346"/>
      <c r="AE337" s="346"/>
      <c r="AF337" s="346"/>
      <c r="AG337" s="346"/>
      <c r="AH337" s="346"/>
      <c r="AI337" s="346"/>
      <c r="AJ337" s="346"/>
      <c r="AK337" s="346"/>
      <c r="AL337" s="346"/>
      <c r="AM337" s="346"/>
      <c r="AN337" s="346"/>
      <c r="AO337" s="346"/>
      <c r="AP337" s="346"/>
      <c r="AQ337" s="346"/>
      <c r="AR337" s="346"/>
      <c r="AS337" s="346"/>
      <c r="AT337" s="346"/>
      <c r="AU337" s="346"/>
      <c r="AV337" s="346"/>
      <c r="AW337" s="346"/>
      <c r="AX337" s="346"/>
      <c r="AY337" s="346"/>
      <c r="AZ337" s="346"/>
      <c r="BA337" s="346"/>
      <c r="BB337" s="346"/>
      <c r="BC337" s="346"/>
      <c r="BD337" s="346"/>
      <c r="BE337" s="346"/>
      <c r="BF337" s="346"/>
      <c r="BG337" s="346"/>
      <c r="BH337" s="346"/>
      <c r="BI337" s="346"/>
      <c r="BJ337" s="346"/>
      <c r="BK337" s="346"/>
      <c r="BL337" s="346"/>
      <c r="BM337" s="346"/>
      <c r="BN337" s="346"/>
      <c r="BO337" s="346"/>
      <c r="BP337" s="346"/>
      <c r="BQ337" s="346"/>
      <c r="BR337" s="346"/>
      <c r="BS337" s="346"/>
      <c r="BT337" s="346"/>
      <c r="BU337" s="346"/>
      <c r="BV337" s="346"/>
      <c r="BW337" s="346"/>
      <c r="BX337" s="346"/>
      <c r="BY337" s="346"/>
      <c r="BZ337" s="346"/>
      <c r="CA337" s="346"/>
      <c r="CB337" s="346"/>
      <c r="CC337" s="346"/>
      <c r="CD337" s="346"/>
      <c r="CE337" s="346"/>
      <c r="CF337" s="346"/>
      <c r="CG337" s="346"/>
      <c r="CH337" s="346"/>
      <c r="CI337" s="346"/>
      <c r="CJ337" s="346"/>
      <c r="CK337" s="346"/>
      <c r="CL337" s="346"/>
      <c r="CM337" s="346"/>
      <c r="CN337" s="346"/>
      <c r="CO337" s="346"/>
      <c r="CP337" s="346"/>
      <c r="CQ337" s="346"/>
      <c r="CR337" s="346"/>
      <c r="CS337" s="346"/>
      <c r="CT337" s="346"/>
      <c r="CU337" s="346"/>
      <c r="CV337" s="346"/>
      <c r="CW337" s="346"/>
      <c r="CX337" s="346"/>
      <c r="CY337" s="346"/>
      <c r="CZ337" s="346"/>
      <c r="DA337" s="346"/>
      <c r="DB337" s="346"/>
      <c r="DC337" s="346"/>
      <c r="DD337" s="346"/>
      <c r="DE337" s="346"/>
      <c r="DF337" s="346"/>
      <c r="DG337" s="346"/>
      <c r="DH337" s="346"/>
      <c r="DI337" s="346"/>
    </row>
    <row r="338" spans="1:113" x14ac:dyDescent="0.25">
      <c r="A338" s="170"/>
      <c r="B338" s="115" t="s">
        <v>1120</v>
      </c>
      <c r="C338" s="116">
        <v>4500</v>
      </c>
      <c r="D338" s="190"/>
      <c r="E338" s="122"/>
      <c r="F338" s="121"/>
      <c r="G338" s="169"/>
      <c r="H338" s="108"/>
      <c r="I338" s="109"/>
      <c r="J338" s="109"/>
      <c r="K338" s="110"/>
      <c r="L338"/>
      <c r="M338" s="314">
        <f t="shared" ref="M338" si="79">SUM(N338:DJ338)</f>
        <v>291</v>
      </c>
      <c r="N338" s="310">
        <v>23</v>
      </c>
      <c r="O338" s="349">
        <f>48+52</f>
        <v>100</v>
      </c>
      <c r="P338" s="350">
        <v>20</v>
      </c>
      <c r="Q338" s="349">
        <v>60</v>
      </c>
      <c r="R338" s="349">
        <v>48</v>
      </c>
      <c r="S338" s="346">
        <v>40</v>
      </c>
      <c r="T338" s="350"/>
      <c r="U338" s="346"/>
      <c r="V338" s="346"/>
      <c r="W338" s="346"/>
      <c r="X338" s="346"/>
      <c r="Y338" s="346"/>
      <c r="Z338" s="346"/>
      <c r="AA338" s="346"/>
      <c r="AB338" s="346"/>
      <c r="AC338" s="346"/>
      <c r="AD338" s="346"/>
      <c r="AE338" s="346"/>
      <c r="AF338" s="346"/>
      <c r="AG338" s="346"/>
      <c r="AH338" s="346"/>
      <c r="AI338" s="346"/>
      <c r="AJ338" s="346"/>
      <c r="AK338" s="346"/>
      <c r="AL338" s="346"/>
      <c r="AM338" s="346"/>
      <c r="AN338" s="346"/>
      <c r="AO338" s="346"/>
      <c r="AP338" s="346"/>
      <c r="AQ338" s="346"/>
      <c r="AR338" s="346"/>
      <c r="AS338" s="346"/>
      <c r="AT338" s="346"/>
      <c r="AU338" s="346"/>
      <c r="AV338" s="346"/>
      <c r="AW338" s="346"/>
      <c r="AX338" s="346"/>
      <c r="AY338" s="346"/>
      <c r="AZ338" s="346"/>
      <c r="BA338" s="346"/>
      <c r="BB338" s="346"/>
      <c r="BC338" s="346"/>
      <c r="BD338" s="346"/>
      <c r="BE338" s="346"/>
      <c r="BF338" s="346"/>
      <c r="BG338" s="346"/>
      <c r="BH338" s="346"/>
      <c r="BI338" s="346"/>
      <c r="BJ338" s="346"/>
      <c r="BK338" s="346"/>
      <c r="BL338" s="346"/>
      <c r="BM338" s="346"/>
      <c r="BN338" s="346"/>
      <c r="BO338" s="346"/>
      <c r="BP338" s="346"/>
      <c r="BQ338" s="346"/>
      <c r="BR338" s="346"/>
      <c r="BS338" s="346"/>
      <c r="BT338" s="346"/>
      <c r="BU338" s="346"/>
      <c r="BV338" s="346"/>
      <c r="BW338" s="346"/>
      <c r="BX338" s="346"/>
      <c r="BY338" s="346"/>
      <c r="BZ338" s="346"/>
      <c r="CA338" s="346"/>
      <c r="CB338" s="346"/>
      <c r="CC338" s="346"/>
      <c r="CD338" s="346"/>
      <c r="CE338" s="346"/>
      <c r="CF338" s="346"/>
      <c r="CG338" s="346"/>
      <c r="CH338" s="346"/>
      <c r="CI338" s="346"/>
      <c r="CJ338" s="346"/>
      <c r="CK338" s="346"/>
      <c r="CL338" s="346"/>
      <c r="CM338" s="346"/>
      <c r="CN338" s="346"/>
      <c r="CO338" s="346"/>
      <c r="CP338" s="346"/>
      <c r="CQ338" s="346"/>
      <c r="CR338" s="346"/>
      <c r="CS338" s="346"/>
      <c r="CT338" s="346"/>
      <c r="CU338" s="346"/>
      <c r="CV338" s="346"/>
      <c r="CW338" s="346"/>
      <c r="CX338" s="346"/>
      <c r="CY338" s="346"/>
      <c r="CZ338" s="346"/>
      <c r="DA338" s="346"/>
      <c r="DB338" s="346"/>
      <c r="DC338" s="346"/>
      <c r="DD338" s="346"/>
      <c r="DE338" s="346"/>
      <c r="DF338" s="346"/>
      <c r="DG338" s="346"/>
      <c r="DH338" s="346"/>
      <c r="DI338" s="346"/>
    </row>
    <row r="339" spans="1:113" x14ac:dyDescent="0.25">
      <c r="A339" s="384"/>
      <c r="B339" s="394"/>
      <c r="C339" s="362"/>
      <c r="D339" s="397"/>
      <c r="E339" s="364"/>
      <c r="F339" s="361"/>
      <c r="G339" s="386"/>
      <c r="H339" s="366"/>
      <c r="I339" s="365"/>
      <c r="J339" s="365"/>
      <c r="K339" s="367"/>
      <c r="L339"/>
      <c r="M339" s="348"/>
      <c r="N339" s="310" t="s">
        <v>1096</v>
      </c>
      <c r="O339" s="350" t="s">
        <v>1071</v>
      </c>
      <c r="P339" s="350" t="s">
        <v>1122</v>
      </c>
      <c r="Q339" s="349" t="s">
        <v>1036</v>
      </c>
      <c r="R339" s="349"/>
      <c r="S339" s="346"/>
      <c r="T339" s="346"/>
      <c r="U339" s="346"/>
      <c r="V339" s="346"/>
      <c r="W339" s="346"/>
      <c r="X339" s="346"/>
      <c r="Y339" s="346"/>
      <c r="Z339" s="346"/>
      <c r="AA339" s="346"/>
      <c r="AB339" s="346"/>
      <c r="AC339" s="346"/>
      <c r="AD339" s="346"/>
      <c r="AE339" s="346"/>
      <c r="AF339" s="346"/>
      <c r="AG339" s="346"/>
      <c r="AH339" s="346"/>
      <c r="AI339" s="346"/>
      <c r="AJ339" s="346"/>
      <c r="AK339" s="346"/>
      <c r="AL339" s="346"/>
      <c r="AM339" s="346"/>
      <c r="AN339" s="346"/>
      <c r="AO339" s="346"/>
      <c r="AP339" s="346"/>
      <c r="AQ339" s="346"/>
      <c r="AR339" s="346"/>
      <c r="AS339" s="346"/>
      <c r="AT339" s="346"/>
      <c r="AU339" s="346"/>
      <c r="AV339" s="346"/>
      <c r="AW339" s="346"/>
      <c r="AX339" s="346"/>
      <c r="AY339" s="346"/>
      <c r="AZ339" s="346"/>
      <c r="BA339" s="346"/>
      <c r="BB339" s="346"/>
      <c r="BC339" s="346"/>
      <c r="BD339" s="346"/>
      <c r="BE339" s="346"/>
      <c r="BF339" s="346"/>
      <c r="BG339" s="346"/>
      <c r="BH339" s="346"/>
      <c r="BI339" s="346"/>
      <c r="BJ339" s="346"/>
      <c r="BK339" s="346"/>
      <c r="BL339" s="346"/>
      <c r="BM339" s="346"/>
      <c r="BN339" s="346"/>
      <c r="BO339" s="346"/>
      <c r="BP339" s="346"/>
      <c r="BQ339" s="346"/>
      <c r="BR339" s="346"/>
      <c r="BS339" s="346"/>
      <c r="BT339" s="346"/>
      <c r="BU339" s="346"/>
      <c r="BV339" s="346"/>
      <c r="BW339" s="346"/>
      <c r="BX339" s="346"/>
      <c r="BY339" s="346"/>
      <c r="BZ339" s="346"/>
      <c r="CA339" s="346"/>
      <c r="CB339" s="346"/>
      <c r="CC339" s="346"/>
      <c r="CD339" s="346"/>
      <c r="CE339" s="346"/>
      <c r="CF339" s="346"/>
      <c r="CG339" s="346"/>
      <c r="CH339" s="346"/>
      <c r="CI339" s="346"/>
      <c r="CJ339" s="346"/>
      <c r="CK339" s="346"/>
      <c r="CL339" s="346"/>
      <c r="CM339" s="346"/>
      <c r="CN339" s="346"/>
      <c r="CO339" s="346"/>
      <c r="CP339" s="346"/>
      <c r="CQ339" s="346"/>
      <c r="CR339" s="346"/>
      <c r="CS339" s="346"/>
      <c r="CT339" s="346"/>
      <c r="CU339" s="346"/>
      <c r="CV339" s="346"/>
      <c r="CW339" s="346"/>
      <c r="CX339" s="346"/>
      <c r="CY339" s="346"/>
      <c r="CZ339" s="346"/>
      <c r="DA339" s="346"/>
      <c r="DB339" s="346"/>
      <c r="DC339" s="346"/>
      <c r="DD339" s="346"/>
      <c r="DE339" s="346"/>
      <c r="DF339" s="346"/>
      <c r="DG339" s="346"/>
      <c r="DH339" s="346"/>
      <c r="DI339" s="346"/>
    </row>
    <row r="340" spans="1:113" x14ac:dyDescent="0.25">
      <c r="A340" s="170"/>
      <c r="B340" s="115" t="s">
        <v>1121</v>
      </c>
      <c r="C340" s="116">
        <v>4500</v>
      </c>
      <c r="D340" s="190"/>
      <c r="E340" s="122"/>
      <c r="F340" s="121"/>
      <c r="G340" s="169"/>
      <c r="H340" s="108"/>
      <c r="I340" s="109"/>
      <c r="J340" s="109"/>
      <c r="K340" s="110"/>
      <c r="L340"/>
      <c r="M340" s="314">
        <f t="shared" ref="M340" si="80">SUM(N340:DJ340)</f>
        <v>181</v>
      </c>
      <c r="N340" s="310">
        <v>23</v>
      </c>
      <c r="O340" s="350">
        <f>59</f>
        <v>59</v>
      </c>
      <c r="P340" s="350">
        <v>79</v>
      </c>
      <c r="Q340" s="349">
        <v>20</v>
      </c>
      <c r="R340" s="349"/>
      <c r="S340" s="346"/>
      <c r="T340" s="346"/>
      <c r="U340" s="346"/>
      <c r="V340" s="346"/>
      <c r="W340" s="346"/>
      <c r="X340" s="346"/>
      <c r="Y340" s="346"/>
      <c r="Z340" s="346"/>
      <c r="AA340" s="346"/>
      <c r="AB340" s="346"/>
      <c r="AC340" s="346"/>
      <c r="AD340" s="346"/>
      <c r="AE340" s="346"/>
      <c r="AF340" s="346"/>
      <c r="AG340" s="346"/>
      <c r="AH340" s="346"/>
      <c r="AI340" s="346"/>
      <c r="AJ340" s="346"/>
      <c r="AK340" s="346"/>
      <c r="AL340" s="346"/>
      <c r="AM340" s="346"/>
      <c r="AN340" s="346"/>
      <c r="AO340" s="346"/>
      <c r="AP340" s="346"/>
      <c r="AQ340" s="346"/>
      <c r="AR340" s="346"/>
      <c r="AS340" s="346"/>
      <c r="AT340" s="346"/>
      <c r="AU340" s="346"/>
      <c r="AV340" s="346"/>
      <c r="AW340" s="346"/>
      <c r="AX340" s="346"/>
      <c r="AY340" s="346"/>
      <c r="AZ340" s="346"/>
      <c r="BA340" s="346"/>
      <c r="BB340" s="346"/>
      <c r="BC340" s="346"/>
      <c r="BD340" s="346"/>
      <c r="BE340" s="346"/>
      <c r="BF340" s="346"/>
      <c r="BG340" s="346"/>
      <c r="BH340" s="346"/>
      <c r="BI340" s="346"/>
      <c r="BJ340" s="346"/>
      <c r="BK340" s="346"/>
      <c r="BL340" s="346"/>
      <c r="BM340" s="346"/>
      <c r="BN340" s="346"/>
      <c r="BO340" s="346"/>
      <c r="BP340" s="346"/>
      <c r="BQ340" s="346"/>
      <c r="BR340" s="346"/>
      <c r="BS340" s="346"/>
      <c r="BT340" s="346"/>
      <c r="BU340" s="346"/>
      <c r="BV340" s="346"/>
      <c r="BW340" s="346"/>
      <c r="BX340" s="346"/>
      <c r="BY340" s="346"/>
      <c r="BZ340" s="346"/>
      <c r="CA340" s="346"/>
      <c r="CB340" s="346"/>
      <c r="CC340" s="346"/>
      <c r="CD340" s="346"/>
      <c r="CE340" s="346"/>
      <c r="CF340" s="346"/>
      <c r="CG340" s="346"/>
      <c r="CH340" s="346"/>
      <c r="CI340" s="346"/>
      <c r="CJ340" s="346"/>
      <c r="CK340" s="346"/>
      <c r="CL340" s="346"/>
      <c r="CM340" s="346"/>
      <c r="CN340" s="346"/>
      <c r="CO340" s="346"/>
      <c r="CP340" s="346"/>
      <c r="CQ340" s="346"/>
      <c r="CR340" s="346"/>
      <c r="CS340" s="346"/>
      <c r="CT340" s="346"/>
      <c r="CU340" s="346"/>
      <c r="CV340" s="346"/>
      <c r="CW340" s="346"/>
      <c r="CX340" s="346"/>
      <c r="CY340" s="346"/>
      <c r="CZ340" s="346"/>
      <c r="DA340" s="346"/>
      <c r="DB340" s="346"/>
      <c r="DC340" s="346"/>
      <c r="DD340" s="346"/>
      <c r="DE340" s="346"/>
      <c r="DF340" s="346"/>
      <c r="DG340" s="346"/>
      <c r="DH340" s="346"/>
      <c r="DI340" s="346"/>
    </row>
    <row r="341" spans="1:113" x14ac:dyDescent="0.25">
      <c r="A341" s="384"/>
      <c r="B341" s="394"/>
      <c r="C341" s="362"/>
      <c r="D341" s="397"/>
      <c r="E341" s="364"/>
      <c r="F341" s="361"/>
      <c r="G341" s="386"/>
      <c r="H341" s="366"/>
      <c r="I341" s="365"/>
      <c r="J341" s="365"/>
      <c r="K341" s="367"/>
      <c r="L341"/>
      <c r="M341" s="348"/>
      <c r="N341" s="310" t="s">
        <v>1096</v>
      </c>
      <c r="O341" s="349" t="s">
        <v>1122</v>
      </c>
      <c r="P341" s="350" t="s">
        <v>1071</v>
      </c>
      <c r="Q341" s="349" t="s">
        <v>1036</v>
      </c>
      <c r="R341" s="349"/>
      <c r="S341" s="346"/>
      <c r="T341" s="346"/>
      <c r="U341" s="346"/>
      <c r="V341" s="346"/>
      <c r="W341" s="346"/>
      <c r="X341" s="346"/>
      <c r="Y341" s="346"/>
      <c r="Z341" s="346"/>
      <c r="AA341" s="346"/>
      <c r="AB341" s="346"/>
      <c r="AC341" s="346"/>
      <c r="AD341" s="346"/>
      <c r="AE341" s="346"/>
      <c r="AF341" s="346"/>
      <c r="AG341" s="346"/>
      <c r="AH341" s="346"/>
      <c r="AI341" s="346"/>
      <c r="AJ341" s="346"/>
      <c r="AK341" s="346"/>
      <c r="AL341" s="346"/>
      <c r="AM341" s="346"/>
      <c r="AN341" s="346"/>
      <c r="AO341" s="346"/>
      <c r="AP341" s="346"/>
      <c r="AQ341" s="346"/>
      <c r="AR341" s="346"/>
      <c r="AS341" s="346"/>
      <c r="AT341" s="346"/>
      <c r="AU341" s="346"/>
      <c r="AV341" s="346"/>
      <c r="AW341" s="346"/>
      <c r="AX341" s="346"/>
      <c r="AY341" s="346"/>
      <c r="AZ341" s="346"/>
      <c r="BA341" s="346"/>
      <c r="BB341" s="346"/>
      <c r="BC341" s="346"/>
      <c r="BD341" s="346"/>
      <c r="BE341" s="346"/>
      <c r="BF341" s="346"/>
      <c r="BG341" s="346"/>
      <c r="BH341" s="346"/>
      <c r="BI341" s="346"/>
      <c r="BJ341" s="346"/>
      <c r="BK341" s="346"/>
      <c r="BL341" s="346"/>
      <c r="BM341" s="346"/>
      <c r="BN341" s="346"/>
      <c r="BO341" s="346"/>
      <c r="BP341" s="346"/>
      <c r="BQ341" s="346"/>
      <c r="BR341" s="346"/>
      <c r="BS341" s="346"/>
      <c r="BT341" s="346"/>
      <c r="BU341" s="346"/>
      <c r="BV341" s="346"/>
      <c r="BW341" s="346"/>
      <c r="BX341" s="346"/>
      <c r="BY341" s="346"/>
      <c r="BZ341" s="346"/>
      <c r="CA341" s="346"/>
      <c r="CB341" s="346"/>
      <c r="CC341" s="346"/>
      <c r="CD341" s="346"/>
      <c r="CE341" s="346"/>
      <c r="CF341" s="346"/>
      <c r="CG341" s="346"/>
      <c r="CH341" s="346"/>
      <c r="CI341" s="346"/>
      <c r="CJ341" s="346"/>
      <c r="CK341" s="346"/>
      <c r="CL341" s="346"/>
      <c r="CM341" s="346"/>
      <c r="CN341" s="346"/>
      <c r="CO341" s="346"/>
      <c r="CP341" s="346"/>
      <c r="CQ341" s="346"/>
      <c r="CR341" s="346"/>
      <c r="CS341" s="346"/>
      <c r="CT341" s="346"/>
      <c r="CU341" s="346"/>
      <c r="CV341" s="346"/>
      <c r="CW341" s="346"/>
      <c r="CX341" s="346"/>
      <c r="CY341" s="346"/>
      <c r="CZ341" s="346"/>
      <c r="DA341" s="346"/>
      <c r="DB341" s="346"/>
      <c r="DC341" s="346"/>
      <c r="DD341" s="346"/>
      <c r="DE341" s="346"/>
      <c r="DF341" s="346"/>
      <c r="DG341" s="346"/>
      <c r="DH341" s="346"/>
      <c r="DI341" s="346"/>
    </row>
    <row r="342" spans="1:113" x14ac:dyDescent="0.25">
      <c r="A342" s="170"/>
      <c r="B342" s="115" t="s">
        <v>1123</v>
      </c>
      <c r="C342" s="116">
        <v>4500</v>
      </c>
      <c r="D342" s="190"/>
      <c r="E342" s="122"/>
      <c r="F342" s="121"/>
      <c r="G342" s="169"/>
      <c r="H342" s="108"/>
      <c r="I342" s="109"/>
      <c r="J342" s="109"/>
      <c r="K342" s="110"/>
      <c r="L342"/>
      <c r="M342" s="314">
        <f t="shared" ref="M342" si="81">SUM(N342:DJ342)</f>
        <v>171</v>
      </c>
      <c r="N342" s="310">
        <v>12</v>
      </c>
      <c r="O342" s="349">
        <v>79</v>
      </c>
      <c r="P342" s="350">
        <v>60</v>
      </c>
      <c r="Q342" s="349">
        <v>20</v>
      </c>
      <c r="R342" s="349"/>
      <c r="S342" s="346"/>
      <c r="T342" s="346"/>
      <c r="U342" s="346"/>
      <c r="V342" s="346"/>
      <c r="W342" s="346"/>
      <c r="X342" s="346"/>
      <c r="Y342" s="346"/>
      <c r="Z342" s="346"/>
      <c r="AA342" s="346"/>
      <c r="AB342" s="346"/>
      <c r="AC342" s="346"/>
      <c r="AD342" s="346"/>
      <c r="AE342" s="346"/>
      <c r="AF342" s="346"/>
      <c r="AG342" s="346"/>
      <c r="AH342" s="346"/>
      <c r="AI342" s="346"/>
      <c r="AJ342" s="346"/>
      <c r="AK342" s="346"/>
      <c r="AL342" s="346"/>
      <c r="AM342" s="346"/>
      <c r="AN342" s="346"/>
      <c r="AO342" s="346"/>
      <c r="AP342" s="346"/>
      <c r="AQ342" s="346"/>
      <c r="AR342" s="346"/>
      <c r="AS342" s="346"/>
      <c r="AT342" s="346"/>
      <c r="AU342" s="346"/>
      <c r="AV342" s="346"/>
      <c r="AW342" s="346"/>
      <c r="AX342" s="346"/>
      <c r="AY342" s="346"/>
      <c r="AZ342" s="346"/>
      <c r="BA342" s="346"/>
      <c r="BB342" s="346"/>
      <c r="BC342" s="346"/>
      <c r="BD342" s="346"/>
      <c r="BE342" s="346"/>
      <c r="BF342" s="346"/>
      <c r="BG342" s="346"/>
      <c r="BH342" s="346"/>
      <c r="BI342" s="346"/>
      <c r="BJ342" s="346"/>
      <c r="BK342" s="346"/>
      <c r="BL342" s="346"/>
      <c r="BM342" s="346"/>
      <c r="BN342" s="346"/>
      <c r="BO342" s="346"/>
      <c r="BP342" s="346"/>
      <c r="BQ342" s="346"/>
      <c r="BR342" s="346"/>
      <c r="BS342" s="346"/>
      <c r="BT342" s="346"/>
      <c r="BU342" s="346"/>
      <c r="BV342" s="346"/>
      <c r="BW342" s="346"/>
      <c r="BX342" s="346"/>
      <c r="BY342" s="346"/>
      <c r="BZ342" s="346"/>
      <c r="CA342" s="346"/>
      <c r="CB342" s="346"/>
      <c r="CC342" s="346"/>
      <c r="CD342" s="346"/>
      <c r="CE342" s="346"/>
      <c r="CF342" s="346"/>
      <c r="CG342" s="346"/>
      <c r="CH342" s="346"/>
      <c r="CI342" s="346"/>
      <c r="CJ342" s="346"/>
      <c r="CK342" s="346"/>
      <c r="CL342" s="346"/>
      <c r="CM342" s="346"/>
      <c r="CN342" s="346"/>
      <c r="CO342" s="346"/>
      <c r="CP342" s="346"/>
      <c r="CQ342" s="346"/>
      <c r="CR342" s="346"/>
      <c r="CS342" s="346"/>
      <c r="CT342" s="346"/>
      <c r="CU342" s="346"/>
      <c r="CV342" s="346"/>
      <c r="CW342" s="346"/>
      <c r="CX342" s="346"/>
      <c r="CY342" s="346"/>
      <c r="CZ342" s="346"/>
      <c r="DA342" s="346"/>
      <c r="DB342" s="346"/>
      <c r="DC342" s="346"/>
      <c r="DD342" s="346"/>
      <c r="DE342" s="346"/>
      <c r="DF342" s="346"/>
      <c r="DG342" s="346"/>
      <c r="DH342" s="346"/>
      <c r="DI342" s="346"/>
    </row>
    <row r="343" spans="1:113" x14ac:dyDescent="0.25">
      <c r="A343" s="384"/>
      <c r="B343" s="394"/>
      <c r="C343" s="362"/>
      <c r="D343" s="397"/>
      <c r="E343" s="364"/>
      <c r="F343" s="361"/>
      <c r="G343" s="386"/>
      <c r="H343" s="366"/>
      <c r="I343" s="365"/>
      <c r="J343" s="365"/>
      <c r="K343" s="367"/>
      <c r="L343"/>
      <c r="M343" s="348"/>
      <c r="N343" s="310" t="s">
        <v>1036</v>
      </c>
      <c r="O343" s="349" t="s">
        <v>1094</v>
      </c>
      <c r="P343" s="350" t="s">
        <v>1094</v>
      </c>
      <c r="Q343" s="349" t="s">
        <v>1094</v>
      </c>
      <c r="R343" s="349" t="s">
        <v>1094</v>
      </c>
      <c r="S343" s="346" t="s">
        <v>1122</v>
      </c>
      <c r="T343" s="346" t="s">
        <v>1125</v>
      </c>
      <c r="U343" s="346" t="s">
        <v>1096</v>
      </c>
      <c r="V343" s="346" t="s">
        <v>1071</v>
      </c>
      <c r="W343" s="346"/>
      <c r="X343" s="346"/>
      <c r="Y343" s="346"/>
      <c r="Z343" s="346"/>
      <c r="AA343" s="346"/>
      <c r="AB343" s="346"/>
      <c r="AC343" s="346"/>
      <c r="AD343" s="346"/>
      <c r="AE343" s="346"/>
      <c r="AF343" s="346"/>
      <c r="AG343" s="346"/>
      <c r="AH343" s="346"/>
      <c r="AI343" s="346"/>
      <c r="AJ343" s="346"/>
      <c r="AK343" s="346"/>
      <c r="AL343" s="346"/>
      <c r="AM343" s="346"/>
      <c r="AN343" s="346"/>
      <c r="AO343" s="346"/>
      <c r="AP343" s="346"/>
      <c r="AQ343" s="346"/>
      <c r="AR343" s="346"/>
      <c r="AS343" s="346"/>
      <c r="AT343" s="346"/>
      <c r="AU343" s="346"/>
      <c r="AV343" s="346"/>
      <c r="AW343" s="346"/>
      <c r="AX343" s="346"/>
      <c r="AY343" s="346"/>
      <c r="AZ343" s="346"/>
      <c r="BA343" s="346"/>
      <c r="BB343" s="346"/>
      <c r="BC343" s="346"/>
      <c r="BD343" s="346"/>
      <c r="BE343" s="346"/>
      <c r="BF343" s="346"/>
      <c r="BG343" s="346"/>
      <c r="BH343" s="346"/>
      <c r="BI343" s="346"/>
      <c r="BJ343" s="346"/>
      <c r="BK343" s="346"/>
      <c r="BL343" s="346"/>
      <c r="BM343" s="346"/>
      <c r="BN343" s="346"/>
      <c r="BO343" s="346"/>
      <c r="BP343" s="346"/>
      <c r="BQ343" s="346"/>
      <c r="BR343" s="346"/>
      <c r="BS343" s="346"/>
      <c r="BT343" s="346"/>
      <c r="BU343" s="346"/>
      <c r="BV343" s="346"/>
      <c r="BW343" s="346"/>
      <c r="BX343" s="346"/>
      <c r="BY343" s="346"/>
      <c r="BZ343" s="346"/>
      <c r="CA343" s="346"/>
      <c r="CB343" s="346"/>
      <c r="CC343" s="346"/>
      <c r="CD343" s="346"/>
      <c r="CE343" s="346"/>
      <c r="CF343" s="346"/>
      <c r="CG343" s="346"/>
      <c r="CH343" s="346"/>
      <c r="CI343" s="346"/>
      <c r="CJ343" s="346"/>
      <c r="CK343" s="346"/>
      <c r="CL343" s="346"/>
      <c r="CM343" s="346"/>
      <c r="CN343" s="346"/>
      <c r="CO343" s="346"/>
      <c r="CP343" s="346"/>
      <c r="CQ343" s="346"/>
      <c r="CR343" s="346"/>
      <c r="CS343" s="346"/>
      <c r="CT343" s="346"/>
      <c r="CU343" s="346"/>
      <c r="CV343" s="346"/>
      <c r="CW343" s="346"/>
      <c r="CX343" s="346"/>
      <c r="CY343" s="346"/>
      <c r="CZ343" s="346"/>
      <c r="DA343" s="346"/>
      <c r="DB343" s="346"/>
      <c r="DC343" s="346"/>
      <c r="DD343" s="346"/>
      <c r="DE343" s="346"/>
      <c r="DF343" s="346"/>
      <c r="DG343" s="346"/>
      <c r="DH343" s="346"/>
      <c r="DI343" s="346"/>
    </row>
    <row r="344" spans="1:113" x14ac:dyDescent="0.25">
      <c r="A344" s="170"/>
      <c r="B344" s="115" t="s">
        <v>1124</v>
      </c>
      <c r="C344" s="116">
        <v>4500</v>
      </c>
      <c r="D344" s="190"/>
      <c r="E344" s="122"/>
      <c r="F344" s="121"/>
      <c r="G344" s="169"/>
      <c r="H344" s="108"/>
      <c r="I344" s="109"/>
      <c r="J344" s="109"/>
      <c r="K344" s="110"/>
      <c r="L344"/>
      <c r="M344" s="314">
        <f t="shared" ref="M344" si="82">SUM(N344:DJ344)</f>
        <v>296</v>
      </c>
      <c r="N344" s="310">
        <v>20</v>
      </c>
      <c r="O344" s="349">
        <v>20</v>
      </c>
      <c r="P344" s="350">
        <v>20</v>
      </c>
      <c r="Q344" s="349">
        <v>20</v>
      </c>
      <c r="R344" s="349">
        <v>20</v>
      </c>
      <c r="S344" s="346">
        <v>79</v>
      </c>
      <c r="T344" s="346">
        <v>49</v>
      </c>
      <c r="U344" s="346">
        <v>7</v>
      </c>
      <c r="V344" s="346">
        <v>61</v>
      </c>
      <c r="W344" s="346"/>
      <c r="X344" s="346"/>
      <c r="Y344" s="346"/>
      <c r="Z344" s="346"/>
      <c r="AA344" s="346"/>
      <c r="AB344" s="346"/>
      <c r="AC344" s="346"/>
      <c r="AD344" s="346"/>
      <c r="AE344" s="346"/>
      <c r="AF344" s="346"/>
      <c r="AG344" s="346"/>
      <c r="AH344" s="346"/>
      <c r="AI344" s="346"/>
      <c r="AJ344" s="346"/>
      <c r="AK344" s="346"/>
      <c r="AL344" s="346"/>
      <c r="AM344" s="346"/>
      <c r="AN344" s="346"/>
      <c r="AO344" s="346"/>
      <c r="AP344" s="346"/>
      <c r="AQ344" s="346"/>
      <c r="AR344" s="346"/>
      <c r="AS344" s="346"/>
      <c r="AT344" s="346"/>
      <c r="AU344" s="346"/>
      <c r="AV344" s="346"/>
      <c r="AW344" s="346"/>
      <c r="AX344" s="346"/>
      <c r="AY344" s="346"/>
      <c r="AZ344" s="346"/>
      <c r="BA344" s="346"/>
      <c r="BB344" s="346"/>
      <c r="BC344" s="346"/>
      <c r="BD344" s="346"/>
      <c r="BE344" s="346"/>
      <c r="BF344" s="346"/>
      <c r="BG344" s="346"/>
      <c r="BH344" s="346"/>
      <c r="BI344" s="346"/>
      <c r="BJ344" s="346"/>
      <c r="BK344" s="346"/>
      <c r="BL344" s="346"/>
      <c r="BM344" s="346"/>
      <c r="BN344" s="346"/>
      <c r="BO344" s="346"/>
      <c r="BP344" s="346"/>
      <c r="BQ344" s="346"/>
      <c r="BR344" s="346"/>
      <c r="BS344" s="346"/>
      <c r="BT344" s="346"/>
      <c r="BU344" s="346"/>
      <c r="BV344" s="346"/>
      <c r="BW344" s="346"/>
      <c r="BX344" s="346"/>
      <c r="BY344" s="346"/>
      <c r="BZ344" s="346"/>
      <c r="CA344" s="346"/>
      <c r="CB344" s="346"/>
      <c r="CC344" s="346"/>
      <c r="CD344" s="346"/>
      <c r="CE344" s="346"/>
      <c r="CF344" s="346"/>
      <c r="CG344" s="346"/>
      <c r="CH344" s="346"/>
      <c r="CI344" s="346"/>
      <c r="CJ344" s="346"/>
      <c r="CK344" s="346"/>
      <c r="CL344" s="346"/>
      <c r="CM344" s="346"/>
      <c r="CN344" s="346"/>
      <c r="CO344" s="346"/>
      <c r="CP344" s="346"/>
      <c r="CQ344" s="346"/>
      <c r="CR344" s="346"/>
      <c r="CS344" s="346"/>
      <c r="CT344" s="346"/>
      <c r="CU344" s="346"/>
      <c r="CV344" s="346"/>
      <c r="CW344" s="346"/>
      <c r="CX344" s="346"/>
      <c r="CY344" s="346"/>
      <c r="CZ344" s="346"/>
      <c r="DA344" s="346"/>
      <c r="DB344" s="346"/>
      <c r="DC344" s="346"/>
      <c r="DD344" s="346"/>
      <c r="DE344" s="346"/>
      <c r="DF344" s="346"/>
      <c r="DG344" s="346"/>
      <c r="DH344" s="346"/>
      <c r="DI344" s="346"/>
    </row>
    <row r="345" spans="1:113" x14ac:dyDescent="0.25">
      <c r="A345" s="384"/>
      <c r="B345" s="394"/>
      <c r="C345" s="362"/>
      <c r="D345" s="397"/>
      <c r="E345" s="364"/>
      <c r="F345" s="361"/>
      <c r="G345" s="386"/>
      <c r="H345" s="366"/>
      <c r="I345" s="365"/>
      <c r="J345" s="365"/>
      <c r="K345" s="367"/>
      <c r="L345"/>
      <c r="M345" s="348"/>
      <c r="N345" s="310" t="s">
        <v>1122</v>
      </c>
      <c r="O345" s="349" t="s">
        <v>1036</v>
      </c>
      <c r="P345" s="350" t="s">
        <v>1094</v>
      </c>
      <c r="Q345" s="349" t="s">
        <v>1096</v>
      </c>
      <c r="R345" s="349" t="s">
        <v>1125</v>
      </c>
      <c r="S345" s="346"/>
      <c r="T345" s="346"/>
      <c r="U345" s="346"/>
      <c r="V345" s="346"/>
      <c r="W345" s="346"/>
      <c r="X345" s="346"/>
      <c r="Y345" s="346"/>
      <c r="Z345" s="346"/>
      <c r="AA345" s="346"/>
      <c r="AB345" s="346"/>
      <c r="AC345" s="346"/>
      <c r="AD345" s="346"/>
      <c r="AE345" s="346"/>
      <c r="AF345" s="346"/>
      <c r="AG345" s="346"/>
      <c r="AH345" s="346"/>
      <c r="AI345" s="346"/>
      <c r="AJ345" s="346"/>
      <c r="AK345" s="346"/>
      <c r="AL345" s="346"/>
      <c r="AM345" s="346"/>
      <c r="AN345" s="346"/>
      <c r="AO345" s="346"/>
      <c r="AP345" s="346"/>
      <c r="AQ345" s="346"/>
      <c r="AR345" s="346"/>
      <c r="AS345" s="346"/>
      <c r="AT345" s="346"/>
      <c r="AU345" s="346"/>
      <c r="AV345" s="346"/>
      <c r="AW345" s="346"/>
      <c r="AX345" s="346"/>
      <c r="AY345" s="346"/>
      <c r="AZ345" s="346"/>
      <c r="BA345" s="346"/>
      <c r="BB345" s="346"/>
      <c r="BC345" s="346"/>
      <c r="BD345" s="346"/>
      <c r="BE345" s="346"/>
      <c r="BF345" s="346"/>
      <c r="BG345" s="346"/>
      <c r="BH345" s="346"/>
      <c r="BI345" s="346"/>
      <c r="BJ345" s="346"/>
      <c r="BK345" s="346"/>
      <c r="BL345" s="346"/>
      <c r="BM345" s="346"/>
      <c r="BN345" s="346"/>
      <c r="BO345" s="346"/>
      <c r="BP345" s="346"/>
      <c r="BQ345" s="346"/>
      <c r="BR345" s="346"/>
      <c r="BS345" s="346"/>
      <c r="BT345" s="346"/>
      <c r="BU345" s="346"/>
      <c r="BV345" s="346"/>
      <c r="BW345" s="346"/>
      <c r="BX345" s="346"/>
      <c r="BY345" s="346"/>
      <c r="BZ345" s="346"/>
      <c r="CA345" s="346"/>
      <c r="CB345" s="346"/>
      <c r="CC345" s="346"/>
      <c r="CD345" s="346"/>
      <c r="CE345" s="346"/>
      <c r="CF345" s="346"/>
      <c r="CG345" s="346"/>
      <c r="CH345" s="346"/>
      <c r="CI345" s="346"/>
      <c r="CJ345" s="346"/>
      <c r="CK345" s="346"/>
      <c r="CL345" s="346"/>
      <c r="CM345" s="346"/>
      <c r="CN345" s="346"/>
      <c r="CO345" s="346"/>
      <c r="CP345" s="346"/>
      <c r="CQ345" s="346"/>
      <c r="CR345" s="346"/>
      <c r="CS345" s="346"/>
      <c r="CT345" s="346"/>
      <c r="CU345" s="346"/>
      <c r="CV345" s="346"/>
      <c r="CW345" s="346"/>
      <c r="CX345" s="346"/>
      <c r="CY345" s="346"/>
      <c r="CZ345" s="346"/>
      <c r="DA345" s="346"/>
      <c r="DB345" s="346"/>
      <c r="DC345" s="346"/>
      <c r="DD345" s="346"/>
      <c r="DE345" s="346"/>
      <c r="DF345" s="346"/>
      <c r="DG345" s="346"/>
      <c r="DH345" s="346"/>
      <c r="DI345" s="346"/>
    </row>
    <row r="346" spans="1:113" x14ac:dyDescent="0.25">
      <c r="A346" s="170"/>
      <c r="B346" s="115" t="s">
        <v>1126</v>
      </c>
      <c r="C346" s="116">
        <v>4500</v>
      </c>
      <c r="D346" s="190"/>
      <c r="E346" s="122"/>
      <c r="F346" s="121"/>
      <c r="G346" s="169"/>
      <c r="H346" s="108"/>
      <c r="I346" s="109"/>
      <c r="J346" s="109"/>
      <c r="K346" s="110"/>
      <c r="L346"/>
      <c r="M346" s="314">
        <f t="shared" ref="M346" si="83">SUM(N346:DJ346)</f>
        <v>249</v>
      </c>
      <c r="N346" s="310">
        <v>79</v>
      </c>
      <c r="O346" s="349">
        <v>20</v>
      </c>
      <c r="P346" s="350">
        <v>88</v>
      </c>
      <c r="Q346" s="349">
        <v>12</v>
      </c>
      <c r="R346" s="349">
        <v>50</v>
      </c>
      <c r="S346" s="346"/>
      <c r="T346" s="346"/>
      <c r="U346" s="346"/>
      <c r="V346" s="346"/>
      <c r="W346" s="346"/>
      <c r="X346" s="346"/>
      <c r="Y346" s="346"/>
      <c r="Z346" s="346"/>
      <c r="AA346" s="346"/>
      <c r="AB346" s="346"/>
      <c r="AC346" s="346"/>
      <c r="AD346" s="346"/>
      <c r="AE346" s="346"/>
      <c r="AF346" s="346"/>
      <c r="AG346" s="346"/>
      <c r="AH346" s="346"/>
      <c r="AI346" s="346"/>
      <c r="AJ346" s="346"/>
      <c r="AK346" s="346"/>
      <c r="AL346" s="346"/>
      <c r="AM346" s="346"/>
      <c r="AN346" s="346"/>
      <c r="AO346" s="346"/>
      <c r="AP346" s="346"/>
      <c r="AQ346" s="346"/>
      <c r="AR346" s="346"/>
      <c r="AS346" s="346"/>
      <c r="AT346" s="346"/>
      <c r="AU346" s="346"/>
      <c r="AV346" s="346"/>
      <c r="AW346" s="346"/>
      <c r="AX346" s="346"/>
      <c r="AY346" s="346"/>
      <c r="AZ346" s="346"/>
      <c r="BA346" s="346"/>
      <c r="BB346" s="346"/>
      <c r="BC346" s="346"/>
      <c r="BD346" s="346"/>
      <c r="BE346" s="346"/>
      <c r="BF346" s="346"/>
      <c r="BG346" s="346"/>
      <c r="BH346" s="346"/>
      <c r="BI346" s="346"/>
      <c r="BJ346" s="346"/>
      <c r="BK346" s="346"/>
      <c r="BL346" s="346"/>
      <c r="BM346" s="346"/>
      <c r="BN346" s="346"/>
      <c r="BO346" s="346"/>
      <c r="BP346" s="346"/>
      <c r="BQ346" s="346"/>
      <c r="BR346" s="346"/>
      <c r="BS346" s="346"/>
      <c r="BT346" s="346"/>
      <c r="BU346" s="346"/>
      <c r="BV346" s="346"/>
      <c r="BW346" s="346"/>
      <c r="BX346" s="346"/>
      <c r="BY346" s="346"/>
      <c r="BZ346" s="346"/>
      <c r="CA346" s="346"/>
      <c r="CB346" s="346"/>
      <c r="CC346" s="346"/>
      <c r="CD346" s="346"/>
      <c r="CE346" s="346"/>
      <c r="CF346" s="346"/>
      <c r="CG346" s="346"/>
      <c r="CH346" s="346"/>
      <c r="CI346" s="346"/>
      <c r="CJ346" s="346"/>
      <c r="CK346" s="346"/>
      <c r="CL346" s="346"/>
      <c r="CM346" s="346"/>
      <c r="CN346" s="346"/>
      <c r="CO346" s="346"/>
      <c r="CP346" s="346"/>
      <c r="CQ346" s="346"/>
      <c r="CR346" s="346"/>
      <c r="CS346" s="346"/>
      <c r="CT346" s="346"/>
      <c r="CU346" s="346"/>
      <c r="CV346" s="346"/>
      <c r="CW346" s="346"/>
      <c r="CX346" s="346"/>
      <c r="CY346" s="346"/>
      <c r="CZ346" s="346"/>
      <c r="DA346" s="346"/>
      <c r="DB346" s="346"/>
      <c r="DC346" s="346"/>
      <c r="DD346" s="346"/>
      <c r="DE346" s="346"/>
      <c r="DF346" s="346"/>
      <c r="DG346" s="346"/>
      <c r="DH346" s="346"/>
      <c r="DI346" s="346"/>
    </row>
    <row r="347" spans="1:113" x14ac:dyDescent="0.25">
      <c r="A347" s="384"/>
      <c r="B347" s="394"/>
      <c r="C347" s="362"/>
      <c r="D347" s="397"/>
      <c r="E347" s="364"/>
      <c r="F347" s="361"/>
      <c r="G347" s="386"/>
      <c r="H347" s="366"/>
      <c r="I347" s="365"/>
      <c r="J347" s="365"/>
      <c r="K347" s="367"/>
      <c r="L347"/>
      <c r="M347" s="348"/>
      <c r="N347" s="310" t="s">
        <v>1096</v>
      </c>
      <c r="O347" s="349" t="s">
        <v>1125</v>
      </c>
      <c r="P347" s="350" t="s">
        <v>1122</v>
      </c>
      <c r="Q347" s="349" t="s">
        <v>1071</v>
      </c>
      <c r="R347" s="349" t="s">
        <v>1036</v>
      </c>
      <c r="S347" s="346"/>
      <c r="T347" s="346"/>
      <c r="U347" s="346"/>
      <c r="V347" s="346"/>
      <c r="W347" s="346"/>
      <c r="X347" s="346"/>
      <c r="Y347" s="346"/>
      <c r="Z347" s="346"/>
      <c r="AA347" s="346"/>
      <c r="AB347" s="346"/>
      <c r="AC347" s="346"/>
      <c r="AD347" s="346"/>
      <c r="AE347" s="346"/>
      <c r="AF347" s="346"/>
      <c r="AG347" s="346"/>
      <c r="AH347" s="346"/>
      <c r="AI347" s="346"/>
      <c r="AJ347" s="346"/>
      <c r="AK347" s="346"/>
      <c r="AL347" s="346"/>
      <c r="AM347" s="346"/>
      <c r="AN347" s="346"/>
      <c r="AO347" s="346"/>
      <c r="AP347" s="346"/>
      <c r="AQ347" s="346"/>
      <c r="AR347" s="346"/>
      <c r="AS347" s="346"/>
      <c r="AT347" s="346"/>
      <c r="AU347" s="346"/>
      <c r="AV347" s="346"/>
      <c r="AW347" s="346"/>
      <c r="AX347" s="346"/>
      <c r="AY347" s="346"/>
      <c r="AZ347" s="346"/>
      <c r="BA347" s="346"/>
      <c r="BB347" s="346"/>
      <c r="BC347" s="346"/>
      <c r="BD347" s="346"/>
      <c r="BE347" s="346"/>
      <c r="BF347" s="346"/>
      <c r="BG347" s="346"/>
      <c r="BH347" s="346"/>
      <c r="BI347" s="346"/>
      <c r="BJ347" s="346"/>
      <c r="BK347" s="346"/>
      <c r="BL347" s="346"/>
      <c r="BM347" s="346"/>
      <c r="BN347" s="346"/>
      <c r="BO347" s="346"/>
      <c r="BP347" s="346"/>
      <c r="BQ347" s="346"/>
      <c r="BR347" s="346"/>
      <c r="BS347" s="346"/>
      <c r="BT347" s="346"/>
      <c r="BU347" s="346"/>
      <c r="BV347" s="346"/>
      <c r="BW347" s="346"/>
      <c r="BX347" s="346"/>
      <c r="BY347" s="346"/>
      <c r="BZ347" s="346"/>
      <c r="CA347" s="346"/>
      <c r="CB347" s="346"/>
      <c r="CC347" s="346"/>
      <c r="CD347" s="346"/>
      <c r="CE347" s="346"/>
      <c r="CF347" s="346"/>
      <c r="CG347" s="346"/>
      <c r="CH347" s="346"/>
      <c r="CI347" s="346"/>
      <c r="CJ347" s="346"/>
      <c r="CK347" s="346"/>
      <c r="CL347" s="346"/>
      <c r="CM347" s="346"/>
      <c r="CN347" s="346"/>
      <c r="CO347" s="346"/>
      <c r="CP347" s="346"/>
      <c r="CQ347" s="346"/>
      <c r="CR347" s="346"/>
      <c r="CS347" s="346"/>
      <c r="CT347" s="346"/>
      <c r="CU347" s="346"/>
      <c r="CV347" s="346"/>
      <c r="CW347" s="346"/>
      <c r="CX347" s="346"/>
      <c r="CY347" s="346"/>
      <c r="CZ347" s="346"/>
      <c r="DA347" s="346"/>
      <c r="DB347" s="346"/>
      <c r="DC347" s="346"/>
      <c r="DD347" s="346"/>
      <c r="DE347" s="346"/>
      <c r="DF347" s="346"/>
      <c r="DG347" s="346"/>
      <c r="DH347" s="346"/>
      <c r="DI347" s="346"/>
    </row>
    <row r="348" spans="1:113" x14ac:dyDescent="0.25">
      <c r="A348" s="170"/>
      <c r="B348" s="115" t="s">
        <v>1127</v>
      </c>
      <c r="C348" s="116">
        <v>4500</v>
      </c>
      <c r="D348" s="190"/>
      <c r="E348" s="122"/>
      <c r="F348" s="121"/>
      <c r="G348" s="169"/>
      <c r="H348" s="108"/>
      <c r="I348" s="109"/>
      <c r="J348" s="109"/>
      <c r="K348" s="110"/>
      <c r="L348"/>
      <c r="M348" s="314">
        <f t="shared" ref="M348" si="84">SUM(N348:DJ348)</f>
        <v>219</v>
      </c>
      <c r="N348" s="310">
        <v>13</v>
      </c>
      <c r="O348" s="349">
        <v>49</v>
      </c>
      <c r="P348" s="350">
        <v>79</v>
      </c>
      <c r="Q348" s="349">
        <v>58</v>
      </c>
      <c r="R348" s="349">
        <v>20</v>
      </c>
      <c r="S348" s="346"/>
      <c r="T348" s="346"/>
      <c r="U348" s="346"/>
      <c r="V348" s="346"/>
      <c r="W348" s="346"/>
      <c r="X348" s="346"/>
      <c r="Y348" s="346"/>
      <c r="Z348" s="346"/>
      <c r="AA348" s="346"/>
      <c r="AB348" s="346"/>
      <c r="AC348" s="346"/>
      <c r="AD348" s="346"/>
      <c r="AE348" s="346"/>
      <c r="AF348" s="346"/>
      <c r="AG348" s="346"/>
      <c r="AH348" s="346"/>
      <c r="AI348" s="346"/>
      <c r="AJ348" s="346"/>
      <c r="AK348" s="346"/>
      <c r="AL348" s="346"/>
      <c r="AM348" s="346"/>
      <c r="AN348" s="346"/>
      <c r="AO348" s="346"/>
      <c r="AP348" s="346"/>
      <c r="AQ348" s="346"/>
      <c r="AR348" s="346"/>
      <c r="AS348" s="346"/>
      <c r="AT348" s="346"/>
      <c r="AU348" s="346"/>
      <c r="AV348" s="346"/>
      <c r="AW348" s="346"/>
      <c r="AX348" s="346"/>
      <c r="AY348" s="346"/>
      <c r="AZ348" s="346"/>
      <c r="BA348" s="346"/>
      <c r="BB348" s="346"/>
      <c r="BC348" s="346"/>
      <c r="BD348" s="346"/>
      <c r="BE348" s="346"/>
      <c r="BF348" s="346"/>
      <c r="BG348" s="346"/>
      <c r="BH348" s="346"/>
      <c r="BI348" s="346"/>
      <c r="BJ348" s="346"/>
      <c r="BK348" s="346"/>
      <c r="BL348" s="346"/>
      <c r="BM348" s="346"/>
      <c r="BN348" s="346"/>
      <c r="BO348" s="346"/>
      <c r="BP348" s="346"/>
      <c r="BQ348" s="346"/>
      <c r="BR348" s="346"/>
      <c r="BS348" s="346"/>
      <c r="BT348" s="346"/>
      <c r="BU348" s="346"/>
      <c r="BV348" s="346"/>
      <c r="BW348" s="346"/>
      <c r="BX348" s="346"/>
      <c r="BY348" s="346"/>
      <c r="BZ348" s="346"/>
      <c r="CA348" s="346"/>
      <c r="CB348" s="346"/>
      <c r="CC348" s="346"/>
      <c r="CD348" s="346"/>
      <c r="CE348" s="346"/>
      <c r="CF348" s="346"/>
      <c r="CG348" s="346"/>
      <c r="CH348" s="346"/>
      <c r="CI348" s="346"/>
      <c r="CJ348" s="346"/>
      <c r="CK348" s="346"/>
      <c r="CL348" s="346"/>
      <c r="CM348" s="346"/>
      <c r="CN348" s="346"/>
      <c r="CO348" s="346"/>
      <c r="CP348" s="346"/>
      <c r="CQ348" s="346"/>
      <c r="CR348" s="346"/>
      <c r="CS348" s="346"/>
      <c r="CT348" s="346"/>
      <c r="CU348" s="346"/>
      <c r="CV348" s="346"/>
      <c r="CW348" s="346"/>
      <c r="CX348" s="346"/>
      <c r="CY348" s="346"/>
      <c r="CZ348" s="346"/>
      <c r="DA348" s="346"/>
      <c r="DB348" s="346"/>
      <c r="DC348" s="346"/>
      <c r="DD348" s="346"/>
      <c r="DE348" s="346"/>
      <c r="DF348" s="346"/>
      <c r="DG348" s="346"/>
      <c r="DH348" s="346"/>
      <c r="DI348" s="346"/>
    </row>
    <row r="349" spans="1:113" x14ac:dyDescent="0.25">
      <c r="A349" s="384"/>
      <c r="B349" s="394"/>
      <c r="C349" s="362"/>
      <c r="D349" s="397"/>
      <c r="E349" s="364"/>
      <c r="F349" s="361"/>
      <c r="G349" s="386"/>
      <c r="H349" s="366"/>
      <c r="I349" s="365"/>
      <c r="J349" s="365"/>
      <c r="K349" s="367"/>
      <c r="L349"/>
      <c r="M349" s="348"/>
      <c r="N349" s="310" t="s">
        <v>1096</v>
      </c>
      <c r="O349" s="349" t="s">
        <v>1122</v>
      </c>
      <c r="P349" s="350" t="s">
        <v>1094</v>
      </c>
      <c r="Q349" s="349" t="s">
        <v>1125</v>
      </c>
      <c r="R349" s="346" t="s">
        <v>1071</v>
      </c>
      <c r="S349" s="346" t="s">
        <v>1036</v>
      </c>
      <c r="U349" s="346"/>
      <c r="V349" s="346"/>
      <c r="W349" s="346"/>
      <c r="X349" s="346"/>
      <c r="Y349" s="346"/>
      <c r="Z349" s="346"/>
      <c r="AA349" s="346"/>
      <c r="AB349" s="346"/>
      <c r="AC349" s="346"/>
      <c r="AD349" s="346"/>
      <c r="AE349" s="346"/>
      <c r="AF349" s="346"/>
      <c r="AG349" s="346"/>
      <c r="AH349" s="346"/>
      <c r="AI349" s="346"/>
      <c r="AJ349" s="346"/>
      <c r="AK349" s="346"/>
      <c r="AL349" s="346"/>
      <c r="AM349" s="346"/>
      <c r="AN349" s="346"/>
      <c r="AO349" s="346"/>
      <c r="AP349" s="346"/>
      <c r="AQ349" s="346"/>
      <c r="AR349" s="346"/>
      <c r="AS349" s="346"/>
      <c r="AT349" s="346"/>
      <c r="AU349" s="346"/>
      <c r="AV349" s="346"/>
      <c r="AW349" s="346"/>
      <c r="AX349" s="346"/>
      <c r="AY349" s="346"/>
      <c r="AZ349" s="346"/>
      <c r="BA349" s="346"/>
      <c r="BB349" s="346"/>
      <c r="BC349" s="346"/>
      <c r="BD349" s="346"/>
      <c r="BE349" s="346"/>
      <c r="BF349" s="346"/>
      <c r="BG349" s="346"/>
      <c r="BH349" s="346"/>
      <c r="BI349" s="346"/>
      <c r="BJ349" s="346"/>
      <c r="BK349" s="346"/>
      <c r="BL349" s="346"/>
      <c r="BM349" s="346"/>
      <c r="BN349" s="346"/>
      <c r="BO349" s="346"/>
      <c r="BP349" s="346"/>
      <c r="BQ349" s="346"/>
      <c r="BR349" s="346"/>
      <c r="BS349" s="346"/>
      <c r="BT349" s="346"/>
      <c r="BU349" s="346"/>
      <c r="BV349" s="346"/>
      <c r="BW349" s="346"/>
      <c r="BX349" s="346"/>
      <c r="BY349" s="346"/>
      <c r="BZ349" s="346"/>
      <c r="CA349" s="346"/>
      <c r="CB349" s="346"/>
      <c r="CC349" s="346"/>
      <c r="CD349" s="346"/>
      <c r="CE349" s="346"/>
      <c r="CF349" s="346"/>
      <c r="CG349" s="346"/>
      <c r="CH349" s="346"/>
      <c r="CI349" s="346"/>
      <c r="CJ349" s="346"/>
      <c r="CK349" s="346"/>
      <c r="CL349" s="346"/>
      <c r="CM349" s="346"/>
      <c r="CN349" s="346"/>
      <c r="CO349" s="346"/>
      <c r="CP349" s="346"/>
      <c r="CQ349" s="346"/>
      <c r="CR349" s="346"/>
      <c r="CS349" s="346"/>
      <c r="CT349" s="346"/>
      <c r="CU349" s="346"/>
      <c r="CV349" s="346"/>
      <c r="CW349" s="346"/>
      <c r="CX349" s="346"/>
      <c r="CY349" s="346"/>
      <c r="CZ349" s="346"/>
      <c r="DA349" s="346"/>
      <c r="DB349" s="346"/>
      <c r="DC349" s="346"/>
      <c r="DD349" s="346"/>
      <c r="DE349" s="346"/>
      <c r="DF349" s="346"/>
      <c r="DG349" s="346"/>
      <c r="DH349" s="346"/>
      <c r="DI349" s="346"/>
    </row>
    <row r="350" spans="1:113" x14ac:dyDescent="0.25">
      <c r="A350" s="170"/>
      <c r="B350" s="115" t="s">
        <v>1129</v>
      </c>
      <c r="C350" s="116">
        <v>4500</v>
      </c>
      <c r="D350" s="190"/>
      <c r="E350" s="122"/>
      <c r="F350" s="121"/>
      <c r="G350" s="169"/>
      <c r="H350" s="108"/>
      <c r="I350" s="109"/>
      <c r="J350" s="109"/>
      <c r="K350" s="110"/>
      <c r="L350"/>
      <c r="M350" s="314">
        <f t="shared" ref="M350" si="85">SUM(N350:DJ350)</f>
        <v>308</v>
      </c>
      <c r="N350" s="310">
        <v>13</v>
      </c>
      <c r="O350" s="349">
        <v>79</v>
      </c>
      <c r="P350" s="350">
        <v>88</v>
      </c>
      <c r="Q350" s="349">
        <v>48</v>
      </c>
      <c r="R350" s="346">
        <v>60</v>
      </c>
      <c r="S350" s="346">
        <v>20</v>
      </c>
      <c r="U350" s="346"/>
      <c r="V350" s="346"/>
      <c r="W350" s="346"/>
      <c r="X350" s="346"/>
      <c r="Y350" s="346"/>
      <c r="Z350" s="346"/>
      <c r="AA350" s="346"/>
      <c r="AB350" s="346"/>
      <c r="AC350" s="346"/>
      <c r="AD350" s="346"/>
      <c r="AE350" s="346"/>
      <c r="AF350" s="346"/>
      <c r="AG350" s="346"/>
      <c r="AH350" s="346"/>
      <c r="AI350" s="346"/>
      <c r="AJ350" s="346"/>
      <c r="AK350" s="346"/>
      <c r="AL350" s="346"/>
      <c r="AM350" s="346"/>
      <c r="AN350" s="346"/>
      <c r="AO350" s="346"/>
      <c r="AP350" s="346"/>
      <c r="AQ350" s="346"/>
      <c r="AR350" s="346"/>
      <c r="AS350" s="346"/>
      <c r="AT350" s="346"/>
      <c r="AU350" s="346"/>
      <c r="AV350" s="346"/>
      <c r="AW350" s="346"/>
      <c r="AX350" s="346"/>
      <c r="AY350" s="346"/>
      <c r="AZ350" s="346"/>
      <c r="BA350" s="346"/>
      <c r="BB350" s="346"/>
      <c r="BC350" s="346"/>
      <c r="BD350" s="346"/>
      <c r="BE350" s="346"/>
      <c r="BF350" s="346"/>
      <c r="BG350" s="346"/>
      <c r="BH350" s="346"/>
      <c r="BI350" s="346"/>
      <c r="BJ350" s="346"/>
      <c r="BK350" s="346"/>
      <c r="BL350" s="346"/>
      <c r="BM350" s="346"/>
      <c r="BN350" s="346"/>
      <c r="BO350" s="346"/>
      <c r="BP350" s="346"/>
      <c r="BQ350" s="346"/>
      <c r="BR350" s="346"/>
      <c r="BS350" s="346"/>
      <c r="BT350" s="346"/>
      <c r="BU350" s="346"/>
      <c r="BV350" s="346"/>
      <c r="BW350" s="346"/>
      <c r="BX350" s="346"/>
      <c r="BY350" s="346"/>
      <c r="BZ350" s="346"/>
      <c r="CA350" s="346"/>
      <c r="CB350" s="346"/>
      <c r="CC350" s="346"/>
      <c r="CD350" s="346"/>
      <c r="CE350" s="346"/>
      <c r="CF350" s="346"/>
      <c r="CG350" s="346"/>
      <c r="CH350" s="346"/>
      <c r="CI350" s="346"/>
      <c r="CJ350" s="346"/>
      <c r="CK350" s="346"/>
      <c r="CL350" s="346"/>
      <c r="CM350" s="346"/>
      <c r="CN350" s="346"/>
      <c r="CO350" s="346"/>
      <c r="CP350" s="346"/>
      <c r="CQ350" s="346"/>
      <c r="CR350" s="346"/>
      <c r="CS350" s="346"/>
      <c r="CT350" s="346"/>
      <c r="CU350" s="346"/>
      <c r="CV350" s="346"/>
      <c r="CW350" s="346"/>
      <c r="CX350" s="346"/>
      <c r="CY350" s="346"/>
      <c r="CZ350" s="346"/>
      <c r="DA350" s="346"/>
      <c r="DB350" s="346"/>
      <c r="DC350" s="346"/>
      <c r="DD350" s="346"/>
      <c r="DE350" s="346"/>
      <c r="DF350" s="346"/>
      <c r="DG350" s="346"/>
      <c r="DH350" s="346"/>
      <c r="DI350" s="346"/>
    </row>
    <row r="351" spans="1:113" x14ac:dyDescent="0.25">
      <c r="A351" s="384"/>
      <c r="B351" s="394"/>
      <c r="C351" s="362"/>
      <c r="D351" s="397"/>
      <c r="E351" s="364"/>
      <c r="F351" s="361"/>
      <c r="G351" s="386"/>
      <c r="H351" s="366"/>
      <c r="I351" s="365"/>
      <c r="J351" s="365"/>
      <c r="K351" s="367"/>
      <c r="L351"/>
      <c r="M351" s="348"/>
      <c r="N351" s="310" t="s">
        <v>1096</v>
      </c>
      <c r="O351" s="349" t="s">
        <v>1125</v>
      </c>
      <c r="P351" s="350" t="s">
        <v>1122</v>
      </c>
      <c r="Q351" s="349" t="s">
        <v>1071</v>
      </c>
      <c r="R351" s="349" t="s">
        <v>1036</v>
      </c>
      <c r="S351" s="346"/>
      <c r="T351" s="346"/>
      <c r="U351" s="346"/>
      <c r="V351" s="346"/>
      <c r="W351" s="346"/>
      <c r="X351" s="346"/>
      <c r="Y351" s="346"/>
      <c r="Z351" s="346"/>
      <c r="AA351" s="346"/>
      <c r="AB351" s="346"/>
      <c r="AC351" s="346"/>
      <c r="AD351" s="346"/>
      <c r="AE351" s="346"/>
      <c r="AF351" s="346"/>
      <c r="AG351" s="346"/>
      <c r="AH351" s="346"/>
      <c r="AI351" s="346"/>
      <c r="AJ351" s="346"/>
      <c r="AK351" s="346"/>
      <c r="AL351" s="346"/>
      <c r="AM351" s="346"/>
      <c r="AN351" s="346"/>
      <c r="AO351" s="346"/>
      <c r="AP351" s="346"/>
      <c r="AQ351" s="346"/>
      <c r="AR351" s="346"/>
      <c r="AS351" s="346"/>
      <c r="AT351" s="346"/>
      <c r="AU351" s="346"/>
      <c r="AV351" s="346"/>
      <c r="AW351" s="346"/>
      <c r="AX351" s="346"/>
      <c r="AY351" s="346"/>
      <c r="AZ351" s="346"/>
      <c r="BA351" s="346"/>
      <c r="BB351" s="346"/>
      <c r="BC351" s="346"/>
      <c r="BD351" s="346"/>
      <c r="BE351" s="346"/>
      <c r="BF351" s="346"/>
      <c r="BG351" s="346"/>
      <c r="BH351" s="346"/>
      <c r="BI351" s="346"/>
      <c r="BJ351" s="346"/>
      <c r="BK351" s="346"/>
      <c r="BL351" s="346"/>
      <c r="BM351" s="346"/>
      <c r="BN351" s="346"/>
      <c r="BO351" s="346"/>
      <c r="BP351" s="346"/>
      <c r="BQ351" s="346"/>
      <c r="BR351" s="346"/>
      <c r="BS351" s="346"/>
      <c r="BT351" s="346"/>
      <c r="BU351" s="346"/>
      <c r="BV351" s="346"/>
      <c r="BW351" s="346"/>
      <c r="BX351" s="346"/>
      <c r="BY351" s="346"/>
      <c r="BZ351" s="346"/>
      <c r="CA351" s="346"/>
      <c r="CB351" s="346"/>
      <c r="CC351" s="346"/>
      <c r="CD351" s="346"/>
      <c r="CE351" s="346"/>
      <c r="CF351" s="346"/>
      <c r="CG351" s="346"/>
      <c r="CH351" s="346"/>
      <c r="CI351" s="346"/>
      <c r="CJ351" s="346"/>
      <c r="CK351" s="346"/>
      <c r="CL351" s="346"/>
      <c r="CM351" s="346"/>
      <c r="CN351" s="346"/>
      <c r="CO351" s="346"/>
      <c r="CP351" s="346"/>
      <c r="CQ351" s="346"/>
      <c r="CR351" s="346"/>
      <c r="CS351" s="346"/>
      <c r="CT351" s="346"/>
      <c r="CU351" s="346"/>
      <c r="CV351" s="346"/>
      <c r="CW351" s="346"/>
      <c r="CX351" s="346"/>
      <c r="CY351" s="346"/>
      <c r="CZ351" s="346"/>
      <c r="DA351" s="346"/>
      <c r="DB351" s="346"/>
      <c r="DC351" s="346"/>
      <c r="DD351" s="346"/>
      <c r="DE351" s="346"/>
      <c r="DF351" s="346"/>
      <c r="DG351" s="346"/>
      <c r="DH351" s="346"/>
      <c r="DI351" s="346"/>
    </row>
    <row r="352" spans="1:113" x14ac:dyDescent="0.25">
      <c r="A352" s="170"/>
      <c r="B352" s="115" t="s">
        <v>1130</v>
      </c>
      <c r="C352" s="116">
        <v>4500</v>
      </c>
      <c r="D352" s="190"/>
      <c r="E352" s="122"/>
      <c r="F352" s="121"/>
      <c r="G352" s="169"/>
      <c r="H352" s="108"/>
      <c r="I352" s="109"/>
      <c r="J352" s="109"/>
      <c r="K352" s="110"/>
      <c r="L352"/>
      <c r="M352" s="314">
        <f t="shared" ref="M352" si="86">SUM(N352:DJ352)</f>
        <v>218</v>
      </c>
      <c r="N352" s="310">
        <v>7</v>
      </c>
      <c r="O352" s="349">
        <v>50</v>
      </c>
      <c r="P352" s="350">
        <v>79</v>
      </c>
      <c r="Q352" s="349">
        <v>62</v>
      </c>
      <c r="R352" s="349">
        <v>20</v>
      </c>
      <c r="S352" s="346"/>
      <c r="T352" s="346"/>
      <c r="U352" s="346"/>
      <c r="V352" s="346"/>
      <c r="W352" s="346"/>
      <c r="X352" s="346"/>
      <c r="Y352" s="346"/>
      <c r="Z352" s="346"/>
      <c r="AA352" s="346"/>
      <c r="AB352" s="346"/>
      <c r="AC352" s="346"/>
      <c r="AD352" s="346"/>
      <c r="AE352" s="346"/>
      <c r="AF352" s="346"/>
      <c r="AG352" s="346"/>
      <c r="AH352" s="346"/>
      <c r="AI352" s="346"/>
      <c r="AJ352" s="346"/>
      <c r="AK352" s="346"/>
      <c r="AL352" s="346"/>
      <c r="AM352" s="346"/>
      <c r="AN352" s="346"/>
      <c r="AO352" s="346"/>
      <c r="AP352" s="346"/>
      <c r="AQ352" s="346"/>
      <c r="AR352" s="346"/>
      <c r="AS352" s="346"/>
      <c r="AT352" s="346"/>
      <c r="AU352" s="346"/>
      <c r="AV352" s="346"/>
      <c r="AW352" s="346"/>
      <c r="AX352" s="346"/>
      <c r="AY352" s="346"/>
      <c r="AZ352" s="346"/>
      <c r="BA352" s="346"/>
      <c r="BB352" s="346"/>
      <c r="BC352" s="346"/>
      <c r="BD352" s="346"/>
      <c r="BE352" s="346"/>
      <c r="BF352" s="346"/>
      <c r="BG352" s="346"/>
      <c r="BH352" s="346"/>
      <c r="BI352" s="346"/>
      <c r="BJ352" s="346"/>
      <c r="BK352" s="346"/>
      <c r="BL352" s="346"/>
      <c r="BM352" s="346"/>
      <c r="BN352" s="346"/>
      <c r="BO352" s="346"/>
      <c r="BP352" s="346"/>
      <c r="BQ352" s="346"/>
      <c r="BR352" s="346"/>
      <c r="BS352" s="346"/>
      <c r="BT352" s="346"/>
      <c r="BU352" s="346"/>
      <c r="BV352" s="346"/>
      <c r="BW352" s="346"/>
      <c r="BX352" s="346"/>
      <c r="BY352" s="346"/>
      <c r="BZ352" s="346"/>
      <c r="CA352" s="346"/>
      <c r="CB352" s="346"/>
      <c r="CC352" s="346"/>
      <c r="CD352" s="346"/>
      <c r="CE352" s="346"/>
      <c r="CF352" s="346"/>
      <c r="CG352" s="346"/>
      <c r="CH352" s="346"/>
      <c r="CI352" s="346"/>
      <c r="CJ352" s="346"/>
      <c r="CK352" s="346"/>
      <c r="CL352" s="346"/>
      <c r="CM352" s="346"/>
      <c r="CN352" s="346"/>
      <c r="CO352" s="346"/>
      <c r="CP352" s="346"/>
      <c r="CQ352" s="346"/>
      <c r="CR352" s="346"/>
      <c r="CS352" s="346"/>
      <c r="CT352" s="346"/>
      <c r="CU352" s="346"/>
      <c r="CV352" s="346"/>
      <c r="CW352" s="346"/>
      <c r="CX352" s="346"/>
      <c r="CY352" s="346"/>
      <c r="CZ352" s="346"/>
      <c r="DA352" s="346"/>
      <c r="DB352" s="346"/>
      <c r="DC352" s="346"/>
      <c r="DD352" s="346"/>
      <c r="DE352" s="346"/>
      <c r="DF352" s="346"/>
      <c r="DG352" s="346"/>
      <c r="DH352" s="346"/>
      <c r="DI352" s="346"/>
    </row>
    <row r="353" spans="1:113" x14ac:dyDescent="0.25">
      <c r="A353" s="384"/>
      <c r="B353" s="394"/>
      <c r="C353" s="362"/>
      <c r="D353" s="397"/>
      <c r="E353" s="364"/>
      <c r="F353" s="361"/>
      <c r="G353" s="386"/>
      <c r="H353" s="366"/>
      <c r="I353" s="365"/>
      <c r="J353" s="365"/>
      <c r="K353" s="367"/>
      <c r="L353"/>
      <c r="M353" s="348"/>
      <c r="N353" s="310" t="s">
        <v>1122</v>
      </c>
      <c r="O353" s="349" t="s">
        <v>1096</v>
      </c>
      <c r="P353" s="350" t="s">
        <v>1125</v>
      </c>
      <c r="Q353" s="349"/>
      <c r="R353" s="349"/>
      <c r="S353" s="346"/>
      <c r="T353" s="346"/>
      <c r="U353" s="346"/>
      <c r="V353" s="346"/>
      <c r="W353" s="346"/>
      <c r="X353" s="346"/>
      <c r="Y353" s="346"/>
      <c r="Z353" s="346"/>
      <c r="AA353" s="346"/>
      <c r="AB353" s="346"/>
      <c r="AC353" s="346"/>
      <c r="AD353" s="346"/>
      <c r="AE353" s="346"/>
      <c r="AF353" s="346"/>
      <c r="AG353" s="346"/>
      <c r="AH353" s="346"/>
      <c r="AI353" s="346"/>
      <c r="AJ353" s="346"/>
      <c r="AK353" s="346"/>
      <c r="AL353" s="346"/>
      <c r="AM353" s="346"/>
      <c r="AN353" s="346"/>
      <c r="AO353" s="346"/>
      <c r="AP353" s="346"/>
      <c r="AQ353" s="346"/>
      <c r="AR353" s="346"/>
      <c r="AS353" s="346"/>
      <c r="AT353" s="346"/>
      <c r="AU353" s="346"/>
      <c r="AV353" s="346"/>
      <c r="AW353" s="346"/>
      <c r="AX353" s="346"/>
      <c r="AY353" s="346"/>
      <c r="AZ353" s="346"/>
      <c r="BA353" s="346"/>
      <c r="BB353" s="346"/>
      <c r="BC353" s="346"/>
      <c r="BD353" s="346"/>
      <c r="BE353" s="346"/>
      <c r="BF353" s="346"/>
      <c r="BG353" s="346"/>
      <c r="BH353" s="346"/>
      <c r="BI353" s="346"/>
      <c r="BJ353" s="346"/>
      <c r="BK353" s="346"/>
      <c r="BL353" s="346"/>
      <c r="BM353" s="346"/>
      <c r="BN353" s="346"/>
      <c r="BO353" s="346"/>
      <c r="BP353" s="346"/>
      <c r="BQ353" s="346"/>
      <c r="BR353" s="346"/>
      <c r="BS353" s="346"/>
      <c r="BT353" s="346"/>
      <c r="BU353" s="346"/>
      <c r="BV353" s="346"/>
      <c r="BW353" s="346"/>
      <c r="BX353" s="346"/>
      <c r="BY353" s="346"/>
      <c r="BZ353" s="346"/>
      <c r="CA353" s="346"/>
      <c r="CB353" s="346"/>
      <c r="CC353" s="346"/>
      <c r="CD353" s="346"/>
      <c r="CE353" s="346"/>
      <c r="CF353" s="346"/>
      <c r="CG353" s="346"/>
      <c r="CH353" s="346"/>
      <c r="CI353" s="346"/>
      <c r="CJ353" s="346"/>
      <c r="CK353" s="346"/>
      <c r="CL353" s="346"/>
      <c r="CM353" s="346"/>
      <c r="CN353" s="346"/>
      <c r="CO353" s="346"/>
      <c r="CP353" s="346"/>
      <c r="CQ353" s="346"/>
      <c r="CR353" s="346"/>
      <c r="CS353" s="346"/>
      <c r="CT353" s="346"/>
      <c r="CU353" s="346"/>
      <c r="CV353" s="346"/>
      <c r="CW353" s="346"/>
      <c r="CX353" s="346"/>
      <c r="CY353" s="346"/>
      <c r="CZ353" s="346"/>
      <c r="DA353" s="346"/>
      <c r="DB353" s="346"/>
      <c r="DC353" s="346"/>
      <c r="DD353" s="346"/>
      <c r="DE353" s="346"/>
      <c r="DF353" s="346"/>
      <c r="DG353" s="346"/>
      <c r="DH353" s="346"/>
      <c r="DI353" s="346"/>
    </row>
    <row r="354" spans="1:113" x14ac:dyDescent="0.25">
      <c r="A354" s="170"/>
      <c r="B354" s="115" t="s">
        <v>1131</v>
      </c>
      <c r="C354" s="116">
        <v>4500</v>
      </c>
      <c r="D354" s="190"/>
      <c r="E354" s="122"/>
      <c r="F354" s="121"/>
      <c r="G354" s="169"/>
      <c r="H354" s="108"/>
      <c r="I354" s="109"/>
      <c r="J354" s="109"/>
      <c r="K354" s="110"/>
      <c r="L354"/>
      <c r="M354" s="314">
        <f t="shared" ref="M354" si="87">SUM(N354:DJ354)</f>
        <v>151</v>
      </c>
      <c r="N354" s="310">
        <v>79</v>
      </c>
      <c r="O354" s="349">
        <v>23</v>
      </c>
      <c r="P354" s="350">
        <v>49</v>
      </c>
      <c r="Q354" s="349"/>
      <c r="R354" s="349"/>
      <c r="S354" s="346"/>
      <c r="T354" s="346"/>
      <c r="U354" s="346"/>
      <c r="V354" s="346"/>
      <c r="W354" s="346"/>
      <c r="X354" s="346"/>
      <c r="Y354" s="346"/>
      <c r="Z354" s="346"/>
      <c r="AA354" s="346"/>
      <c r="AB354" s="346"/>
      <c r="AC354" s="346"/>
      <c r="AD354" s="346"/>
      <c r="AE354" s="346"/>
      <c r="AF354" s="346"/>
      <c r="AG354" s="346"/>
      <c r="AH354" s="346"/>
      <c r="AI354" s="346"/>
      <c r="AJ354" s="346"/>
      <c r="AK354" s="346"/>
      <c r="AL354" s="346"/>
      <c r="AM354" s="346"/>
      <c r="AN354" s="346"/>
      <c r="AO354" s="346"/>
      <c r="AP354" s="346"/>
      <c r="AQ354" s="346"/>
      <c r="AR354" s="346"/>
      <c r="AS354" s="346"/>
      <c r="AT354" s="346"/>
      <c r="AU354" s="346"/>
      <c r="AV354" s="346"/>
      <c r="AW354" s="346"/>
      <c r="AX354" s="346"/>
      <c r="AY354" s="346"/>
      <c r="AZ354" s="346"/>
      <c r="BA354" s="346"/>
      <c r="BB354" s="346"/>
      <c r="BC354" s="346"/>
      <c r="BD354" s="346"/>
      <c r="BE354" s="346"/>
      <c r="BF354" s="346"/>
      <c r="BG354" s="346"/>
      <c r="BH354" s="346"/>
      <c r="BI354" s="346"/>
      <c r="BJ354" s="346"/>
      <c r="BK354" s="346"/>
      <c r="BL354" s="346"/>
      <c r="BM354" s="346"/>
      <c r="BN354" s="346"/>
      <c r="BO354" s="346"/>
      <c r="BP354" s="346"/>
      <c r="BQ354" s="346"/>
      <c r="BR354" s="346"/>
      <c r="BS354" s="346"/>
      <c r="BT354" s="346"/>
      <c r="BU354" s="346"/>
      <c r="BV354" s="346"/>
      <c r="BW354" s="346"/>
      <c r="BX354" s="346"/>
      <c r="BY354" s="346"/>
      <c r="BZ354" s="346"/>
      <c r="CA354" s="346"/>
      <c r="CB354" s="346"/>
      <c r="CC354" s="346"/>
      <c r="CD354" s="346"/>
      <c r="CE354" s="346"/>
      <c r="CF354" s="346"/>
      <c r="CG354" s="346"/>
      <c r="CH354" s="346"/>
      <c r="CI354" s="346"/>
      <c r="CJ354" s="346"/>
      <c r="CK354" s="346"/>
      <c r="CL354" s="346"/>
      <c r="CM354" s="346"/>
      <c r="CN354" s="346"/>
      <c r="CO354" s="346"/>
      <c r="CP354" s="346"/>
      <c r="CQ354" s="346"/>
      <c r="CR354" s="346"/>
      <c r="CS354" s="346"/>
      <c r="CT354" s="346"/>
      <c r="CU354" s="346"/>
      <c r="CV354" s="346"/>
      <c r="CW354" s="346"/>
      <c r="CX354" s="346"/>
      <c r="CY354" s="346"/>
      <c r="CZ354" s="346"/>
      <c r="DA354" s="346"/>
      <c r="DB354" s="346"/>
      <c r="DC354" s="346"/>
      <c r="DD354" s="346"/>
      <c r="DE354" s="346"/>
      <c r="DF354" s="346"/>
      <c r="DG354" s="346"/>
      <c r="DH354" s="346"/>
      <c r="DI354" s="346"/>
    </row>
    <row r="355" spans="1:113" x14ac:dyDescent="0.25">
      <c r="A355" s="384"/>
      <c r="B355" s="394"/>
      <c r="C355" s="362"/>
      <c r="D355" s="397"/>
      <c r="E355" s="364"/>
      <c r="F355" s="361"/>
      <c r="G355" s="386"/>
      <c r="H355" s="366"/>
      <c r="I355" s="365"/>
      <c r="J355" s="365"/>
      <c r="K355" s="367"/>
      <c r="L355"/>
      <c r="M355" s="348"/>
      <c r="N355" s="310" t="s">
        <v>1125</v>
      </c>
      <c r="O355" s="349" t="s">
        <v>1096</v>
      </c>
      <c r="P355" s="350" t="s">
        <v>1122</v>
      </c>
      <c r="Q355" s="349"/>
      <c r="R355" s="349"/>
      <c r="S355" s="346"/>
      <c r="T355" s="346"/>
      <c r="U355" s="346"/>
      <c r="V355" s="346"/>
      <c r="W355" s="346"/>
      <c r="X355" s="346"/>
      <c r="Y355" s="346"/>
      <c r="Z355" s="346"/>
      <c r="AA355" s="346"/>
      <c r="AB355" s="346"/>
      <c r="AC355" s="346"/>
      <c r="AD355" s="346"/>
      <c r="AE355" s="346"/>
      <c r="AF355" s="346"/>
      <c r="AG355" s="346"/>
      <c r="AH355" s="346"/>
      <c r="AI355" s="346"/>
      <c r="AJ355" s="346"/>
      <c r="AK355" s="346"/>
      <c r="AL355" s="346"/>
      <c r="AM355" s="346"/>
      <c r="AN355" s="346"/>
      <c r="AO355" s="346"/>
      <c r="AP355" s="346"/>
      <c r="AQ355" s="346"/>
      <c r="AR355" s="346"/>
      <c r="AS355" s="346"/>
      <c r="AT355" s="346"/>
      <c r="AU355" s="346"/>
      <c r="AV355" s="346"/>
      <c r="AW355" s="346"/>
      <c r="AX355" s="346"/>
      <c r="AY355" s="346"/>
      <c r="AZ355" s="346"/>
      <c r="BA355" s="346"/>
      <c r="BB355" s="346"/>
      <c r="BC355" s="346"/>
      <c r="BD355" s="346"/>
      <c r="BE355" s="346"/>
      <c r="BF355" s="346"/>
      <c r="BG355" s="346"/>
      <c r="BH355" s="346"/>
      <c r="BI355" s="346"/>
      <c r="BJ355" s="346"/>
      <c r="BK355" s="346"/>
      <c r="BL355" s="346"/>
      <c r="BM355" s="346"/>
      <c r="BN355" s="346"/>
      <c r="BO355" s="346"/>
      <c r="BP355" s="346"/>
      <c r="BQ355" s="346"/>
      <c r="BR355" s="346"/>
      <c r="BS355" s="346"/>
      <c r="BT355" s="346"/>
      <c r="BU355" s="346"/>
      <c r="BV355" s="346"/>
      <c r="BW355" s="346"/>
      <c r="BX355" s="346"/>
      <c r="BY355" s="346"/>
      <c r="BZ355" s="346"/>
      <c r="CA355" s="346"/>
      <c r="CB355" s="346"/>
      <c r="CC355" s="346"/>
      <c r="CD355" s="346"/>
      <c r="CE355" s="346"/>
      <c r="CF355" s="346"/>
      <c r="CG355" s="346"/>
      <c r="CH355" s="346"/>
      <c r="CI355" s="346"/>
      <c r="CJ355" s="346"/>
      <c r="CK355" s="346"/>
      <c r="CL355" s="346"/>
      <c r="CM355" s="346"/>
      <c r="CN355" s="346"/>
      <c r="CO355" s="346"/>
      <c r="CP355" s="346"/>
      <c r="CQ355" s="346"/>
      <c r="CR355" s="346"/>
      <c r="CS355" s="346"/>
      <c r="CT355" s="346"/>
      <c r="CU355" s="346"/>
      <c r="CV355" s="346"/>
      <c r="CW355" s="346"/>
      <c r="CX355" s="346"/>
      <c r="CY355" s="346"/>
      <c r="CZ355" s="346"/>
      <c r="DA355" s="346"/>
      <c r="DB355" s="346"/>
      <c r="DC355" s="346"/>
      <c r="DD355" s="346"/>
      <c r="DE355" s="346"/>
      <c r="DF355" s="346"/>
      <c r="DG355" s="346"/>
      <c r="DH355" s="346"/>
      <c r="DI355" s="346"/>
    </row>
    <row r="356" spans="1:113" x14ac:dyDescent="0.25">
      <c r="A356" s="170"/>
      <c r="B356" s="115" t="s">
        <v>1132</v>
      </c>
      <c r="C356" s="116">
        <v>4500</v>
      </c>
      <c r="D356" s="190"/>
      <c r="E356" s="122"/>
      <c r="F356" s="121"/>
      <c r="G356" s="169"/>
      <c r="H356" s="108"/>
      <c r="I356" s="109"/>
      <c r="J356" s="109"/>
      <c r="K356" s="110"/>
      <c r="L356"/>
      <c r="M356" s="314">
        <f t="shared" ref="M356" si="88">SUM(N356:DJ356)</f>
        <v>152</v>
      </c>
      <c r="N356" s="310">
        <v>50</v>
      </c>
      <c r="O356" s="349">
        <v>23</v>
      </c>
      <c r="P356" s="350">
        <v>79</v>
      </c>
      <c r="Q356" s="349"/>
      <c r="R356" s="349"/>
      <c r="S356" s="346"/>
      <c r="T356" s="346"/>
      <c r="U356" s="346"/>
      <c r="V356" s="346"/>
      <c r="W356" s="346"/>
      <c r="X356" s="346"/>
      <c r="Y356" s="346"/>
      <c r="Z356" s="346"/>
      <c r="AA356" s="346"/>
      <c r="AB356" s="346"/>
      <c r="AC356" s="346"/>
      <c r="AD356" s="346"/>
      <c r="AE356" s="346"/>
      <c r="AF356" s="346"/>
      <c r="AG356" s="346"/>
      <c r="AH356" s="346"/>
      <c r="AI356" s="346"/>
      <c r="AJ356" s="346"/>
      <c r="AK356" s="346"/>
      <c r="AL356" s="346"/>
      <c r="AM356" s="346"/>
      <c r="AN356" s="346"/>
      <c r="AO356" s="346"/>
      <c r="AP356" s="346"/>
      <c r="AQ356" s="346"/>
      <c r="AR356" s="346"/>
      <c r="AS356" s="346"/>
      <c r="AT356" s="346"/>
      <c r="AU356" s="346"/>
      <c r="AV356" s="346"/>
      <c r="AW356" s="346"/>
      <c r="AX356" s="346"/>
      <c r="AY356" s="346"/>
      <c r="AZ356" s="346"/>
      <c r="BA356" s="346"/>
      <c r="BB356" s="346"/>
      <c r="BC356" s="346"/>
      <c r="BD356" s="346"/>
      <c r="BE356" s="346"/>
      <c r="BF356" s="346"/>
      <c r="BG356" s="346"/>
      <c r="BH356" s="346"/>
      <c r="BI356" s="346"/>
      <c r="BJ356" s="346"/>
      <c r="BK356" s="346"/>
      <c r="BL356" s="346"/>
      <c r="BM356" s="346"/>
      <c r="BN356" s="346"/>
      <c r="BO356" s="346"/>
      <c r="BP356" s="346"/>
      <c r="BQ356" s="346"/>
      <c r="BR356" s="346"/>
      <c r="BS356" s="346"/>
      <c r="BT356" s="346"/>
      <c r="BU356" s="346"/>
      <c r="BV356" s="346"/>
      <c r="BW356" s="346"/>
      <c r="BX356" s="346"/>
      <c r="BY356" s="346"/>
      <c r="BZ356" s="346"/>
      <c r="CA356" s="346"/>
      <c r="CB356" s="346"/>
      <c r="CC356" s="346"/>
      <c r="CD356" s="346"/>
      <c r="CE356" s="346"/>
      <c r="CF356" s="346"/>
      <c r="CG356" s="346"/>
      <c r="CH356" s="346"/>
      <c r="CI356" s="346"/>
      <c r="CJ356" s="346"/>
      <c r="CK356" s="346"/>
      <c r="CL356" s="346"/>
      <c r="CM356" s="346"/>
      <c r="CN356" s="346"/>
      <c r="CO356" s="346"/>
      <c r="CP356" s="346"/>
      <c r="CQ356" s="346"/>
      <c r="CR356" s="346"/>
      <c r="CS356" s="346"/>
      <c r="CT356" s="346"/>
      <c r="CU356" s="346"/>
      <c r="CV356" s="346"/>
      <c r="CW356" s="346"/>
      <c r="CX356" s="346"/>
      <c r="CY356" s="346"/>
      <c r="CZ356" s="346"/>
      <c r="DA356" s="346"/>
      <c r="DB356" s="346"/>
      <c r="DC356" s="346"/>
      <c r="DD356" s="346"/>
      <c r="DE356" s="346"/>
      <c r="DF356" s="346"/>
      <c r="DG356" s="346"/>
      <c r="DH356" s="346"/>
      <c r="DI356" s="346"/>
    </row>
    <row r="357" spans="1:113" x14ac:dyDescent="0.25">
      <c r="A357" s="384"/>
      <c r="B357" s="394"/>
      <c r="C357" s="362"/>
      <c r="D357" s="397"/>
      <c r="E357" s="364"/>
      <c r="F357" s="361"/>
      <c r="G357" s="386"/>
      <c r="H357" s="366"/>
      <c r="I357" s="365"/>
      <c r="J357" s="365"/>
      <c r="K357" s="367"/>
      <c r="L357"/>
      <c r="M357" s="348"/>
      <c r="N357" s="310" t="s">
        <v>1125</v>
      </c>
      <c r="O357" s="349" t="s">
        <v>1122</v>
      </c>
      <c r="P357" s="350" t="s">
        <v>1071</v>
      </c>
      <c r="Q357" s="349" t="s">
        <v>1096</v>
      </c>
      <c r="R357" s="349"/>
      <c r="S357" s="346"/>
      <c r="T357" s="346"/>
      <c r="U357" s="346"/>
      <c r="V357" s="346"/>
      <c r="W357" s="346"/>
      <c r="X357" s="346"/>
      <c r="Y357" s="346"/>
      <c r="Z357" s="346"/>
      <c r="AA357" s="346"/>
      <c r="AB357" s="346"/>
      <c r="AC357" s="346"/>
      <c r="AD357" s="346"/>
      <c r="AE357" s="346"/>
      <c r="AF357" s="346"/>
      <c r="AG357" s="346"/>
      <c r="AH357" s="346"/>
      <c r="AI357" s="346"/>
      <c r="AJ357" s="346"/>
      <c r="AK357" s="346"/>
      <c r="AL357" s="346"/>
      <c r="AM357" s="346"/>
      <c r="AN357" s="346"/>
      <c r="AO357" s="346"/>
      <c r="AP357" s="346"/>
      <c r="AQ357" s="346"/>
      <c r="AR357" s="346"/>
      <c r="AS357" s="346"/>
      <c r="AT357" s="346"/>
      <c r="AU357" s="346"/>
      <c r="AV357" s="346"/>
      <c r="AW357" s="346"/>
      <c r="AX357" s="346"/>
      <c r="AY357" s="346"/>
      <c r="AZ357" s="346"/>
      <c r="BA357" s="346"/>
      <c r="BB357" s="346"/>
      <c r="BC357" s="346"/>
      <c r="BD357" s="346"/>
      <c r="BE357" s="346"/>
      <c r="BF357" s="346"/>
      <c r="BG357" s="346"/>
      <c r="BH357" s="346"/>
      <c r="BI357" s="346"/>
      <c r="BJ357" s="346"/>
      <c r="BK357" s="346"/>
      <c r="BL357" s="346"/>
      <c r="BM357" s="346"/>
      <c r="BN357" s="346"/>
      <c r="BO357" s="346"/>
      <c r="BP357" s="346"/>
      <c r="BQ357" s="346"/>
      <c r="BR357" s="346"/>
      <c r="BS357" s="346"/>
      <c r="BT357" s="346"/>
      <c r="BU357" s="346"/>
      <c r="BV357" s="346"/>
      <c r="BW357" s="346"/>
      <c r="BX357" s="346"/>
      <c r="BY357" s="346"/>
      <c r="BZ357" s="346"/>
      <c r="CA357" s="346"/>
      <c r="CB357" s="346"/>
      <c r="CC357" s="346"/>
      <c r="CD357" s="346"/>
      <c r="CE357" s="346"/>
      <c r="CF357" s="346"/>
      <c r="CG357" s="346"/>
      <c r="CH357" s="346"/>
      <c r="CI357" s="346"/>
      <c r="CJ357" s="346"/>
      <c r="CK357" s="346"/>
      <c r="CL357" s="346"/>
      <c r="CM357" s="346"/>
      <c r="CN357" s="346"/>
      <c r="CO357" s="346"/>
      <c r="CP357" s="346"/>
      <c r="CQ357" s="346"/>
      <c r="CR357" s="346"/>
      <c r="CS357" s="346"/>
      <c r="CT357" s="346"/>
      <c r="CU357" s="346"/>
      <c r="CV357" s="346"/>
      <c r="CW357" s="346"/>
      <c r="CX357" s="346"/>
      <c r="CY357" s="346"/>
      <c r="CZ357" s="346"/>
      <c r="DA357" s="346"/>
      <c r="DB357" s="346"/>
      <c r="DC357" s="346"/>
      <c r="DD357" s="346"/>
      <c r="DE357" s="346"/>
      <c r="DF357" s="346"/>
      <c r="DG357" s="346"/>
      <c r="DH357" s="346"/>
      <c r="DI357" s="346"/>
    </row>
    <row r="358" spans="1:113" x14ac:dyDescent="0.25">
      <c r="A358" s="170"/>
      <c r="B358" s="115" t="s">
        <v>1133</v>
      </c>
      <c r="C358" s="116">
        <v>4500</v>
      </c>
      <c r="D358" s="190"/>
      <c r="E358" s="122"/>
      <c r="F358" s="121"/>
      <c r="G358" s="169"/>
      <c r="H358" s="108"/>
      <c r="I358" s="109"/>
      <c r="J358" s="109"/>
      <c r="K358" s="110"/>
      <c r="L358"/>
      <c r="M358" s="314">
        <f t="shared" ref="M358" si="89">SUM(N358:DJ358)</f>
        <v>198</v>
      </c>
      <c r="N358" s="310">
        <v>50</v>
      </c>
      <c r="O358" s="349">
        <v>79</v>
      </c>
      <c r="P358" s="350">
        <v>57</v>
      </c>
      <c r="Q358" s="349">
        <v>12</v>
      </c>
      <c r="R358" s="349"/>
      <c r="S358" s="346"/>
      <c r="T358" s="346"/>
      <c r="U358" s="346"/>
      <c r="V358" s="346"/>
      <c r="W358" s="346"/>
      <c r="X358" s="346"/>
      <c r="Y358" s="346"/>
      <c r="Z358" s="346"/>
      <c r="AA358" s="346"/>
      <c r="AB358" s="346"/>
      <c r="AC358" s="346"/>
      <c r="AD358" s="346"/>
      <c r="AE358" s="346"/>
      <c r="AF358" s="346"/>
      <c r="AG358" s="346"/>
      <c r="AH358" s="346"/>
      <c r="AI358" s="346"/>
      <c r="AJ358" s="346"/>
      <c r="AK358" s="346"/>
      <c r="AL358" s="346"/>
      <c r="AM358" s="346"/>
      <c r="AN358" s="346"/>
      <c r="AO358" s="346"/>
      <c r="AP358" s="346"/>
      <c r="AQ358" s="346"/>
      <c r="AR358" s="346"/>
      <c r="AS358" s="346"/>
      <c r="AT358" s="346"/>
      <c r="AU358" s="346"/>
      <c r="AV358" s="346"/>
      <c r="AW358" s="346"/>
      <c r="AX358" s="346"/>
      <c r="AY358" s="346"/>
      <c r="AZ358" s="346"/>
      <c r="BA358" s="346"/>
      <c r="BB358" s="346"/>
      <c r="BC358" s="346"/>
      <c r="BD358" s="346"/>
      <c r="BE358" s="346"/>
      <c r="BF358" s="346"/>
      <c r="BG358" s="346"/>
      <c r="BH358" s="346"/>
      <c r="BI358" s="346"/>
      <c r="BJ358" s="346"/>
      <c r="BK358" s="346"/>
      <c r="BL358" s="346"/>
      <c r="BM358" s="346"/>
      <c r="BN358" s="346"/>
      <c r="BO358" s="346"/>
      <c r="BP358" s="346"/>
      <c r="BQ358" s="346"/>
      <c r="BR358" s="346"/>
      <c r="BS358" s="346"/>
      <c r="BT358" s="346"/>
      <c r="BU358" s="346"/>
      <c r="BV358" s="346"/>
      <c r="BW358" s="346"/>
      <c r="BX358" s="346"/>
      <c r="BY358" s="346"/>
      <c r="BZ358" s="346"/>
      <c r="CA358" s="346"/>
      <c r="CB358" s="346"/>
      <c r="CC358" s="346"/>
      <c r="CD358" s="346"/>
      <c r="CE358" s="346"/>
      <c r="CF358" s="346"/>
      <c r="CG358" s="346"/>
      <c r="CH358" s="346"/>
      <c r="CI358" s="346"/>
      <c r="CJ358" s="346"/>
      <c r="CK358" s="346"/>
      <c r="CL358" s="346"/>
      <c r="CM358" s="346"/>
      <c r="CN358" s="346"/>
      <c r="CO358" s="346"/>
      <c r="CP358" s="346"/>
      <c r="CQ358" s="346"/>
      <c r="CR358" s="346"/>
      <c r="CS358" s="346"/>
      <c r="CT358" s="346"/>
      <c r="CU358" s="346"/>
      <c r="CV358" s="346"/>
      <c r="CW358" s="346"/>
      <c r="CX358" s="346"/>
      <c r="CY358" s="346"/>
      <c r="CZ358" s="346"/>
      <c r="DA358" s="346"/>
      <c r="DB358" s="346"/>
      <c r="DC358" s="346"/>
      <c r="DD358" s="346"/>
      <c r="DE358" s="346"/>
      <c r="DF358" s="346"/>
      <c r="DG358" s="346"/>
      <c r="DH358" s="346"/>
      <c r="DI358" s="346"/>
    </row>
    <row r="359" spans="1:113" x14ac:dyDescent="0.25">
      <c r="A359" s="384"/>
      <c r="B359" s="394"/>
      <c r="C359" s="362"/>
      <c r="D359" s="397"/>
      <c r="E359" s="364"/>
      <c r="F359" s="361"/>
      <c r="G359" s="386"/>
      <c r="H359" s="366"/>
      <c r="I359" s="365"/>
      <c r="J359" s="365"/>
      <c r="K359" s="367"/>
      <c r="L359"/>
      <c r="M359" s="348"/>
      <c r="N359" s="310" t="s">
        <v>1096</v>
      </c>
      <c r="O359" s="349" t="s">
        <v>1125</v>
      </c>
      <c r="P359" s="350" t="s">
        <v>1122</v>
      </c>
      <c r="Q359" s="349" t="s">
        <v>1094</v>
      </c>
      <c r="R359" s="349" t="s">
        <v>1094</v>
      </c>
      <c r="S359" s="346" t="s">
        <v>1094</v>
      </c>
      <c r="T359" s="346"/>
      <c r="U359" s="346"/>
      <c r="V359" s="346"/>
      <c r="W359" s="346"/>
      <c r="X359" s="346"/>
      <c r="Y359" s="346"/>
      <c r="Z359" s="346"/>
      <c r="AA359" s="346"/>
      <c r="AB359" s="346"/>
      <c r="AC359" s="346"/>
      <c r="AD359" s="346"/>
      <c r="AE359" s="346"/>
      <c r="AF359" s="346"/>
      <c r="AG359" s="346"/>
      <c r="AH359" s="346"/>
      <c r="AI359" s="346"/>
      <c r="AJ359" s="346"/>
      <c r="AK359" s="346"/>
      <c r="AL359" s="346"/>
      <c r="AM359" s="346"/>
      <c r="AN359" s="346"/>
      <c r="AO359" s="346"/>
      <c r="AP359" s="346"/>
      <c r="AQ359" s="346"/>
      <c r="AR359" s="346"/>
      <c r="AS359" s="346"/>
      <c r="AT359" s="346"/>
      <c r="AU359" s="346"/>
      <c r="AV359" s="346"/>
      <c r="AW359" s="346"/>
      <c r="AX359" s="346"/>
      <c r="AY359" s="346"/>
      <c r="AZ359" s="346"/>
      <c r="BA359" s="346"/>
      <c r="BB359" s="346"/>
      <c r="BC359" s="346"/>
      <c r="BD359" s="346"/>
      <c r="BE359" s="346"/>
      <c r="BF359" s="346"/>
      <c r="BG359" s="346"/>
      <c r="BH359" s="346"/>
      <c r="BI359" s="346"/>
      <c r="BJ359" s="346"/>
      <c r="BK359" s="346"/>
      <c r="BL359" s="346"/>
      <c r="BM359" s="346"/>
      <c r="BN359" s="346"/>
      <c r="BO359" s="346"/>
      <c r="BP359" s="346"/>
      <c r="BQ359" s="346"/>
      <c r="BR359" s="346"/>
      <c r="BS359" s="346"/>
      <c r="BT359" s="346"/>
      <c r="BU359" s="346"/>
      <c r="BV359" s="346"/>
      <c r="BW359" s="346"/>
      <c r="BX359" s="346"/>
      <c r="BY359" s="346"/>
      <c r="BZ359" s="346"/>
      <c r="CA359" s="346"/>
      <c r="CB359" s="346"/>
      <c r="CC359" s="346"/>
      <c r="CD359" s="346"/>
      <c r="CE359" s="346"/>
      <c r="CF359" s="346"/>
      <c r="CG359" s="346"/>
      <c r="CH359" s="346"/>
      <c r="CI359" s="346"/>
      <c r="CJ359" s="346"/>
      <c r="CK359" s="346"/>
      <c r="CL359" s="346"/>
      <c r="CM359" s="346"/>
      <c r="CN359" s="346"/>
      <c r="CO359" s="346"/>
      <c r="CP359" s="346"/>
      <c r="CQ359" s="346"/>
      <c r="CR359" s="346"/>
      <c r="CS359" s="346"/>
      <c r="CT359" s="346"/>
      <c r="CU359" s="346"/>
      <c r="CV359" s="346"/>
      <c r="CW359" s="346"/>
      <c r="CX359" s="346"/>
      <c r="CY359" s="346"/>
      <c r="CZ359" s="346"/>
      <c r="DA359" s="346"/>
      <c r="DB359" s="346"/>
      <c r="DC359" s="346"/>
      <c r="DD359" s="346"/>
      <c r="DE359" s="346"/>
      <c r="DF359" s="346"/>
      <c r="DG359" s="346"/>
      <c r="DH359" s="346"/>
      <c r="DI359" s="346"/>
    </row>
    <row r="360" spans="1:113" x14ac:dyDescent="0.25">
      <c r="A360" s="170"/>
      <c r="B360" s="115" t="s">
        <v>1134</v>
      </c>
      <c r="C360" s="116">
        <v>4500</v>
      </c>
      <c r="D360" s="190"/>
      <c r="E360" s="122"/>
      <c r="F360" s="121"/>
      <c r="G360" s="169"/>
      <c r="H360" s="108"/>
      <c r="I360" s="109"/>
      <c r="J360" s="109"/>
      <c r="K360" s="110"/>
      <c r="L360"/>
      <c r="M360" s="314">
        <f t="shared" ref="M360" si="90">SUM(N360:DJ360)</f>
        <v>237</v>
      </c>
      <c r="N360" s="310">
        <v>21</v>
      </c>
      <c r="O360" s="349">
        <v>49</v>
      </c>
      <c r="P360" s="350">
        <v>79</v>
      </c>
      <c r="Q360" s="349">
        <v>20</v>
      </c>
      <c r="R360" s="349">
        <v>20</v>
      </c>
      <c r="S360" s="346">
        <v>48</v>
      </c>
      <c r="T360" s="346"/>
      <c r="U360" s="346"/>
      <c r="V360" s="346"/>
      <c r="W360" s="346"/>
      <c r="X360" s="346"/>
      <c r="Y360" s="346"/>
      <c r="Z360" s="346"/>
      <c r="AA360" s="346"/>
      <c r="AB360" s="346"/>
      <c r="AC360" s="346"/>
      <c r="AD360" s="346"/>
      <c r="AE360" s="346"/>
      <c r="AF360" s="346"/>
      <c r="AG360" s="346"/>
      <c r="AH360" s="346"/>
      <c r="AI360" s="346"/>
      <c r="AJ360" s="346"/>
      <c r="AK360" s="346"/>
      <c r="AL360" s="346"/>
      <c r="AM360" s="346"/>
      <c r="AN360" s="346"/>
      <c r="AO360" s="346"/>
      <c r="AP360" s="346"/>
      <c r="AQ360" s="346"/>
      <c r="AR360" s="346"/>
      <c r="AS360" s="346"/>
      <c r="AT360" s="346"/>
      <c r="AU360" s="346"/>
      <c r="AV360" s="346"/>
      <c r="AW360" s="346"/>
      <c r="AX360" s="346"/>
      <c r="AY360" s="346"/>
      <c r="AZ360" s="346"/>
      <c r="BA360" s="346"/>
      <c r="BB360" s="346"/>
      <c r="BC360" s="346"/>
      <c r="BD360" s="346"/>
      <c r="BE360" s="346"/>
      <c r="BF360" s="346"/>
      <c r="BG360" s="346"/>
      <c r="BH360" s="346"/>
      <c r="BI360" s="346"/>
      <c r="BJ360" s="346"/>
      <c r="BK360" s="346"/>
      <c r="BL360" s="346"/>
      <c r="BM360" s="346"/>
      <c r="BN360" s="346"/>
      <c r="BO360" s="346"/>
      <c r="BP360" s="346"/>
      <c r="BQ360" s="346"/>
      <c r="BR360" s="346"/>
      <c r="BS360" s="346"/>
      <c r="BT360" s="346"/>
      <c r="BU360" s="346"/>
      <c r="BV360" s="346"/>
      <c r="BW360" s="346"/>
      <c r="BX360" s="346"/>
      <c r="BY360" s="346"/>
      <c r="BZ360" s="346"/>
      <c r="CA360" s="346"/>
      <c r="CB360" s="346"/>
      <c r="CC360" s="346"/>
      <c r="CD360" s="346"/>
      <c r="CE360" s="346"/>
      <c r="CF360" s="346"/>
      <c r="CG360" s="346"/>
      <c r="CH360" s="346"/>
      <c r="CI360" s="346"/>
      <c r="CJ360" s="346"/>
      <c r="CK360" s="346"/>
      <c r="CL360" s="346"/>
      <c r="CM360" s="346"/>
      <c r="CN360" s="346"/>
      <c r="CO360" s="346"/>
      <c r="CP360" s="346"/>
      <c r="CQ360" s="346"/>
      <c r="CR360" s="346"/>
      <c r="CS360" s="346"/>
      <c r="CT360" s="346"/>
      <c r="CU360" s="346"/>
      <c r="CV360" s="346"/>
      <c r="CW360" s="346"/>
      <c r="CX360" s="346"/>
      <c r="CY360" s="346"/>
      <c r="CZ360" s="346"/>
      <c r="DA360" s="346"/>
      <c r="DB360" s="346"/>
      <c r="DC360" s="346"/>
      <c r="DD360" s="346"/>
      <c r="DE360" s="346"/>
      <c r="DF360" s="346"/>
      <c r="DG360" s="346"/>
      <c r="DH360" s="346"/>
      <c r="DI360" s="346"/>
    </row>
    <row r="361" spans="1:113" x14ac:dyDescent="0.25">
      <c r="A361" s="384"/>
      <c r="B361" s="394"/>
      <c r="C361" s="362"/>
      <c r="D361" s="397"/>
      <c r="E361" s="364"/>
      <c r="F361" s="361"/>
      <c r="G361" s="386"/>
      <c r="H361" s="366"/>
      <c r="I361" s="365"/>
      <c r="J361" s="365"/>
      <c r="K361" s="367"/>
      <c r="L361"/>
      <c r="M361" s="348"/>
      <c r="N361" s="310" t="s">
        <v>1136</v>
      </c>
      <c r="O361" s="349" t="s">
        <v>1125</v>
      </c>
      <c r="P361" s="350" t="s">
        <v>1096</v>
      </c>
      <c r="Q361" s="349" t="s">
        <v>1122</v>
      </c>
      <c r="R361" s="349" t="s">
        <v>1071</v>
      </c>
      <c r="S361" s="346"/>
      <c r="T361" s="346"/>
      <c r="U361" s="346"/>
      <c r="V361" s="346"/>
      <c r="W361" s="346"/>
      <c r="X361" s="346"/>
      <c r="Y361" s="346"/>
      <c r="Z361" s="346"/>
      <c r="AA361" s="346"/>
      <c r="AB361" s="346"/>
      <c r="AC361" s="346"/>
      <c r="AD361" s="346"/>
      <c r="AE361" s="346"/>
      <c r="AF361" s="346"/>
      <c r="AG361" s="346"/>
      <c r="AH361" s="346"/>
      <c r="AI361" s="346"/>
      <c r="AJ361" s="346"/>
      <c r="AK361" s="346"/>
      <c r="AL361" s="346"/>
      <c r="AM361" s="346"/>
      <c r="AN361" s="346"/>
      <c r="AO361" s="346"/>
      <c r="AP361" s="346"/>
      <c r="AQ361" s="346"/>
      <c r="AR361" s="346"/>
      <c r="AS361" s="346"/>
      <c r="AT361" s="346"/>
      <c r="AU361" s="346"/>
      <c r="AV361" s="346"/>
      <c r="AW361" s="346"/>
      <c r="AX361" s="346"/>
      <c r="AY361" s="346"/>
      <c r="AZ361" s="346"/>
      <c r="BA361" s="346"/>
      <c r="BB361" s="346"/>
      <c r="BC361" s="346"/>
      <c r="BD361" s="346"/>
      <c r="BE361" s="346"/>
      <c r="BF361" s="346"/>
      <c r="BG361" s="346"/>
      <c r="BH361" s="346"/>
      <c r="BI361" s="346"/>
      <c r="BJ361" s="346"/>
      <c r="BK361" s="346"/>
      <c r="BL361" s="346"/>
      <c r="BM361" s="346"/>
      <c r="BN361" s="346"/>
      <c r="BO361" s="346"/>
      <c r="BP361" s="346"/>
      <c r="BQ361" s="346"/>
      <c r="BR361" s="346"/>
      <c r="BS361" s="346"/>
      <c r="BT361" s="346"/>
      <c r="BU361" s="346"/>
      <c r="BV361" s="346"/>
      <c r="BW361" s="346"/>
      <c r="BX361" s="346"/>
      <c r="BY361" s="346"/>
      <c r="BZ361" s="346"/>
      <c r="CA361" s="346"/>
      <c r="CB361" s="346"/>
      <c r="CC361" s="346"/>
      <c r="CD361" s="346"/>
      <c r="CE361" s="346"/>
      <c r="CF361" s="346"/>
      <c r="CG361" s="346"/>
      <c r="CH361" s="346"/>
      <c r="CI361" s="346"/>
      <c r="CJ361" s="346"/>
      <c r="CK361" s="346"/>
      <c r="CL361" s="346"/>
      <c r="CM361" s="346"/>
      <c r="CN361" s="346"/>
      <c r="CO361" s="346"/>
      <c r="CP361" s="346"/>
      <c r="CQ361" s="346"/>
      <c r="CR361" s="346"/>
      <c r="CS361" s="346"/>
      <c r="CT361" s="346"/>
      <c r="CU361" s="346"/>
      <c r="CV361" s="346"/>
      <c r="CW361" s="346"/>
      <c r="CX361" s="346"/>
      <c r="CY361" s="346"/>
      <c r="CZ361" s="346"/>
      <c r="DA361" s="346"/>
      <c r="DB361" s="346"/>
      <c r="DC361" s="346"/>
      <c r="DD361" s="346"/>
      <c r="DE361" s="346"/>
      <c r="DF361" s="346"/>
      <c r="DG361" s="346"/>
      <c r="DH361" s="346"/>
      <c r="DI361" s="346"/>
    </row>
    <row r="362" spans="1:113" x14ac:dyDescent="0.25">
      <c r="A362" s="170"/>
      <c r="B362" s="115" t="s">
        <v>1135</v>
      </c>
      <c r="C362" s="116">
        <v>4500</v>
      </c>
      <c r="D362" s="190"/>
      <c r="E362" s="122"/>
      <c r="F362" s="121"/>
      <c r="G362" s="169"/>
      <c r="H362" s="108"/>
      <c r="I362" s="109"/>
      <c r="J362" s="109"/>
      <c r="K362" s="110"/>
      <c r="L362"/>
      <c r="M362" s="314">
        <f t="shared" ref="M362" si="91">SUM(N362:DJ362)</f>
        <v>290</v>
      </c>
      <c r="N362" s="310">
        <v>100</v>
      </c>
      <c r="O362" s="349">
        <v>49</v>
      </c>
      <c r="P362" s="350">
        <v>5</v>
      </c>
      <c r="Q362" s="349">
        <v>79</v>
      </c>
      <c r="R362" s="349">
        <v>57</v>
      </c>
      <c r="S362" s="346"/>
      <c r="T362" s="346"/>
      <c r="U362" s="346"/>
      <c r="V362" s="346"/>
      <c r="W362" s="346"/>
      <c r="X362" s="346"/>
      <c r="Y362" s="346"/>
      <c r="Z362" s="346"/>
      <c r="AA362" s="346"/>
      <c r="AB362" s="346"/>
      <c r="AC362" s="346"/>
      <c r="AD362" s="346"/>
      <c r="AE362" s="346"/>
      <c r="AF362" s="346"/>
      <c r="AG362" s="346"/>
      <c r="AH362" s="346"/>
      <c r="AI362" s="346"/>
      <c r="AJ362" s="346"/>
      <c r="AK362" s="346"/>
      <c r="AL362" s="346"/>
      <c r="AM362" s="346"/>
      <c r="AN362" s="346"/>
      <c r="AO362" s="346"/>
      <c r="AP362" s="346"/>
      <c r="AQ362" s="346"/>
      <c r="AR362" s="346"/>
      <c r="AS362" s="346"/>
      <c r="AT362" s="346"/>
      <c r="AU362" s="346"/>
      <c r="AV362" s="346"/>
      <c r="AW362" s="346"/>
      <c r="AX362" s="346"/>
      <c r="AY362" s="346"/>
      <c r="AZ362" s="346"/>
      <c r="BA362" s="346"/>
      <c r="BB362" s="346"/>
      <c r="BC362" s="346"/>
      <c r="BD362" s="346"/>
      <c r="BE362" s="346"/>
      <c r="BF362" s="346"/>
      <c r="BG362" s="346"/>
      <c r="BH362" s="346"/>
      <c r="BI362" s="346"/>
      <c r="BJ362" s="346"/>
      <c r="BK362" s="346"/>
      <c r="BL362" s="346"/>
      <c r="BM362" s="346"/>
      <c r="BN362" s="346"/>
      <c r="BO362" s="346"/>
      <c r="BP362" s="346"/>
      <c r="BQ362" s="346"/>
      <c r="BR362" s="346"/>
      <c r="BS362" s="346"/>
      <c r="BT362" s="346"/>
      <c r="BU362" s="346"/>
      <c r="BV362" s="346"/>
      <c r="BW362" s="346"/>
      <c r="BX362" s="346"/>
      <c r="BY362" s="346"/>
      <c r="BZ362" s="346"/>
      <c r="CA362" s="346"/>
      <c r="CB362" s="346"/>
      <c r="CC362" s="346"/>
      <c r="CD362" s="346"/>
      <c r="CE362" s="346"/>
      <c r="CF362" s="346"/>
      <c r="CG362" s="346"/>
      <c r="CH362" s="346"/>
      <c r="CI362" s="346"/>
      <c r="CJ362" s="346"/>
      <c r="CK362" s="346"/>
      <c r="CL362" s="346"/>
      <c r="CM362" s="346"/>
      <c r="CN362" s="346"/>
      <c r="CO362" s="346"/>
      <c r="CP362" s="346"/>
      <c r="CQ362" s="346"/>
      <c r="CR362" s="346"/>
      <c r="CS362" s="346"/>
      <c r="CT362" s="346"/>
      <c r="CU362" s="346"/>
      <c r="CV362" s="346"/>
      <c r="CW362" s="346"/>
      <c r="CX362" s="346"/>
      <c r="CY362" s="346"/>
      <c r="CZ362" s="346"/>
      <c r="DA362" s="346"/>
      <c r="DB362" s="346"/>
      <c r="DC362" s="346"/>
      <c r="DD362" s="346"/>
      <c r="DE362" s="346"/>
      <c r="DF362" s="346"/>
      <c r="DG362" s="346"/>
      <c r="DH362" s="346"/>
      <c r="DI362" s="346"/>
    </row>
    <row r="363" spans="1:113" x14ac:dyDescent="0.25">
      <c r="A363" s="384"/>
      <c r="B363" s="394"/>
      <c r="C363" s="362"/>
      <c r="D363" s="397"/>
      <c r="E363" s="364"/>
      <c r="F363" s="361"/>
      <c r="G363" s="386"/>
      <c r="H363" s="366"/>
      <c r="I363" s="365"/>
      <c r="J363" s="365"/>
      <c r="K363" s="367"/>
      <c r="L363"/>
      <c r="M363" s="348"/>
      <c r="N363" s="310" t="s">
        <v>1122</v>
      </c>
      <c r="O363" s="349" t="s">
        <v>1125</v>
      </c>
      <c r="P363" s="350" t="s">
        <v>1096</v>
      </c>
      <c r="Q363" s="350" t="s">
        <v>1136</v>
      </c>
      <c r="R363" s="346" t="s">
        <v>1071</v>
      </c>
      <c r="T363" s="346"/>
      <c r="U363" s="346"/>
      <c r="V363" s="346"/>
      <c r="W363" s="346"/>
      <c r="X363" s="346"/>
      <c r="Y363" s="346"/>
      <c r="Z363" s="346"/>
      <c r="AA363" s="346"/>
      <c r="AB363" s="346"/>
      <c r="AC363" s="346"/>
      <c r="AD363" s="346"/>
      <c r="AE363" s="346"/>
      <c r="AF363" s="346"/>
      <c r="AG363" s="346"/>
      <c r="AH363" s="346"/>
      <c r="AI363" s="346"/>
      <c r="AJ363" s="346"/>
      <c r="AK363" s="346"/>
      <c r="AL363" s="346"/>
      <c r="AM363" s="346"/>
      <c r="AN363" s="346"/>
      <c r="AO363" s="346"/>
      <c r="AP363" s="346"/>
      <c r="AQ363" s="346"/>
      <c r="AR363" s="346"/>
      <c r="AS363" s="346"/>
      <c r="AT363" s="346"/>
      <c r="AU363" s="346"/>
      <c r="AV363" s="346"/>
      <c r="AW363" s="346"/>
      <c r="AX363" s="346"/>
      <c r="AY363" s="346"/>
      <c r="AZ363" s="346"/>
      <c r="BA363" s="346"/>
      <c r="BB363" s="346"/>
      <c r="BC363" s="346"/>
      <c r="BD363" s="346"/>
      <c r="BE363" s="346"/>
      <c r="BF363" s="346"/>
      <c r="BG363" s="346"/>
      <c r="BH363" s="346"/>
      <c r="BI363" s="346"/>
      <c r="BJ363" s="346"/>
      <c r="BK363" s="346"/>
      <c r="BL363" s="346"/>
      <c r="BM363" s="346"/>
      <c r="BN363" s="346"/>
      <c r="BO363" s="346"/>
      <c r="BP363" s="346"/>
      <c r="BQ363" s="346"/>
      <c r="BR363" s="346"/>
      <c r="BS363" s="346"/>
      <c r="BT363" s="346"/>
      <c r="BU363" s="346"/>
      <c r="BV363" s="346"/>
      <c r="BW363" s="346"/>
      <c r="BX363" s="346"/>
      <c r="BY363" s="346"/>
      <c r="BZ363" s="346"/>
      <c r="CA363" s="346"/>
      <c r="CB363" s="346"/>
      <c r="CC363" s="346"/>
      <c r="CD363" s="346"/>
      <c r="CE363" s="346"/>
      <c r="CF363" s="346"/>
      <c r="CG363" s="346"/>
      <c r="CH363" s="346"/>
      <c r="CI363" s="346"/>
      <c r="CJ363" s="346"/>
      <c r="CK363" s="346"/>
      <c r="CL363" s="346"/>
      <c r="CM363" s="346"/>
      <c r="CN363" s="346"/>
      <c r="CO363" s="346"/>
      <c r="CP363" s="346"/>
      <c r="CQ363" s="346"/>
      <c r="CR363" s="346"/>
      <c r="CS363" s="346"/>
      <c r="CT363" s="346"/>
      <c r="CU363" s="346"/>
      <c r="CV363" s="346"/>
      <c r="CW363" s="346"/>
      <c r="CX363" s="346"/>
      <c r="CY363" s="346"/>
      <c r="CZ363" s="346"/>
      <c r="DA363" s="346"/>
      <c r="DB363" s="346"/>
      <c r="DC363" s="346"/>
      <c r="DD363" s="346"/>
      <c r="DE363" s="346"/>
      <c r="DF363" s="346"/>
      <c r="DG363" s="346"/>
      <c r="DH363" s="346"/>
      <c r="DI363" s="346"/>
    </row>
    <row r="364" spans="1:113" x14ac:dyDescent="0.25">
      <c r="A364" s="170"/>
      <c r="B364" s="115" t="s">
        <v>1137</v>
      </c>
      <c r="C364" s="116">
        <v>4500</v>
      </c>
      <c r="D364" s="190"/>
      <c r="E364" s="122"/>
      <c r="F364" s="121"/>
      <c r="G364" s="169"/>
      <c r="H364" s="108"/>
      <c r="I364" s="109"/>
      <c r="J364" s="109"/>
      <c r="K364" s="110"/>
      <c r="L364"/>
      <c r="M364" s="314">
        <f t="shared" ref="M364" si="92">SUM(N364:DJ364)</f>
        <v>311</v>
      </c>
      <c r="N364" s="310">
        <v>79</v>
      </c>
      <c r="O364" s="349">
        <v>50</v>
      </c>
      <c r="P364" s="350">
        <v>23</v>
      </c>
      <c r="Q364" s="350">
        <v>99</v>
      </c>
      <c r="R364" s="346">
        <v>60</v>
      </c>
      <c r="T364" s="346"/>
      <c r="U364" s="346"/>
      <c r="V364" s="346"/>
      <c r="W364" s="346"/>
      <c r="X364" s="346"/>
      <c r="Y364" s="346"/>
      <c r="Z364" s="346"/>
      <c r="AA364" s="346"/>
      <c r="AB364" s="346"/>
      <c r="AC364" s="346"/>
      <c r="AD364" s="346"/>
      <c r="AE364" s="346"/>
      <c r="AF364" s="346"/>
      <c r="AG364" s="346"/>
      <c r="AH364" s="346"/>
      <c r="AI364" s="346"/>
      <c r="AJ364" s="346"/>
      <c r="AK364" s="346"/>
      <c r="AL364" s="346"/>
      <c r="AM364" s="346"/>
      <c r="AN364" s="346"/>
      <c r="AO364" s="346"/>
      <c r="AP364" s="346"/>
      <c r="AQ364" s="346"/>
      <c r="AR364" s="346"/>
      <c r="AS364" s="346"/>
      <c r="AT364" s="346"/>
      <c r="AU364" s="346"/>
      <c r="AV364" s="346"/>
      <c r="AW364" s="346"/>
      <c r="AX364" s="346"/>
      <c r="AY364" s="346"/>
      <c r="AZ364" s="346"/>
      <c r="BA364" s="346"/>
      <c r="BB364" s="346"/>
      <c r="BC364" s="346"/>
      <c r="BD364" s="346"/>
      <c r="BE364" s="346"/>
      <c r="BF364" s="346"/>
      <c r="BG364" s="346"/>
      <c r="BH364" s="346"/>
      <c r="BI364" s="346"/>
      <c r="BJ364" s="346"/>
      <c r="BK364" s="346"/>
      <c r="BL364" s="346"/>
      <c r="BM364" s="346"/>
      <c r="BN364" s="346"/>
      <c r="BO364" s="346"/>
      <c r="BP364" s="346"/>
      <c r="BQ364" s="346"/>
      <c r="BR364" s="346"/>
      <c r="BS364" s="346"/>
      <c r="BT364" s="346"/>
      <c r="BU364" s="346"/>
      <c r="BV364" s="346"/>
      <c r="BW364" s="346"/>
      <c r="BX364" s="346"/>
      <c r="BY364" s="346"/>
      <c r="BZ364" s="346"/>
      <c r="CA364" s="346"/>
      <c r="CB364" s="346"/>
      <c r="CC364" s="346"/>
      <c r="CD364" s="346"/>
      <c r="CE364" s="346"/>
      <c r="CF364" s="346"/>
      <c r="CG364" s="346"/>
      <c r="CH364" s="346"/>
      <c r="CI364" s="346"/>
      <c r="CJ364" s="346"/>
      <c r="CK364" s="346"/>
      <c r="CL364" s="346"/>
      <c r="CM364" s="346"/>
      <c r="CN364" s="346"/>
      <c r="CO364" s="346"/>
      <c r="CP364" s="346"/>
      <c r="CQ364" s="346"/>
      <c r="CR364" s="346"/>
      <c r="CS364" s="346"/>
      <c r="CT364" s="346"/>
      <c r="CU364" s="346"/>
      <c r="CV364" s="346"/>
      <c r="CW364" s="346"/>
      <c r="CX364" s="346"/>
      <c r="CY364" s="346"/>
      <c r="CZ364" s="346"/>
      <c r="DA364" s="346"/>
      <c r="DB364" s="346"/>
      <c r="DC364" s="346"/>
      <c r="DD364" s="346"/>
      <c r="DE364" s="346"/>
      <c r="DF364" s="346"/>
      <c r="DG364" s="346"/>
      <c r="DH364" s="346"/>
      <c r="DI364" s="346"/>
    </row>
    <row r="365" spans="1:113" x14ac:dyDescent="0.25">
      <c r="A365" s="384"/>
      <c r="B365" s="394"/>
      <c r="C365" s="362"/>
      <c r="D365" s="397"/>
      <c r="E365" s="364"/>
      <c r="F365" s="361"/>
      <c r="G365" s="386"/>
      <c r="H365" s="366"/>
      <c r="I365" s="365"/>
      <c r="J365" s="365"/>
      <c r="K365" s="367"/>
      <c r="L365"/>
      <c r="M365" s="348"/>
      <c r="N365" s="310" t="s">
        <v>1136</v>
      </c>
      <c r="O365" s="349" t="s">
        <v>1057</v>
      </c>
      <c r="P365" s="350" t="s">
        <v>1071</v>
      </c>
      <c r="Q365" s="349" t="s">
        <v>1096</v>
      </c>
      <c r="R365" s="346" t="s">
        <v>1125</v>
      </c>
      <c r="T365" s="346"/>
      <c r="U365" s="346"/>
      <c r="V365" s="346"/>
      <c r="W365" s="346"/>
      <c r="X365" s="346"/>
      <c r="Y365" s="346"/>
      <c r="Z365" s="346"/>
      <c r="AA365" s="346"/>
      <c r="AB365" s="346"/>
      <c r="AC365" s="346"/>
      <c r="AD365" s="346"/>
      <c r="AE365" s="346"/>
      <c r="AF365" s="346"/>
      <c r="AG365" s="346"/>
      <c r="AH365" s="346"/>
      <c r="AI365" s="346"/>
      <c r="AJ365" s="346"/>
      <c r="AK365" s="346"/>
      <c r="AL365" s="346"/>
      <c r="AM365" s="346"/>
      <c r="AN365" s="346"/>
      <c r="AO365" s="346"/>
      <c r="AP365" s="346"/>
      <c r="AQ365" s="346"/>
      <c r="AR365" s="346"/>
      <c r="AS365" s="346"/>
      <c r="AT365" s="346"/>
      <c r="AU365" s="346"/>
      <c r="AV365" s="346"/>
      <c r="AW365" s="346"/>
      <c r="AX365" s="346"/>
      <c r="AY365" s="346"/>
      <c r="AZ365" s="346"/>
      <c r="BA365" s="346"/>
      <c r="BB365" s="346"/>
      <c r="BC365" s="346"/>
      <c r="BD365" s="346"/>
      <c r="BE365" s="346"/>
      <c r="BF365" s="346"/>
      <c r="BG365" s="346"/>
      <c r="BH365" s="346"/>
      <c r="BI365" s="346"/>
      <c r="BJ365" s="346"/>
      <c r="BK365" s="346"/>
      <c r="BL365" s="346"/>
      <c r="BM365" s="346"/>
      <c r="BN365" s="346"/>
      <c r="BO365" s="346"/>
      <c r="BP365" s="346"/>
      <c r="BQ365" s="346"/>
      <c r="BR365" s="346"/>
      <c r="BS365" s="346"/>
      <c r="BT365" s="346"/>
      <c r="BU365" s="346"/>
      <c r="BV365" s="346"/>
      <c r="BW365" s="346"/>
      <c r="BX365" s="346"/>
      <c r="BY365" s="346"/>
      <c r="BZ365" s="346"/>
      <c r="CA365" s="346"/>
      <c r="CB365" s="346"/>
      <c r="CC365" s="346"/>
      <c r="CD365" s="346"/>
      <c r="CE365" s="346"/>
      <c r="CF365" s="346"/>
      <c r="CG365" s="346"/>
      <c r="CH365" s="346"/>
      <c r="CI365" s="346"/>
      <c r="CJ365" s="346"/>
      <c r="CK365" s="346"/>
      <c r="CL365" s="346"/>
      <c r="CM365" s="346"/>
      <c r="CN365" s="346"/>
      <c r="CO365" s="346"/>
      <c r="CP365" s="346"/>
      <c r="CQ365" s="346"/>
      <c r="CR365" s="346"/>
      <c r="CS365" s="346"/>
      <c r="CT365" s="346"/>
      <c r="CU365" s="346"/>
      <c r="CV365" s="346"/>
      <c r="CW365" s="346"/>
      <c r="CX365" s="346"/>
      <c r="CY365" s="346"/>
      <c r="CZ365" s="346"/>
      <c r="DA365" s="346"/>
      <c r="DB365" s="346"/>
      <c r="DC365" s="346"/>
      <c r="DD365" s="346"/>
      <c r="DE365" s="346"/>
      <c r="DF365" s="346"/>
      <c r="DG365" s="346"/>
      <c r="DH365" s="346"/>
      <c r="DI365" s="346"/>
    </row>
    <row r="366" spans="1:113" x14ac:dyDescent="0.25">
      <c r="A366" s="170"/>
      <c r="B366" s="115" t="s">
        <v>1138</v>
      </c>
      <c r="C366" s="116">
        <v>4500</v>
      </c>
      <c r="D366" s="190"/>
      <c r="E366" s="122"/>
      <c r="F366" s="121"/>
      <c r="G366" s="169"/>
      <c r="H366" s="108"/>
      <c r="I366" s="109"/>
      <c r="J366" s="109"/>
      <c r="K366" s="110"/>
      <c r="L366"/>
      <c r="M366" s="314">
        <f t="shared" ref="M366" si="93">SUM(N366:DJ366)</f>
        <v>283</v>
      </c>
      <c r="N366" s="310">
        <v>100</v>
      </c>
      <c r="O366" s="349">
        <v>50</v>
      </c>
      <c r="P366" s="350">
        <v>60</v>
      </c>
      <c r="Q366" s="349">
        <v>23</v>
      </c>
      <c r="R366" s="346">
        <v>50</v>
      </c>
      <c r="T366" s="346"/>
      <c r="U366" s="346"/>
      <c r="V366" s="346"/>
      <c r="W366" s="346"/>
      <c r="X366" s="346"/>
      <c r="Y366" s="346"/>
      <c r="Z366" s="346"/>
      <c r="AA366" s="346"/>
      <c r="AB366" s="346"/>
      <c r="AC366" s="346"/>
      <c r="AD366" s="346"/>
      <c r="AE366" s="346"/>
      <c r="AF366" s="346"/>
      <c r="AG366" s="346"/>
      <c r="AH366" s="346"/>
      <c r="AI366" s="346"/>
      <c r="AJ366" s="346"/>
      <c r="AK366" s="346"/>
      <c r="AL366" s="346"/>
      <c r="AM366" s="346"/>
      <c r="AN366" s="346"/>
      <c r="AO366" s="346"/>
      <c r="AP366" s="346"/>
      <c r="AQ366" s="346"/>
      <c r="AR366" s="346"/>
      <c r="AS366" s="346"/>
      <c r="AT366" s="346"/>
      <c r="AU366" s="346"/>
      <c r="AV366" s="346"/>
      <c r="AW366" s="346"/>
      <c r="AX366" s="346"/>
      <c r="AY366" s="346"/>
      <c r="AZ366" s="346"/>
      <c r="BA366" s="346"/>
      <c r="BB366" s="346"/>
      <c r="BC366" s="346"/>
      <c r="BD366" s="346"/>
      <c r="BE366" s="346"/>
      <c r="BF366" s="346"/>
      <c r="BG366" s="346"/>
      <c r="BH366" s="346"/>
      <c r="BI366" s="346"/>
      <c r="BJ366" s="346"/>
      <c r="BK366" s="346"/>
      <c r="BL366" s="346"/>
      <c r="BM366" s="346"/>
      <c r="BN366" s="346"/>
      <c r="BO366" s="346"/>
      <c r="BP366" s="346"/>
      <c r="BQ366" s="346"/>
      <c r="BR366" s="346"/>
      <c r="BS366" s="346"/>
      <c r="BT366" s="346"/>
      <c r="BU366" s="346"/>
      <c r="BV366" s="346"/>
      <c r="BW366" s="346"/>
      <c r="BX366" s="346"/>
      <c r="BY366" s="346"/>
      <c r="BZ366" s="346"/>
      <c r="CA366" s="346"/>
      <c r="CB366" s="346"/>
      <c r="CC366" s="346"/>
      <c r="CD366" s="346"/>
      <c r="CE366" s="346"/>
      <c r="CF366" s="346"/>
      <c r="CG366" s="346"/>
      <c r="CH366" s="346"/>
      <c r="CI366" s="346"/>
      <c r="CJ366" s="346"/>
      <c r="CK366" s="346"/>
      <c r="CL366" s="346"/>
      <c r="CM366" s="346"/>
      <c r="CN366" s="346"/>
      <c r="CO366" s="346"/>
      <c r="CP366" s="346"/>
      <c r="CQ366" s="346"/>
      <c r="CR366" s="346"/>
      <c r="CS366" s="346"/>
      <c r="CT366" s="346"/>
      <c r="CU366" s="346"/>
      <c r="CV366" s="346"/>
      <c r="CW366" s="346"/>
      <c r="CX366" s="346"/>
      <c r="CY366" s="346"/>
      <c r="CZ366" s="346"/>
      <c r="DA366" s="346"/>
      <c r="DB366" s="346"/>
      <c r="DC366" s="346"/>
      <c r="DD366" s="346"/>
      <c r="DE366" s="346"/>
      <c r="DF366" s="346"/>
      <c r="DG366" s="346"/>
      <c r="DH366" s="346"/>
      <c r="DI366" s="346"/>
    </row>
    <row r="367" spans="1:113" x14ac:dyDescent="0.25">
      <c r="A367" s="384"/>
      <c r="B367" s="394"/>
      <c r="C367" s="362"/>
      <c r="D367" s="397"/>
      <c r="E367" s="364"/>
      <c r="F367" s="361"/>
      <c r="G367" s="386"/>
      <c r="H367" s="366"/>
      <c r="I367" s="365"/>
      <c r="J367" s="365"/>
      <c r="K367" s="367"/>
      <c r="L367"/>
      <c r="M367" s="348"/>
      <c r="N367" s="310" t="s">
        <v>1136</v>
      </c>
      <c r="O367" s="349" t="s">
        <v>1057</v>
      </c>
      <c r="P367" s="350" t="s">
        <v>1125</v>
      </c>
      <c r="Q367" s="349" t="s">
        <v>1096</v>
      </c>
      <c r="R367" s="349"/>
      <c r="S367" s="346"/>
      <c r="T367" s="346"/>
      <c r="U367" s="346"/>
      <c r="V367" s="346"/>
      <c r="W367" s="346"/>
      <c r="X367" s="346"/>
      <c r="Y367" s="346"/>
      <c r="Z367" s="346"/>
      <c r="AA367" s="346"/>
      <c r="AB367" s="346"/>
      <c r="AC367" s="346"/>
      <c r="AD367" s="346"/>
      <c r="AE367" s="346"/>
      <c r="AF367" s="346"/>
      <c r="AG367" s="346"/>
      <c r="AH367" s="346"/>
      <c r="AI367" s="346"/>
      <c r="AJ367" s="346"/>
      <c r="AK367" s="346"/>
      <c r="AL367" s="346"/>
      <c r="AM367" s="346"/>
      <c r="AN367" s="346"/>
      <c r="AO367" s="346"/>
      <c r="AP367" s="346"/>
      <c r="AQ367" s="346"/>
      <c r="AR367" s="346"/>
      <c r="AS367" s="346"/>
      <c r="AT367" s="346"/>
      <c r="AU367" s="346"/>
      <c r="AV367" s="346"/>
      <c r="AW367" s="346"/>
      <c r="AX367" s="346"/>
      <c r="AY367" s="346"/>
      <c r="AZ367" s="346"/>
      <c r="BA367" s="346"/>
      <c r="BB367" s="346"/>
      <c r="BC367" s="346"/>
      <c r="BD367" s="346"/>
      <c r="BE367" s="346"/>
      <c r="BF367" s="346"/>
      <c r="BG367" s="346"/>
      <c r="BH367" s="346"/>
      <c r="BI367" s="346"/>
      <c r="BJ367" s="346"/>
      <c r="BK367" s="346"/>
      <c r="BL367" s="346"/>
      <c r="BM367" s="346"/>
      <c r="BN367" s="346"/>
      <c r="BO367" s="346"/>
      <c r="BP367" s="346"/>
      <c r="BQ367" s="346"/>
      <c r="BR367" s="346"/>
      <c r="BS367" s="346"/>
      <c r="BT367" s="346"/>
      <c r="BU367" s="346"/>
      <c r="BV367" s="346"/>
      <c r="BW367" s="346"/>
      <c r="BX367" s="346"/>
      <c r="BY367" s="346"/>
      <c r="BZ367" s="346"/>
      <c r="CA367" s="346"/>
      <c r="CB367" s="346"/>
      <c r="CC367" s="346"/>
      <c r="CD367" s="346"/>
      <c r="CE367" s="346"/>
      <c r="CF367" s="346"/>
      <c r="CG367" s="346"/>
      <c r="CH367" s="346"/>
      <c r="CI367" s="346"/>
      <c r="CJ367" s="346"/>
      <c r="CK367" s="346"/>
      <c r="CL367" s="346"/>
      <c r="CM367" s="346"/>
      <c r="CN367" s="346"/>
      <c r="CO367" s="346"/>
      <c r="CP367" s="346"/>
      <c r="CQ367" s="346"/>
      <c r="CR367" s="346"/>
      <c r="CS367" s="346"/>
      <c r="CT367" s="346"/>
      <c r="CU367" s="346"/>
      <c r="CV367" s="346"/>
      <c r="CW367" s="346"/>
      <c r="CX367" s="346"/>
      <c r="CY367" s="346"/>
      <c r="CZ367" s="346"/>
      <c r="DA367" s="346"/>
      <c r="DB367" s="346"/>
      <c r="DC367" s="346"/>
      <c r="DD367" s="346"/>
      <c r="DE367" s="346"/>
      <c r="DF367" s="346"/>
      <c r="DG367" s="346"/>
      <c r="DH367" s="346"/>
      <c r="DI367" s="346"/>
    </row>
    <row r="368" spans="1:113" x14ac:dyDescent="0.25">
      <c r="A368" s="170"/>
      <c r="B368" s="115" t="s">
        <v>1139</v>
      </c>
      <c r="C368" s="116">
        <v>4500</v>
      </c>
      <c r="D368" s="190"/>
      <c r="E368" s="122"/>
      <c r="F368" s="121"/>
      <c r="G368" s="169"/>
      <c r="H368" s="108"/>
      <c r="I368" s="109"/>
      <c r="J368" s="109"/>
      <c r="K368" s="110"/>
      <c r="L368"/>
      <c r="M368" s="314">
        <f t="shared" ref="M368" si="94">SUM(N368:DJ368)</f>
        <v>222</v>
      </c>
      <c r="N368" s="310">
        <v>100</v>
      </c>
      <c r="O368" s="349">
        <v>50</v>
      </c>
      <c r="P368" s="350">
        <v>50</v>
      </c>
      <c r="Q368" s="349">
        <v>22</v>
      </c>
      <c r="R368" s="349"/>
      <c r="S368" s="346"/>
      <c r="T368" s="346"/>
      <c r="U368" s="346"/>
      <c r="V368" s="346"/>
      <c r="W368" s="346"/>
      <c r="X368" s="346"/>
      <c r="Y368" s="346"/>
      <c r="Z368" s="346"/>
      <c r="AA368" s="346"/>
      <c r="AB368" s="346"/>
      <c r="AC368" s="346"/>
      <c r="AD368" s="346"/>
      <c r="AE368" s="346"/>
      <c r="AF368" s="346"/>
      <c r="AG368" s="346"/>
      <c r="AH368" s="346"/>
      <c r="AI368" s="346"/>
      <c r="AJ368" s="346"/>
      <c r="AK368" s="346"/>
      <c r="AL368" s="346"/>
      <c r="AM368" s="346"/>
      <c r="AN368" s="346"/>
      <c r="AO368" s="346"/>
      <c r="AP368" s="346"/>
      <c r="AQ368" s="346"/>
      <c r="AR368" s="346"/>
      <c r="AS368" s="346"/>
      <c r="AT368" s="346"/>
      <c r="AU368" s="346"/>
      <c r="AV368" s="346"/>
      <c r="AW368" s="346"/>
      <c r="AX368" s="346"/>
      <c r="AY368" s="346"/>
      <c r="AZ368" s="346"/>
      <c r="BA368" s="346"/>
      <c r="BB368" s="346"/>
      <c r="BC368" s="346"/>
      <c r="BD368" s="346"/>
      <c r="BE368" s="346"/>
      <c r="BF368" s="346"/>
      <c r="BG368" s="346"/>
      <c r="BH368" s="346"/>
      <c r="BI368" s="346"/>
      <c r="BJ368" s="346"/>
      <c r="BK368" s="346"/>
      <c r="BL368" s="346"/>
      <c r="BM368" s="346"/>
      <c r="BN368" s="346"/>
      <c r="BO368" s="346"/>
      <c r="BP368" s="346"/>
      <c r="BQ368" s="346"/>
      <c r="BR368" s="346"/>
      <c r="BS368" s="346"/>
      <c r="BT368" s="346"/>
      <c r="BU368" s="346"/>
      <c r="BV368" s="346"/>
      <c r="BW368" s="346"/>
      <c r="BX368" s="346"/>
      <c r="BY368" s="346"/>
      <c r="BZ368" s="346"/>
      <c r="CA368" s="346"/>
      <c r="CB368" s="346"/>
      <c r="CC368" s="346"/>
      <c r="CD368" s="346"/>
      <c r="CE368" s="346"/>
      <c r="CF368" s="346"/>
      <c r="CG368" s="346"/>
      <c r="CH368" s="346"/>
      <c r="CI368" s="346"/>
      <c r="CJ368" s="346"/>
      <c r="CK368" s="346"/>
      <c r="CL368" s="346"/>
      <c r="CM368" s="346"/>
      <c r="CN368" s="346"/>
      <c r="CO368" s="346"/>
      <c r="CP368" s="346"/>
      <c r="CQ368" s="346"/>
      <c r="CR368" s="346"/>
      <c r="CS368" s="346"/>
      <c r="CT368" s="346"/>
      <c r="CU368" s="346"/>
      <c r="CV368" s="346"/>
      <c r="CW368" s="346"/>
      <c r="CX368" s="346"/>
      <c r="CY368" s="346"/>
      <c r="CZ368" s="346"/>
      <c r="DA368" s="346"/>
      <c r="DB368" s="346"/>
      <c r="DC368" s="346"/>
      <c r="DD368" s="346"/>
      <c r="DE368" s="346"/>
      <c r="DF368" s="346"/>
      <c r="DG368" s="346"/>
      <c r="DH368" s="346"/>
      <c r="DI368" s="346"/>
    </row>
    <row r="369" spans="1:113" x14ac:dyDescent="0.25">
      <c r="A369" s="384"/>
      <c r="B369" s="394"/>
      <c r="C369" s="362"/>
      <c r="D369" s="397"/>
      <c r="E369" s="364"/>
      <c r="F369" s="361"/>
      <c r="G369" s="386"/>
      <c r="H369" s="366"/>
      <c r="I369" s="365"/>
      <c r="J369" s="365"/>
      <c r="K369" s="367"/>
      <c r="L369"/>
      <c r="M369" s="348"/>
      <c r="N369" s="310" t="s">
        <v>1122</v>
      </c>
      <c r="O369" s="349" t="s">
        <v>1136</v>
      </c>
      <c r="P369" s="350" t="s">
        <v>1125</v>
      </c>
      <c r="Q369" s="349" t="s">
        <v>1057</v>
      </c>
      <c r="R369" s="349"/>
      <c r="S369" s="346"/>
      <c r="T369" s="346"/>
      <c r="U369" s="346"/>
      <c r="V369" s="346"/>
      <c r="W369" s="346"/>
      <c r="X369" s="346"/>
      <c r="Y369" s="346"/>
      <c r="Z369" s="346"/>
      <c r="AA369" s="346"/>
      <c r="AB369" s="346"/>
      <c r="AC369" s="346"/>
      <c r="AD369" s="346"/>
      <c r="AE369" s="346"/>
      <c r="AF369" s="346"/>
      <c r="AG369" s="346"/>
      <c r="AH369" s="346"/>
      <c r="AI369" s="346"/>
      <c r="AJ369" s="346"/>
      <c r="AK369" s="346"/>
      <c r="AL369" s="346"/>
      <c r="AM369" s="346"/>
      <c r="AN369" s="346"/>
      <c r="AO369" s="346"/>
      <c r="AP369" s="346"/>
      <c r="AQ369" s="346"/>
      <c r="AR369" s="346"/>
      <c r="AS369" s="346"/>
      <c r="AT369" s="346"/>
      <c r="AU369" s="346"/>
      <c r="AV369" s="346"/>
      <c r="AW369" s="346"/>
      <c r="AX369" s="346"/>
      <c r="AY369" s="346"/>
      <c r="AZ369" s="346"/>
      <c r="BA369" s="346"/>
      <c r="BB369" s="346"/>
      <c r="BC369" s="346"/>
      <c r="BD369" s="346"/>
      <c r="BE369" s="346"/>
      <c r="BF369" s="346"/>
      <c r="BG369" s="346"/>
      <c r="BH369" s="346"/>
      <c r="BI369" s="346"/>
      <c r="BJ369" s="346"/>
      <c r="BK369" s="346"/>
      <c r="BL369" s="346"/>
      <c r="BM369" s="346"/>
      <c r="BN369" s="346"/>
      <c r="BO369" s="346"/>
      <c r="BP369" s="346"/>
      <c r="BQ369" s="346"/>
      <c r="BR369" s="346"/>
      <c r="BS369" s="346"/>
      <c r="BT369" s="346"/>
      <c r="BU369" s="346"/>
      <c r="BV369" s="346"/>
      <c r="BW369" s="346"/>
      <c r="BX369" s="346"/>
      <c r="BY369" s="346"/>
      <c r="BZ369" s="346"/>
      <c r="CA369" s="346"/>
      <c r="CB369" s="346"/>
      <c r="CC369" s="346"/>
      <c r="CD369" s="346"/>
      <c r="CE369" s="346"/>
      <c r="CF369" s="346"/>
      <c r="CG369" s="346"/>
      <c r="CH369" s="346"/>
      <c r="CI369" s="346"/>
      <c r="CJ369" s="346"/>
      <c r="CK369" s="346"/>
      <c r="CL369" s="346"/>
      <c r="CM369" s="346"/>
      <c r="CN369" s="346"/>
      <c r="CO369" s="346"/>
      <c r="CP369" s="346"/>
      <c r="CQ369" s="346"/>
      <c r="CR369" s="346"/>
      <c r="CS369" s="346"/>
      <c r="CT369" s="346"/>
      <c r="CU369" s="346"/>
      <c r="CV369" s="346"/>
      <c r="CW369" s="346"/>
      <c r="CX369" s="346"/>
      <c r="CY369" s="346"/>
      <c r="CZ369" s="346"/>
      <c r="DA369" s="346"/>
      <c r="DB369" s="346"/>
      <c r="DC369" s="346"/>
      <c r="DD369" s="346"/>
      <c r="DE369" s="346"/>
      <c r="DF369" s="346"/>
      <c r="DG369" s="346"/>
      <c r="DH369" s="346"/>
      <c r="DI369" s="346"/>
    </row>
    <row r="370" spans="1:113" x14ac:dyDescent="0.25">
      <c r="A370" s="170"/>
      <c r="B370" s="115" t="s">
        <v>1140</v>
      </c>
      <c r="C370" s="116">
        <v>4500</v>
      </c>
      <c r="D370" s="190"/>
      <c r="E370" s="122"/>
      <c r="F370" s="121"/>
      <c r="G370" s="169"/>
      <c r="H370" s="108"/>
      <c r="I370" s="109"/>
      <c r="J370" s="109"/>
      <c r="K370" s="110"/>
      <c r="L370"/>
      <c r="M370" s="314">
        <f t="shared" ref="M370" si="95">SUM(N370:DJ370)</f>
        <v>278</v>
      </c>
      <c r="N370" s="310">
        <v>79</v>
      </c>
      <c r="O370" s="349">
        <v>100</v>
      </c>
      <c r="P370" s="350">
        <v>49</v>
      </c>
      <c r="Q370" s="349">
        <v>50</v>
      </c>
      <c r="R370" s="349"/>
      <c r="S370" s="346"/>
      <c r="T370" s="346"/>
      <c r="U370" s="346"/>
      <c r="V370" s="346"/>
      <c r="W370" s="346"/>
      <c r="X370" s="346"/>
      <c r="Y370" s="346"/>
      <c r="Z370" s="346"/>
      <c r="AA370" s="346"/>
      <c r="AB370" s="346"/>
      <c r="AC370" s="346"/>
      <c r="AD370" s="346"/>
      <c r="AE370" s="346"/>
      <c r="AF370" s="346"/>
      <c r="AG370" s="346"/>
      <c r="AH370" s="346"/>
      <c r="AI370" s="346"/>
      <c r="AJ370" s="346"/>
      <c r="AK370" s="346"/>
      <c r="AL370" s="346"/>
      <c r="AM370" s="346"/>
      <c r="AN370" s="346"/>
      <c r="AO370" s="346"/>
      <c r="AP370" s="346"/>
      <c r="AQ370" s="346"/>
      <c r="AR370" s="346"/>
      <c r="AS370" s="346"/>
      <c r="AT370" s="346"/>
      <c r="AU370" s="346"/>
      <c r="AV370" s="346"/>
      <c r="AW370" s="346"/>
      <c r="AX370" s="346"/>
      <c r="AY370" s="346"/>
      <c r="AZ370" s="346"/>
      <c r="BA370" s="346"/>
      <c r="BB370" s="346"/>
      <c r="BC370" s="346"/>
      <c r="BD370" s="346"/>
      <c r="BE370" s="346"/>
      <c r="BF370" s="346"/>
      <c r="BG370" s="346"/>
      <c r="BH370" s="346"/>
      <c r="BI370" s="346"/>
      <c r="BJ370" s="346"/>
      <c r="BK370" s="346"/>
      <c r="BL370" s="346"/>
      <c r="BM370" s="346"/>
      <c r="BN370" s="346"/>
      <c r="BO370" s="346"/>
      <c r="BP370" s="346"/>
      <c r="BQ370" s="346"/>
      <c r="BR370" s="346"/>
      <c r="BS370" s="346"/>
      <c r="BT370" s="346"/>
      <c r="BU370" s="346"/>
      <c r="BV370" s="346"/>
      <c r="BW370" s="346"/>
      <c r="BX370" s="346"/>
      <c r="BY370" s="346"/>
      <c r="BZ370" s="346"/>
      <c r="CA370" s="346"/>
      <c r="CB370" s="346"/>
      <c r="CC370" s="346"/>
      <c r="CD370" s="346"/>
      <c r="CE370" s="346"/>
      <c r="CF370" s="346"/>
      <c r="CG370" s="346"/>
      <c r="CH370" s="346"/>
      <c r="CI370" s="346"/>
      <c r="CJ370" s="346"/>
      <c r="CK370" s="346"/>
      <c r="CL370" s="346"/>
      <c r="CM370" s="346"/>
      <c r="CN370" s="346"/>
      <c r="CO370" s="346"/>
      <c r="CP370" s="346"/>
      <c r="CQ370" s="346"/>
      <c r="CR370" s="346"/>
      <c r="CS370" s="346"/>
      <c r="CT370" s="346"/>
      <c r="CU370" s="346"/>
      <c r="CV370" s="346"/>
      <c r="CW370" s="346"/>
      <c r="CX370" s="346"/>
      <c r="CY370" s="346"/>
      <c r="CZ370" s="346"/>
      <c r="DA370" s="346"/>
      <c r="DB370" s="346"/>
      <c r="DC370" s="346"/>
      <c r="DD370" s="346"/>
      <c r="DE370" s="346"/>
      <c r="DF370" s="346"/>
      <c r="DG370" s="346"/>
      <c r="DH370" s="346"/>
      <c r="DI370" s="346"/>
    </row>
    <row r="371" spans="1:113" x14ac:dyDescent="0.25">
      <c r="A371" s="384"/>
      <c r="B371" s="394"/>
      <c r="C371" s="362"/>
      <c r="D371" s="397"/>
      <c r="E371" s="364"/>
      <c r="F371" s="361"/>
      <c r="G371" s="386"/>
      <c r="H371" s="366"/>
      <c r="I371" s="365"/>
      <c r="J371" s="365"/>
      <c r="K371" s="367"/>
      <c r="L371"/>
      <c r="M371" s="348"/>
      <c r="N371" s="310" t="s">
        <v>1122</v>
      </c>
      <c r="O371" s="349" t="s">
        <v>1125</v>
      </c>
      <c r="P371" s="350" t="s">
        <v>1036</v>
      </c>
      <c r="Q371" s="349"/>
      <c r="R371" s="349"/>
      <c r="S371" s="346"/>
      <c r="T371" s="346"/>
      <c r="U371" s="346"/>
      <c r="V371" s="346"/>
      <c r="W371" s="346"/>
      <c r="X371" s="346"/>
      <c r="Y371" s="346"/>
      <c r="Z371" s="346"/>
      <c r="AA371" s="346"/>
      <c r="AB371" s="346"/>
      <c r="AC371" s="346"/>
      <c r="AD371" s="346"/>
      <c r="AE371" s="346"/>
      <c r="AF371" s="346"/>
      <c r="AG371" s="346"/>
      <c r="AH371" s="346"/>
      <c r="AI371" s="346"/>
      <c r="AJ371" s="346"/>
      <c r="AK371" s="346"/>
      <c r="AL371" s="346"/>
      <c r="AM371" s="346"/>
      <c r="AN371" s="346"/>
      <c r="AO371" s="346"/>
      <c r="AP371" s="346"/>
      <c r="AQ371" s="346"/>
      <c r="AR371" s="346"/>
      <c r="AS371" s="346"/>
      <c r="AT371" s="346"/>
      <c r="AU371" s="346"/>
      <c r="AV371" s="346"/>
      <c r="AW371" s="346"/>
      <c r="AX371" s="346"/>
      <c r="AY371" s="346"/>
      <c r="AZ371" s="346"/>
      <c r="BA371" s="346"/>
      <c r="BB371" s="346"/>
      <c r="BC371" s="346"/>
      <c r="BD371" s="346"/>
      <c r="BE371" s="346"/>
      <c r="BF371" s="346"/>
      <c r="BG371" s="346"/>
      <c r="BH371" s="346"/>
      <c r="BI371" s="346"/>
      <c r="BJ371" s="346"/>
      <c r="BK371" s="346"/>
      <c r="BL371" s="346"/>
      <c r="BM371" s="346"/>
      <c r="BN371" s="346"/>
      <c r="BO371" s="346"/>
      <c r="BP371" s="346"/>
      <c r="BQ371" s="346"/>
      <c r="BR371" s="346"/>
      <c r="BS371" s="346"/>
      <c r="BT371" s="346"/>
      <c r="BU371" s="346"/>
      <c r="BV371" s="346"/>
      <c r="BW371" s="346"/>
      <c r="BX371" s="346"/>
      <c r="BY371" s="346"/>
      <c r="BZ371" s="346"/>
      <c r="CA371" s="346"/>
      <c r="CB371" s="346"/>
      <c r="CC371" s="346"/>
      <c r="CD371" s="346"/>
      <c r="CE371" s="346"/>
      <c r="CF371" s="346"/>
      <c r="CG371" s="346"/>
      <c r="CH371" s="346"/>
      <c r="CI371" s="346"/>
      <c r="CJ371" s="346"/>
      <c r="CK371" s="346"/>
      <c r="CL371" s="346"/>
      <c r="CM371" s="346"/>
      <c r="CN371" s="346"/>
      <c r="CO371" s="346"/>
      <c r="CP371" s="346"/>
      <c r="CQ371" s="346"/>
      <c r="CR371" s="346"/>
      <c r="CS371" s="346"/>
      <c r="CT371" s="346"/>
      <c r="CU371" s="346"/>
      <c r="CV371" s="346"/>
      <c r="CW371" s="346"/>
      <c r="CX371" s="346"/>
      <c r="CY371" s="346"/>
      <c r="CZ371" s="346"/>
      <c r="DA371" s="346"/>
      <c r="DB371" s="346"/>
      <c r="DC371" s="346"/>
      <c r="DD371" s="346"/>
      <c r="DE371" s="346"/>
      <c r="DF371" s="346"/>
      <c r="DG371" s="346"/>
      <c r="DH371" s="346"/>
      <c r="DI371" s="346"/>
    </row>
    <row r="372" spans="1:113" x14ac:dyDescent="0.25">
      <c r="A372" s="170"/>
      <c r="B372" s="115" t="s">
        <v>1141</v>
      </c>
      <c r="C372" s="116">
        <v>4500</v>
      </c>
      <c r="D372" s="190"/>
      <c r="E372" s="122"/>
      <c r="F372" s="121"/>
      <c r="G372" s="169"/>
      <c r="H372" s="108"/>
      <c r="I372" s="109"/>
      <c r="J372" s="109"/>
      <c r="K372" s="110"/>
      <c r="L372"/>
      <c r="M372" s="314">
        <f t="shared" ref="M372" si="96">SUM(N372:DJ372)</f>
        <v>148</v>
      </c>
      <c r="N372" s="310">
        <v>79</v>
      </c>
      <c r="O372" s="349">
        <v>49</v>
      </c>
      <c r="P372" s="350">
        <v>20</v>
      </c>
      <c r="Q372" s="349"/>
      <c r="R372" s="349"/>
      <c r="S372" s="346"/>
      <c r="T372" s="346"/>
      <c r="U372" s="346"/>
      <c r="V372" s="346"/>
      <c r="W372" s="346"/>
      <c r="X372" s="346"/>
      <c r="Y372" s="346"/>
      <c r="Z372" s="346"/>
      <c r="AA372" s="346"/>
      <c r="AB372" s="346"/>
      <c r="AC372" s="346"/>
      <c r="AD372" s="346"/>
      <c r="AE372" s="346"/>
      <c r="AF372" s="346"/>
      <c r="AG372" s="346"/>
      <c r="AH372" s="346"/>
      <c r="AI372" s="346"/>
      <c r="AJ372" s="346"/>
      <c r="AK372" s="346"/>
      <c r="AL372" s="346"/>
      <c r="AM372" s="346"/>
      <c r="AN372" s="346"/>
      <c r="AO372" s="346"/>
      <c r="AP372" s="346"/>
      <c r="AQ372" s="346"/>
      <c r="AR372" s="346"/>
      <c r="AS372" s="346"/>
      <c r="AT372" s="346"/>
      <c r="AU372" s="346"/>
      <c r="AV372" s="346"/>
      <c r="AW372" s="346"/>
      <c r="AX372" s="346"/>
      <c r="AY372" s="346"/>
      <c r="AZ372" s="346"/>
      <c r="BA372" s="346"/>
      <c r="BB372" s="346"/>
      <c r="BC372" s="346"/>
      <c r="BD372" s="346"/>
      <c r="BE372" s="346"/>
      <c r="BF372" s="346"/>
      <c r="BG372" s="346"/>
      <c r="BH372" s="346"/>
      <c r="BI372" s="346"/>
      <c r="BJ372" s="346"/>
      <c r="BK372" s="346"/>
      <c r="BL372" s="346"/>
      <c r="BM372" s="346"/>
      <c r="BN372" s="346"/>
      <c r="BO372" s="346"/>
      <c r="BP372" s="346"/>
      <c r="BQ372" s="346"/>
      <c r="BR372" s="346"/>
      <c r="BS372" s="346"/>
      <c r="BT372" s="346"/>
      <c r="BU372" s="346"/>
      <c r="BV372" s="346"/>
      <c r="BW372" s="346"/>
      <c r="BX372" s="346"/>
      <c r="BY372" s="346"/>
      <c r="BZ372" s="346"/>
      <c r="CA372" s="346"/>
      <c r="CB372" s="346"/>
      <c r="CC372" s="346"/>
      <c r="CD372" s="346"/>
      <c r="CE372" s="346"/>
      <c r="CF372" s="346"/>
      <c r="CG372" s="346"/>
      <c r="CH372" s="346"/>
      <c r="CI372" s="346"/>
      <c r="CJ372" s="346"/>
      <c r="CK372" s="346"/>
      <c r="CL372" s="346"/>
      <c r="CM372" s="346"/>
      <c r="CN372" s="346"/>
      <c r="CO372" s="346"/>
      <c r="CP372" s="346"/>
      <c r="CQ372" s="346"/>
      <c r="CR372" s="346"/>
      <c r="CS372" s="346"/>
      <c r="CT372" s="346"/>
      <c r="CU372" s="346"/>
      <c r="CV372" s="346"/>
      <c r="CW372" s="346"/>
      <c r="CX372" s="346"/>
      <c r="CY372" s="346"/>
      <c r="CZ372" s="346"/>
      <c r="DA372" s="346"/>
      <c r="DB372" s="346"/>
      <c r="DC372" s="346"/>
      <c r="DD372" s="346"/>
      <c r="DE372" s="346"/>
      <c r="DF372" s="346"/>
      <c r="DG372" s="346"/>
      <c r="DH372" s="346"/>
      <c r="DI372" s="346"/>
    </row>
    <row r="373" spans="1:113" x14ac:dyDescent="0.25">
      <c r="A373" s="384"/>
      <c r="B373" s="394"/>
      <c r="C373" s="362"/>
      <c r="D373" s="397"/>
      <c r="E373" s="364"/>
      <c r="F373" s="361"/>
      <c r="G373" s="386"/>
      <c r="H373" s="366"/>
      <c r="I373" s="365"/>
      <c r="J373" s="365"/>
      <c r="K373" s="367"/>
      <c r="L373"/>
      <c r="M373" s="348"/>
      <c r="N373" s="310" t="s">
        <v>1036</v>
      </c>
      <c r="O373" s="349" t="s">
        <v>1122</v>
      </c>
      <c r="P373" s="350"/>
      <c r="Q373" s="349"/>
      <c r="R373" s="349"/>
      <c r="S373" s="346"/>
      <c r="T373" s="346"/>
      <c r="U373" s="346"/>
      <c r="V373" s="346"/>
      <c r="W373" s="346"/>
      <c r="X373" s="346"/>
      <c r="Y373" s="346"/>
      <c r="Z373" s="346"/>
      <c r="AA373" s="346"/>
      <c r="AB373" s="346"/>
      <c r="AC373" s="346"/>
      <c r="AD373" s="346"/>
      <c r="AE373" s="346"/>
      <c r="AF373" s="346"/>
      <c r="AG373" s="346"/>
      <c r="AH373" s="346"/>
      <c r="AI373" s="346"/>
      <c r="AJ373" s="346"/>
      <c r="AK373" s="346"/>
      <c r="AL373" s="346"/>
      <c r="AM373" s="346"/>
      <c r="AN373" s="346"/>
      <c r="AO373" s="346"/>
      <c r="AP373" s="346"/>
      <c r="AQ373" s="346"/>
      <c r="AR373" s="346"/>
      <c r="AS373" s="346"/>
      <c r="AT373" s="346"/>
      <c r="AU373" s="346"/>
      <c r="AV373" s="346"/>
      <c r="AW373" s="346"/>
      <c r="AX373" s="346"/>
      <c r="AY373" s="346"/>
      <c r="AZ373" s="346"/>
      <c r="BA373" s="346"/>
      <c r="BB373" s="346"/>
      <c r="BC373" s="346"/>
      <c r="BD373" s="346"/>
      <c r="BE373" s="346"/>
      <c r="BF373" s="346"/>
      <c r="BG373" s="346"/>
      <c r="BH373" s="346"/>
      <c r="BI373" s="346"/>
      <c r="BJ373" s="346"/>
      <c r="BK373" s="346"/>
      <c r="BL373" s="346"/>
      <c r="BM373" s="346"/>
      <c r="BN373" s="346"/>
      <c r="BO373" s="346"/>
      <c r="BP373" s="346"/>
      <c r="BQ373" s="346"/>
      <c r="BR373" s="346"/>
      <c r="BS373" s="346"/>
      <c r="BT373" s="346"/>
      <c r="BU373" s="346"/>
      <c r="BV373" s="346"/>
      <c r="BW373" s="346"/>
      <c r="BX373" s="346"/>
      <c r="BY373" s="346"/>
      <c r="BZ373" s="346"/>
      <c r="CA373" s="346"/>
      <c r="CB373" s="346"/>
      <c r="CC373" s="346"/>
      <c r="CD373" s="346"/>
      <c r="CE373" s="346"/>
      <c r="CF373" s="346"/>
      <c r="CG373" s="346"/>
      <c r="CH373" s="346"/>
      <c r="CI373" s="346"/>
      <c r="CJ373" s="346"/>
      <c r="CK373" s="346"/>
      <c r="CL373" s="346"/>
      <c r="CM373" s="346"/>
      <c r="CN373" s="346"/>
      <c r="CO373" s="346"/>
      <c r="CP373" s="346"/>
      <c r="CQ373" s="346"/>
      <c r="CR373" s="346"/>
      <c r="CS373" s="346"/>
      <c r="CT373" s="346"/>
      <c r="CU373" s="346"/>
      <c r="CV373" s="346"/>
      <c r="CW373" s="346"/>
      <c r="CX373" s="346"/>
      <c r="CY373" s="346"/>
      <c r="CZ373" s="346"/>
      <c r="DA373" s="346"/>
      <c r="DB373" s="346"/>
      <c r="DC373" s="346"/>
      <c r="DD373" s="346"/>
      <c r="DE373" s="346"/>
      <c r="DF373" s="346"/>
      <c r="DG373" s="346"/>
      <c r="DH373" s="346"/>
      <c r="DI373" s="346"/>
    </row>
    <row r="374" spans="1:113" x14ac:dyDescent="0.25">
      <c r="A374" s="170"/>
      <c r="B374" s="115" t="s">
        <v>1142</v>
      </c>
      <c r="C374" s="116">
        <v>4500</v>
      </c>
      <c r="D374" s="190"/>
      <c r="E374" s="122"/>
      <c r="F374" s="121"/>
      <c r="G374" s="169"/>
      <c r="H374" s="108"/>
      <c r="I374" s="109"/>
      <c r="J374" s="109"/>
      <c r="K374" s="110"/>
      <c r="L374"/>
      <c r="M374" s="314">
        <f t="shared" ref="M374:M376" si="97">SUM(N374:DJ374)</f>
        <v>99</v>
      </c>
      <c r="N374" s="310">
        <v>20</v>
      </c>
      <c r="O374" s="349">
        <v>79</v>
      </c>
      <c r="P374" s="350"/>
      <c r="Q374" s="349"/>
      <c r="R374" s="349"/>
      <c r="S374" s="346"/>
      <c r="T374" s="346"/>
      <c r="U374" s="346"/>
      <c r="V374" s="346"/>
      <c r="W374" s="346"/>
      <c r="X374" s="346"/>
      <c r="Y374" s="346"/>
      <c r="Z374" s="346"/>
      <c r="AA374" s="346"/>
      <c r="AB374" s="346"/>
      <c r="AC374" s="346"/>
      <c r="AD374" s="346"/>
      <c r="AE374" s="346"/>
      <c r="AF374" s="346"/>
      <c r="AG374" s="346"/>
      <c r="AH374" s="346"/>
      <c r="AI374" s="346"/>
      <c r="AJ374" s="346"/>
      <c r="AK374" s="346"/>
      <c r="AL374" s="346"/>
      <c r="AM374" s="346"/>
      <c r="AN374" s="346"/>
      <c r="AO374" s="346"/>
      <c r="AP374" s="346"/>
      <c r="AQ374" s="346"/>
      <c r="AR374" s="346"/>
      <c r="AS374" s="346"/>
      <c r="AT374" s="346"/>
      <c r="AU374" s="346"/>
      <c r="AV374" s="346"/>
      <c r="AW374" s="346"/>
      <c r="AX374" s="346"/>
      <c r="AY374" s="346"/>
      <c r="AZ374" s="346"/>
      <c r="BA374" s="346"/>
      <c r="BB374" s="346"/>
      <c r="BC374" s="346"/>
      <c r="BD374" s="346"/>
      <c r="BE374" s="346"/>
      <c r="BF374" s="346"/>
      <c r="BG374" s="346"/>
      <c r="BH374" s="346"/>
      <c r="BI374" s="346"/>
      <c r="BJ374" s="346"/>
      <c r="BK374" s="346"/>
      <c r="BL374" s="346"/>
      <c r="BM374" s="346"/>
      <c r="BN374" s="346"/>
      <c r="BO374" s="346"/>
      <c r="BP374" s="346"/>
      <c r="BQ374" s="346"/>
      <c r="BR374" s="346"/>
      <c r="BS374" s="346"/>
      <c r="BT374" s="346"/>
      <c r="BU374" s="346"/>
      <c r="BV374" s="346"/>
      <c r="BW374" s="346"/>
      <c r="BX374" s="346"/>
      <c r="BY374" s="346"/>
      <c r="BZ374" s="346"/>
      <c r="CA374" s="346"/>
      <c r="CB374" s="346"/>
      <c r="CC374" s="346"/>
      <c r="CD374" s="346"/>
      <c r="CE374" s="346"/>
      <c r="CF374" s="346"/>
      <c r="CG374" s="346"/>
      <c r="CH374" s="346"/>
      <c r="CI374" s="346"/>
      <c r="CJ374" s="346"/>
      <c r="CK374" s="346"/>
      <c r="CL374" s="346"/>
      <c r="CM374" s="346"/>
      <c r="CN374" s="346"/>
      <c r="CO374" s="346"/>
      <c r="CP374" s="346"/>
      <c r="CQ374" s="346"/>
      <c r="CR374" s="346"/>
      <c r="CS374" s="346"/>
      <c r="CT374" s="346"/>
      <c r="CU374" s="346"/>
      <c r="CV374" s="346"/>
      <c r="CW374" s="346"/>
      <c r="CX374" s="346"/>
      <c r="CY374" s="346"/>
      <c r="CZ374" s="346"/>
      <c r="DA374" s="346"/>
      <c r="DB374" s="346"/>
      <c r="DC374" s="346"/>
      <c r="DD374" s="346"/>
      <c r="DE374" s="346"/>
      <c r="DF374" s="346"/>
      <c r="DG374" s="346"/>
      <c r="DH374" s="346"/>
      <c r="DI374" s="346"/>
    </row>
    <row r="375" spans="1:113" x14ac:dyDescent="0.25">
      <c r="A375" s="384"/>
      <c r="B375" s="394"/>
      <c r="C375" s="362"/>
      <c r="D375" s="397"/>
      <c r="E375" s="364"/>
      <c r="F375" s="361"/>
      <c r="G375" s="386"/>
      <c r="H375" s="366"/>
      <c r="I375" s="365"/>
      <c r="J375" s="365"/>
      <c r="K375" s="367"/>
      <c r="L375"/>
      <c r="M375" s="348"/>
      <c r="N375" s="310" t="s">
        <v>1117</v>
      </c>
      <c r="O375" s="349" t="s">
        <v>1036</v>
      </c>
      <c r="P375" s="350"/>
      <c r="Q375" s="349"/>
      <c r="R375" s="349"/>
      <c r="S375" s="346"/>
      <c r="T375" s="346"/>
      <c r="U375" s="346"/>
      <c r="V375" s="346"/>
      <c r="W375" s="346"/>
      <c r="X375" s="346"/>
      <c r="Y375" s="346"/>
      <c r="Z375" s="346"/>
      <c r="AA375" s="346"/>
      <c r="AB375" s="346"/>
      <c r="AC375" s="346"/>
      <c r="AD375" s="346"/>
      <c r="AE375" s="346"/>
      <c r="AF375" s="346"/>
      <c r="AG375" s="346"/>
      <c r="AH375" s="346"/>
      <c r="AI375" s="346"/>
      <c r="AJ375" s="346"/>
      <c r="AK375" s="346"/>
      <c r="AL375" s="346"/>
      <c r="AM375" s="346"/>
      <c r="AN375" s="346"/>
      <c r="AO375" s="346"/>
      <c r="AP375" s="346"/>
      <c r="AQ375" s="346"/>
      <c r="AR375" s="346"/>
      <c r="AS375" s="346"/>
      <c r="AT375" s="346"/>
      <c r="AU375" s="346"/>
      <c r="AV375" s="346"/>
      <c r="AW375" s="346"/>
      <c r="AX375" s="346"/>
      <c r="AY375" s="346"/>
      <c r="AZ375" s="346"/>
      <c r="BA375" s="346"/>
      <c r="BB375" s="346"/>
      <c r="BC375" s="346"/>
      <c r="BD375" s="346"/>
      <c r="BE375" s="346"/>
      <c r="BF375" s="346"/>
      <c r="BG375" s="346"/>
      <c r="BH375" s="346"/>
      <c r="BI375" s="346"/>
      <c r="BJ375" s="346"/>
      <c r="BK375" s="346"/>
      <c r="BL375" s="346"/>
      <c r="BM375" s="346"/>
      <c r="BN375" s="346"/>
      <c r="BO375" s="346"/>
      <c r="BP375" s="346"/>
      <c r="BQ375" s="346"/>
      <c r="BR375" s="346"/>
      <c r="BS375" s="346"/>
      <c r="BT375" s="346"/>
      <c r="BU375" s="346"/>
      <c r="BV375" s="346"/>
      <c r="BW375" s="346"/>
      <c r="BX375" s="346"/>
      <c r="BY375" s="346"/>
      <c r="BZ375" s="346"/>
      <c r="CA375" s="346"/>
      <c r="CB375" s="346"/>
      <c r="CC375" s="346"/>
      <c r="CD375" s="346"/>
      <c r="CE375" s="346"/>
      <c r="CF375" s="346"/>
      <c r="CG375" s="346"/>
      <c r="CH375" s="346"/>
      <c r="CI375" s="346"/>
      <c r="CJ375" s="346"/>
      <c r="CK375" s="346"/>
      <c r="CL375" s="346"/>
      <c r="CM375" s="346"/>
      <c r="CN375" s="346"/>
      <c r="CO375" s="346"/>
      <c r="CP375" s="346"/>
      <c r="CQ375" s="346"/>
      <c r="CR375" s="346"/>
      <c r="CS375" s="346"/>
      <c r="CT375" s="346"/>
      <c r="CU375" s="346"/>
      <c r="CV375" s="346"/>
      <c r="CW375" s="346"/>
      <c r="CX375" s="346"/>
      <c r="CY375" s="346"/>
      <c r="CZ375" s="346"/>
      <c r="DA375" s="346"/>
      <c r="DB375" s="346"/>
      <c r="DC375" s="346"/>
      <c r="DD375" s="346"/>
      <c r="DE375" s="346"/>
      <c r="DF375" s="346"/>
      <c r="DG375" s="346"/>
      <c r="DH375" s="346"/>
      <c r="DI375" s="346"/>
    </row>
    <row r="376" spans="1:113" x14ac:dyDescent="0.25">
      <c r="A376" s="170"/>
      <c r="B376" s="115" t="s">
        <v>1143</v>
      </c>
      <c r="C376" s="116">
        <v>4500</v>
      </c>
      <c r="D376" s="190"/>
      <c r="E376" s="122"/>
      <c r="F376" s="121"/>
      <c r="G376" s="169"/>
      <c r="H376" s="108"/>
      <c r="I376" s="109"/>
      <c r="J376" s="109"/>
      <c r="K376" s="110"/>
      <c r="L376"/>
      <c r="M376" s="314">
        <f t="shared" si="97"/>
        <v>120</v>
      </c>
      <c r="N376" s="310">
        <f>46+54</f>
        <v>100</v>
      </c>
      <c r="O376" s="349">
        <v>20</v>
      </c>
      <c r="P376" s="350"/>
      <c r="Q376" s="349"/>
      <c r="R376" s="349"/>
      <c r="S376" s="346"/>
      <c r="T376" s="346"/>
      <c r="U376" s="346"/>
      <c r="V376" s="346"/>
      <c r="W376" s="346"/>
      <c r="X376" s="346"/>
      <c r="Y376" s="346"/>
      <c r="Z376" s="346"/>
      <c r="AA376" s="346"/>
      <c r="AB376" s="346"/>
      <c r="AC376" s="346"/>
      <c r="AD376" s="346"/>
      <c r="AE376" s="346"/>
      <c r="AF376" s="346"/>
      <c r="AG376" s="346"/>
      <c r="AH376" s="346"/>
      <c r="AI376" s="346"/>
      <c r="AJ376" s="346"/>
      <c r="AK376" s="346"/>
      <c r="AL376" s="346"/>
      <c r="AM376" s="346"/>
      <c r="AN376" s="346"/>
      <c r="AO376" s="346"/>
      <c r="AP376" s="346"/>
      <c r="AQ376" s="346"/>
      <c r="AR376" s="346"/>
      <c r="AS376" s="346"/>
      <c r="AT376" s="346"/>
      <c r="AU376" s="346"/>
      <c r="AV376" s="346"/>
      <c r="AW376" s="346"/>
      <c r="AX376" s="346"/>
      <c r="AY376" s="346"/>
      <c r="AZ376" s="346"/>
      <c r="BA376" s="346"/>
      <c r="BB376" s="346"/>
      <c r="BC376" s="346"/>
      <c r="BD376" s="346"/>
      <c r="BE376" s="346"/>
      <c r="BF376" s="346"/>
      <c r="BG376" s="346"/>
      <c r="BH376" s="346"/>
      <c r="BI376" s="346"/>
      <c r="BJ376" s="346"/>
      <c r="BK376" s="346"/>
      <c r="BL376" s="346"/>
      <c r="BM376" s="346"/>
      <c r="BN376" s="346"/>
      <c r="BO376" s="346"/>
      <c r="BP376" s="346"/>
      <c r="BQ376" s="346"/>
      <c r="BR376" s="346"/>
      <c r="BS376" s="346"/>
      <c r="BT376" s="346"/>
      <c r="BU376" s="346"/>
      <c r="BV376" s="346"/>
      <c r="BW376" s="346"/>
      <c r="BX376" s="346"/>
      <c r="BY376" s="346"/>
      <c r="BZ376" s="346"/>
      <c r="CA376" s="346"/>
      <c r="CB376" s="346"/>
      <c r="CC376" s="346"/>
      <c r="CD376" s="346"/>
      <c r="CE376" s="346"/>
      <c r="CF376" s="346"/>
      <c r="CG376" s="346"/>
      <c r="CH376" s="346"/>
      <c r="CI376" s="346"/>
      <c r="CJ376" s="346"/>
      <c r="CK376" s="346"/>
      <c r="CL376" s="346"/>
      <c r="CM376" s="346"/>
      <c r="CN376" s="346"/>
      <c r="CO376" s="346"/>
      <c r="CP376" s="346"/>
      <c r="CQ376" s="346"/>
      <c r="CR376" s="346"/>
      <c r="CS376" s="346"/>
      <c r="CT376" s="346"/>
      <c r="CU376" s="346"/>
      <c r="CV376" s="346"/>
      <c r="CW376" s="346"/>
      <c r="CX376" s="346"/>
      <c r="CY376" s="346"/>
      <c r="CZ376" s="346"/>
      <c r="DA376" s="346"/>
      <c r="DB376" s="346"/>
      <c r="DC376" s="346"/>
      <c r="DD376" s="346"/>
      <c r="DE376" s="346"/>
      <c r="DF376" s="346"/>
      <c r="DG376" s="346"/>
      <c r="DH376" s="346"/>
      <c r="DI376" s="346"/>
    </row>
    <row r="377" spans="1:113" x14ac:dyDescent="0.25">
      <c r="A377" s="384"/>
      <c r="B377" s="394"/>
      <c r="C377" s="362"/>
      <c r="D377" s="397"/>
      <c r="E377" s="364"/>
      <c r="F377" s="361"/>
      <c r="G377" s="386"/>
      <c r="H377" s="366"/>
      <c r="I377" s="365"/>
      <c r="J377" s="365"/>
      <c r="K377" s="367"/>
      <c r="L377"/>
      <c r="M377" s="348"/>
      <c r="N377" s="310" t="s">
        <v>1122</v>
      </c>
      <c r="O377" s="349" t="s">
        <v>1036</v>
      </c>
      <c r="P377" s="350" t="s">
        <v>1125</v>
      </c>
      <c r="Q377" s="349" t="s">
        <v>1096</v>
      </c>
      <c r="R377" s="349"/>
      <c r="S377" s="346"/>
      <c r="T377" s="346"/>
      <c r="U377" s="346"/>
      <c r="V377" s="346"/>
      <c r="W377" s="346"/>
      <c r="X377" s="346"/>
      <c r="Y377" s="346"/>
      <c r="Z377" s="346"/>
      <c r="AA377" s="346"/>
      <c r="AB377" s="346"/>
      <c r="AC377" s="346"/>
      <c r="AD377" s="346"/>
      <c r="AE377" s="346"/>
      <c r="AF377" s="346"/>
      <c r="AG377" s="346"/>
      <c r="AH377" s="346"/>
      <c r="AI377" s="346"/>
      <c r="AJ377" s="346"/>
      <c r="AK377" s="346"/>
      <c r="AL377" s="346"/>
      <c r="AM377" s="346"/>
      <c r="AN377" s="346"/>
      <c r="AO377" s="346"/>
      <c r="AP377" s="346"/>
      <c r="AQ377" s="346"/>
      <c r="AR377" s="346"/>
      <c r="AS377" s="346"/>
      <c r="AT377" s="346"/>
      <c r="AU377" s="346"/>
      <c r="AV377" s="346"/>
      <c r="AW377" s="346"/>
      <c r="AX377" s="346"/>
      <c r="AY377" s="346"/>
      <c r="AZ377" s="346"/>
      <c r="BA377" s="346"/>
      <c r="BB377" s="346"/>
      <c r="BC377" s="346"/>
      <c r="BD377" s="346"/>
      <c r="BE377" s="346"/>
      <c r="BF377" s="346"/>
      <c r="BG377" s="346"/>
      <c r="BH377" s="346"/>
      <c r="BI377" s="346"/>
      <c r="BJ377" s="346"/>
      <c r="BK377" s="346"/>
      <c r="BL377" s="346"/>
      <c r="BM377" s="346"/>
      <c r="BN377" s="346"/>
      <c r="BO377" s="346"/>
      <c r="BP377" s="346"/>
      <c r="BQ377" s="346"/>
      <c r="BR377" s="346"/>
      <c r="BS377" s="346"/>
      <c r="BT377" s="346"/>
      <c r="BU377" s="346"/>
      <c r="BV377" s="346"/>
      <c r="BW377" s="346"/>
      <c r="BX377" s="346"/>
      <c r="BY377" s="346"/>
      <c r="BZ377" s="346"/>
      <c r="CA377" s="346"/>
      <c r="CB377" s="346"/>
      <c r="CC377" s="346"/>
      <c r="CD377" s="346"/>
      <c r="CE377" s="346"/>
      <c r="CF377" s="346"/>
      <c r="CG377" s="346"/>
      <c r="CH377" s="346"/>
      <c r="CI377" s="346"/>
      <c r="CJ377" s="346"/>
      <c r="CK377" s="346"/>
      <c r="CL377" s="346"/>
      <c r="CM377" s="346"/>
      <c r="CN377" s="346"/>
      <c r="CO377" s="346"/>
      <c r="CP377" s="346"/>
      <c r="CQ377" s="346"/>
      <c r="CR377" s="346"/>
      <c r="CS377" s="346"/>
      <c r="CT377" s="346"/>
      <c r="CU377" s="346"/>
      <c r="CV377" s="346"/>
      <c r="CW377" s="346"/>
      <c r="CX377" s="346"/>
      <c r="CY377" s="346"/>
      <c r="CZ377" s="346"/>
      <c r="DA377" s="346"/>
      <c r="DB377" s="346"/>
      <c r="DC377" s="346"/>
      <c r="DD377" s="346"/>
      <c r="DE377" s="346"/>
      <c r="DF377" s="346"/>
      <c r="DG377" s="346"/>
      <c r="DH377" s="346"/>
      <c r="DI377" s="346"/>
    </row>
    <row r="378" spans="1:113" x14ac:dyDescent="0.25">
      <c r="A378" s="170"/>
      <c r="B378" s="115" t="s">
        <v>1128</v>
      </c>
      <c r="C378" s="116">
        <v>4500</v>
      </c>
      <c r="D378" s="190"/>
      <c r="E378" s="122"/>
      <c r="F378" s="121"/>
      <c r="G378" s="169"/>
      <c r="H378" s="108"/>
      <c r="I378" s="109"/>
      <c r="J378" s="109"/>
      <c r="K378" s="110"/>
      <c r="L378"/>
      <c r="M378" s="314">
        <f t="shared" ref="M378" si="98">SUM(N378:DJ378)</f>
        <v>160</v>
      </c>
      <c r="N378" s="310">
        <v>79</v>
      </c>
      <c r="O378" s="349">
        <v>20</v>
      </c>
      <c r="P378" s="350">
        <v>49</v>
      </c>
      <c r="Q378" s="349">
        <v>12</v>
      </c>
      <c r="R378" s="349"/>
      <c r="S378" s="346"/>
      <c r="T378" s="346"/>
      <c r="U378" s="346"/>
      <c r="V378" s="346"/>
      <c r="W378" s="346"/>
      <c r="X378" s="346"/>
      <c r="Y378" s="346"/>
      <c r="Z378" s="346"/>
      <c r="AA378" s="346"/>
      <c r="AB378" s="346"/>
      <c r="AC378" s="346"/>
      <c r="AD378" s="346"/>
      <c r="AE378" s="346"/>
      <c r="AF378" s="346"/>
      <c r="AG378" s="346"/>
      <c r="AH378" s="346"/>
      <c r="AI378" s="346"/>
      <c r="AJ378" s="346"/>
      <c r="AK378" s="346"/>
      <c r="AL378" s="346"/>
      <c r="AM378" s="346"/>
      <c r="AN378" s="346"/>
      <c r="AO378" s="346"/>
      <c r="AP378" s="346"/>
      <c r="AQ378" s="346"/>
      <c r="AR378" s="346"/>
      <c r="AS378" s="346"/>
      <c r="AT378" s="346"/>
      <c r="AU378" s="346"/>
      <c r="AV378" s="346"/>
      <c r="AW378" s="346"/>
      <c r="AX378" s="346"/>
      <c r="AY378" s="346"/>
      <c r="AZ378" s="346"/>
      <c r="BA378" s="346"/>
      <c r="BB378" s="346"/>
      <c r="BC378" s="346"/>
      <c r="BD378" s="346"/>
      <c r="BE378" s="346"/>
      <c r="BF378" s="346"/>
      <c r="BG378" s="346"/>
      <c r="BH378" s="346"/>
      <c r="BI378" s="346"/>
      <c r="BJ378" s="346"/>
      <c r="BK378" s="346"/>
      <c r="BL378" s="346"/>
      <c r="BM378" s="346"/>
      <c r="BN378" s="346"/>
      <c r="BO378" s="346"/>
      <c r="BP378" s="346"/>
      <c r="BQ378" s="346"/>
      <c r="BR378" s="346"/>
      <c r="BS378" s="346"/>
      <c r="BT378" s="346"/>
      <c r="BU378" s="346"/>
      <c r="BV378" s="346"/>
      <c r="BW378" s="346"/>
      <c r="BX378" s="346"/>
      <c r="BY378" s="346"/>
      <c r="BZ378" s="346"/>
      <c r="CA378" s="346"/>
      <c r="CB378" s="346"/>
      <c r="CC378" s="346"/>
      <c r="CD378" s="346"/>
      <c r="CE378" s="346"/>
      <c r="CF378" s="346"/>
      <c r="CG378" s="346"/>
      <c r="CH378" s="346"/>
      <c r="CI378" s="346"/>
      <c r="CJ378" s="346"/>
      <c r="CK378" s="346"/>
      <c r="CL378" s="346"/>
      <c r="CM378" s="346"/>
      <c r="CN378" s="346"/>
      <c r="CO378" s="346"/>
      <c r="CP378" s="346"/>
      <c r="CQ378" s="346"/>
      <c r="CR378" s="346"/>
      <c r="CS378" s="346"/>
      <c r="CT378" s="346"/>
      <c r="CU378" s="346"/>
      <c r="CV378" s="346"/>
      <c r="CW378" s="346"/>
      <c r="CX378" s="346"/>
      <c r="CY378" s="346"/>
      <c r="CZ378" s="346"/>
      <c r="DA378" s="346"/>
      <c r="DB378" s="346"/>
      <c r="DC378" s="346"/>
      <c r="DD378" s="346"/>
      <c r="DE378" s="346"/>
      <c r="DF378" s="346"/>
      <c r="DG378" s="346"/>
      <c r="DH378" s="346"/>
      <c r="DI378" s="346"/>
    </row>
    <row r="379" spans="1:113" x14ac:dyDescent="0.25">
      <c r="A379" s="384"/>
      <c r="B379" s="394"/>
      <c r="C379" s="362"/>
      <c r="D379" s="397"/>
      <c r="E379" s="364"/>
      <c r="F379" s="361"/>
      <c r="G379" s="386"/>
      <c r="H379" s="366"/>
      <c r="I379" s="365"/>
      <c r="J379" s="365"/>
      <c r="K379" s="367"/>
      <c r="L379"/>
      <c r="M379" s="348"/>
      <c r="N379" s="310" t="s">
        <v>1037</v>
      </c>
      <c r="O379" s="349" t="s">
        <v>1105</v>
      </c>
      <c r="P379" s="350" t="s">
        <v>1105</v>
      </c>
      <c r="Q379" s="349"/>
      <c r="R379" s="349"/>
      <c r="S379" s="346"/>
      <c r="T379" s="346"/>
      <c r="U379" s="346"/>
      <c r="V379" s="346"/>
      <c r="W379" s="346"/>
      <c r="X379" s="346"/>
      <c r="Y379" s="346"/>
      <c r="Z379" s="346"/>
      <c r="AA379" s="346"/>
      <c r="AB379" s="346"/>
      <c r="AC379" s="346"/>
      <c r="AD379" s="346"/>
      <c r="AE379" s="346"/>
      <c r="AF379" s="346"/>
      <c r="AG379" s="346"/>
      <c r="AH379" s="346"/>
      <c r="AI379" s="346"/>
      <c r="AJ379" s="346"/>
      <c r="AK379" s="346"/>
      <c r="AL379" s="346"/>
      <c r="AM379" s="346"/>
      <c r="AN379" s="346"/>
      <c r="AO379" s="346"/>
      <c r="AP379" s="346"/>
      <c r="AQ379" s="346"/>
      <c r="AR379" s="346"/>
      <c r="AS379" s="346"/>
      <c r="AT379" s="346"/>
      <c r="AU379" s="346"/>
      <c r="AV379" s="346"/>
      <c r="AW379" s="346"/>
      <c r="AX379" s="346"/>
      <c r="AY379" s="346"/>
      <c r="AZ379" s="346"/>
      <c r="BA379" s="346"/>
      <c r="BB379" s="346"/>
      <c r="BC379" s="346"/>
      <c r="BD379" s="346"/>
      <c r="BE379" s="346"/>
      <c r="BF379" s="346"/>
      <c r="BG379" s="346"/>
      <c r="BH379" s="346"/>
      <c r="BI379" s="346"/>
      <c r="BJ379" s="346"/>
      <c r="BK379" s="346"/>
      <c r="BL379" s="346"/>
      <c r="BM379" s="346"/>
      <c r="BN379" s="346"/>
      <c r="BO379" s="346"/>
      <c r="BP379" s="346"/>
      <c r="BQ379" s="346"/>
      <c r="BR379" s="346"/>
      <c r="BS379" s="346"/>
      <c r="BT379" s="346"/>
      <c r="BU379" s="346"/>
      <c r="BV379" s="346"/>
      <c r="BW379" s="346"/>
      <c r="BX379" s="346"/>
      <c r="BY379" s="346"/>
      <c r="BZ379" s="346"/>
      <c r="CA379" s="346"/>
      <c r="CB379" s="346"/>
      <c r="CC379" s="346"/>
      <c r="CD379" s="346"/>
      <c r="CE379" s="346"/>
      <c r="CF379" s="346"/>
      <c r="CG379" s="346"/>
      <c r="CH379" s="346"/>
      <c r="CI379" s="346"/>
      <c r="CJ379" s="346"/>
      <c r="CK379" s="346"/>
      <c r="CL379" s="346"/>
      <c r="CM379" s="346"/>
      <c r="CN379" s="346"/>
      <c r="CO379" s="346"/>
      <c r="CP379" s="346"/>
      <c r="CQ379" s="346"/>
      <c r="CR379" s="346"/>
      <c r="CS379" s="346"/>
      <c r="CT379" s="346"/>
      <c r="CU379" s="346"/>
      <c r="CV379" s="346"/>
      <c r="CW379" s="346"/>
      <c r="CX379" s="346"/>
      <c r="CY379" s="346"/>
      <c r="CZ379" s="346"/>
      <c r="DA379" s="346"/>
      <c r="DB379" s="346"/>
      <c r="DC379" s="346"/>
      <c r="DD379" s="346"/>
      <c r="DE379" s="346"/>
      <c r="DF379" s="346"/>
      <c r="DG379" s="346"/>
      <c r="DH379" s="346"/>
      <c r="DI379" s="346"/>
    </row>
    <row r="380" spans="1:113" x14ac:dyDescent="0.25">
      <c r="A380" s="170"/>
      <c r="B380" s="115" t="s">
        <v>1144</v>
      </c>
      <c r="C380" s="116">
        <v>4500</v>
      </c>
      <c r="D380" s="190"/>
      <c r="E380" s="122"/>
      <c r="F380" s="121"/>
      <c r="G380" s="169"/>
      <c r="H380" s="108"/>
      <c r="I380" s="109"/>
      <c r="J380" s="109"/>
      <c r="K380" s="110"/>
      <c r="L380"/>
      <c r="M380" s="314">
        <f t="shared" ref="M380" si="99">SUM(N380:DJ380)</f>
        <v>90</v>
      </c>
      <c r="N380" s="310">
        <v>50</v>
      </c>
      <c r="O380" s="349">
        <v>31</v>
      </c>
      <c r="P380" s="350">
        <v>9</v>
      </c>
      <c r="Q380" s="349"/>
      <c r="R380" s="349"/>
      <c r="S380" s="346"/>
      <c r="T380" s="346"/>
      <c r="U380" s="346"/>
      <c r="V380" s="346"/>
      <c r="W380" s="346"/>
      <c r="X380" s="346"/>
      <c r="Y380" s="346"/>
      <c r="Z380" s="346"/>
      <c r="AA380" s="346"/>
      <c r="AB380" s="346"/>
      <c r="AC380" s="346"/>
      <c r="AD380" s="346"/>
      <c r="AE380" s="346"/>
      <c r="AF380" s="346"/>
      <c r="AG380" s="346"/>
      <c r="AH380" s="346"/>
      <c r="AI380" s="346"/>
      <c r="AJ380" s="346"/>
      <c r="AK380" s="346"/>
      <c r="AL380" s="346"/>
      <c r="AM380" s="346"/>
      <c r="AN380" s="346"/>
      <c r="AO380" s="346"/>
      <c r="AP380" s="346"/>
      <c r="AQ380" s="346"/>
      <c r="AR380" s="346"/>
      <c r="AS380" s="346"/>
      <c r="AT380" s="346"/>
      <c r="AU380" s="346"/>
      <c r="AV380" s="346"/>
      <c r="AW380" s="346"/>
      <c r="AX380" s="346"/>
      <c r="AY380" s="346"/>
      <c r="AZ380" s="346"/>
      <c r="BA380" s="346"/>
      <c r="BB380" s="346"/>
      <c r="BC380" s="346"/>
      <c r="BD380" s="346"/>
      <c r="BE380" s="346"/>
      <c r="BF380" s="346"/>
      <c r="BG380" s="346"/>
      <c r="BH380" s="346"/>
      <c r="BI380" s="346"/>
      <c r="BJ380" s="346"/>
      <c r="BK380" s="346"/>
      <c r="BL380" s="346"/>
      <c r="BM380" s="346"/>
      <c r="BN380" s="346"/>
      <c r="BO380" s="346"/>
      <c r="BP380" s="346"/>
      <c r="BQ380" s="346"/>
      <c r="BR380" s="346"/>
      <c r="BS380" s="346"/>
      <c r="BT380" s="346"/>
      <c r="BU380" s="346"/>
      <c r="BV380" s="346"/>
      <c r="BW380" s="346"/>
      <c r="BX380" s="346"/>
      <c r="BY380" s="346"/>
      <c r="BZ380" s="346"/>
      <c r="CA380" s="346"/>
      <c r="CB380" s="346"/>
      <c r="CC380" s="346"/>
      <c r="CD380" s="346"/>
      <c r="CE380" s="346"/>
      <c r="CF380" s="346"/>
      <c r="CG380" s="346"/>
      <c r="CH380" s="346"/>
      <c r="CI380" s="346"/>
      <c r="CJ380" s="346"/>
      <c r="CK380" s="346"/>
      <c r="CL380" s="346"/>
      <c r="CM380" s="346"/>
      <c r="CN380" s="346"/>
      <c r="CO380" s="346"/>
      <c r="CP380" s="346"/>
      <c r="CQ380" s="346"/>
      <c r="CR380" s="346"/>
      <c r="CS380" s="346"/>
      <c r="CT380" s="346"/>
      <c r="CU380" s="346"/>
      <c r="CV380" s="346"/>
      <c r="CW380" s="346"/>
      <c r="CX380" s="346"/>
      <c r="CY380" s="346"/>
      <c r="CZ380" s="346"/>
      <c r="DA380" s="346"/>
      <c r="DB380" s="346"/>
      <c r="DC380" s="346"/>
      <c r="DD380" s="346"/>
      <c r="DE380" s="346"/>
      <c r="DF380" s="346"/>
      <c r="DG380" s="346"/>
      <c r="DH380" s="346"/>
      <c r="DI380" s="346"/>
    </row>
    <row r="381" spans="1:113" x14ac:dyDescent="0.25">
      <c r="A381" s="384"/>
      <c r="B381" s="394"/>
      <c r="C381" s="362"/>
      <c r="D381" s="397"/>
      <c r="E381" s="364"/>
      <c r="F381" s="361"/>
      <c r="G381" s="386"/>
      <c r="H381" s="366"/>
      <c r="I381" s="365"/>
      <c r="J381" s="365"/>
      <c r="K381" s="367"/>
      <c r="L381"/>
      <c r="M381" s="348"/>
      <c r="N381" s="310"/>
      <c r="O381" s="349"/>
      <c r="P381" s="349"/>
      <c r="Q381" s="349"/>
      <c r="R381" s="349"/>
      <c r="S381" s="346"/>
      <c r="T381" s="346"/>
      <c r="U381" s="346"/>
      <c r="V381" s="346"/>
      <c r="W381" s="346"/>
      <c r="X381" s="346"/>
      <c r="Y381" s="346"/>
      <c r="Z381" s="346"/>
      <c r="AA381" s="346"/>
      <c r="AB381" s="346"/>
      <c r="AC381" s="346"/>
      <c r="AD381" s="346"/>
      <c r="AE381" s="346"/>
      <c r="AF381" s="346"/>
      <c r="AG381" s="346"/>
      <c r="AH381" s="346"/>
      <c r="AI381" s="346"/>
      <c r="AJ381" s="346"/>
      <c r="AK381" s="346"/>
      <c r="AL381" s="346"/>
      <c r="AM381" s="346"/>
      <c r="AN381" s="346"/>
      <c r="AO381" s="346"/>
      <c r="AP381" s="346"/>
      <c r="AQ381" s="346"/>
      <c r="AR381" s="346"/>
      <c r="AS381" s="346"/>
      <c r="AT381" s="346"/>
      <c r="AU381" s="346"/>
      <c r="AV381" s="346"/>
      <c r="AW381" s="346"/>
      <c r="AX381" s="346"/>
      <c r="AY381" s="346"/>
      <c r="AZ381" s="346"/>
      <c r="BA381" s="346"/>
      <c r="BB381" s="346"/>
      <c r="BC381" s="346"/>
      <c r="BD381" s="346"/>
      <c r="BE381" s="346"/>
      <c r="BF381" s="346"/>
      <c r="BG381" s="346"/>
      <c r="BH381" s="346"/>
      <c r="BI381" s="346"/>
      <c r="BJ381" s="346"/>
      <c r="BK381" s="346"/>
      <c r="BL381" s="346"/>
      <c r="BM381" s="346"/>
      <c r="BN381" s="346"/>
      <c r="BO381" s="346"/>
      <c r="BP381" s="346"/>
      <c r="BQ381" s="346"/>
      <c r="BR381" s="346"/>
      <c r="BS381" s="346"/>
      <c r="BT381" s="346"/>
      <c r="BU381" s="346"/>
      <c r="BV381" s="346"/>
      <c r="BW381" s="346"/>
      <c r="BX381" s="346"/>
      <c r="BY381" s="346"/>
      <c r="BZ381" s="346"/>
      <c r="CA381" s="346"/>
      <c r="CB381" s="346"/>
      <c r="CC381" s="346"/>
      <c r="CD381" s="346"/>
      <c r="CE381" s="346"/>
      <c r="CF381" s="346"/>
      <c r="CG381" s="346"/>
      <c r="CH381" s="346"/>
      <c r="CI381" s="346"/>
      <c r="CJ381" s="346"/>
      <c r="CK381" s="346"/>
      <c r="CL381" s="346"/>
      <c r="CM381" s="346"/>
      <c r="CN381" s="346"/>
      <c r="CO381" s="346"/>
      <c r="CP381" s="346"/>
      <c r="CQ381" s="346"/>
      <c r="CR381" s="346"/>
      <c r="CS381" s="346"/>
      <c r="CT381" s="346"/>
      <c r="CU381" s="346"/>
      <c r="CV381" s="346"/>
      <c r="CW381" s="346"/>
      <c r="CX381" s="346"/>
      <c r="CY381" s="346"/>
      <c r="CZ381" s="346"/>
      <c r="DA381" s="346"/>
      <c r="DB381" s="346"/>
      <c r="DC381" s="346"/>
      <c r="DD381" s="346"/>
      <c r="DE381" s="346"/>
      <c r="DF381" s="346"/>
      <c r="DG381" s="346"/>
      <c r="DH381" s="346"/>
      <c r="DI381" s="346"/>
    </row>
    <row r="382" spans="1:113" ht="15.75" thickBot="1" x14ac:dyDescent="0.3">
      <c r="A382" s="153">
        <v>33</v>
      </c>
      <c r="B382" s="144" t="s">
        <v>439</v>
      </c>
      <c r="C382" s="82">
        <v>5000</v>
      </c>
      <c r="D382" s="145">
        <v>2377.3200000000002</v>
      </c>
      <c r="E382" s="154">
        <v>242</v>
      </c>
      <c r="F382" s="156"/>
      <c r="G382" s="147">
        <f t="shared" si="53"/>
        <v>242</v>
      </c>
      <c r="H382" s="58"/>
      <c r="I382" s="64">
        <f t="shared" si="54"/>
        <v>242</v>
      </c>
      <c r="J382" s="64">
        <f t="shared" si="55"/>
        <v>1210000</v>
      </c>
      <c r="K382" s="65">
        <f t="shared" si="56"/>
        <v>575311.44000000006</v>
      </c>
      <c r="L382"/>
      <c r="M382" s="314">
        <f t="shared" si="52"/>
        <v>0</v>
      </c>
      <c r="N382" s="310"/>
      <c r="O382" s="315"/>
      <c r="P382" s="315"/>
      <c r="Q382" s="315"/>
      <c r="R382" s="315"/>
      <c r="S382" s="55"/>
      <c r="T382" s="55"/>
      <c r="U382" s="55"/>
      <c r="V382" s="55"/>
      <c r="W382" s="55"/>
      <c r="X382" s="55"/>
      <c r="Y382" s="55"/>
      <c r="Z382" s="55"/>
      <c r="AA382" s="55"/>
      <c r="AB382" s="55"/>
      <c r="AC382" s="55"/>
      <c r="AD382" s="55"/>
      <c r="AE382" s="55"/>
      <c r="AF382" s="55"/>
      <c r="AG382" s="55"/>
      <c r="AH382" s="55"/>
      <c r="AI382" s="55"/>
      <c r="AJ382" s="55"/>
      <c r="AK382" s="55"/>
      <c r="AL382" s="55"/>
      <c r="AM382" s="55"/>
      <c r="AN382" s="55"/>
      <c r="AO382" s="55"/>
      <c r="AP382" s="55"/>
      <c r="AQ382" s="55"/>
      <c r="AR382" s="55"/>
      <c r="AS382" s="55"/>
      <c r="AT382" s="55"/>
      <c r="AU382" s="55"/>
      <c r="AV382" s="55"/>
      <c r="AW382" s="55"/>
      <c r="AX382" s="55"/>
      <c r="AY382" s="55"/>
      <c r="AZ382" s="55"/>
      <c r="BA382" s="55"/>
      <c r="BB382" s="55"/>
      <c r="BC382" s="55"/>
      <c r="BD382" s="55"/>
      <c r="BE382" s="55"/>
      <c r="BF382" s="55"/>
      <c r="BG382" s="55"/>
      <c r="BH382" s="55"/>
      <c r="BI382" s="55"/>
      <c r="BJ382" s="55"/>
      <c r="BK382" s="55"/>
      <c r="BL382" s="55"/>
      <c r="BM382" s="55"/>
      <c r="BN382" s="55"/>
      <c r="BO382" s="55"/>
      <c r="BP382" s="55"/>
      <c r="BQ382" s="55"/>
      <c r="BR382" s="55"/>
      <c r="BS382" s="55"/>
      <c r="BT382" s="55"/>
      <c r="BU382" s="55"/>
      <c r="BV382" s="55"/>
      <c r="BW382" s="55"/>
      <c r="BX382" s="55"/>
      <c r="BY382" s="55"/>
      <c r="BZ382" s="55"/>
      <c r="CA382" s="55"/>
      <c r="CB382" s="55"/>
      <c r="CC382" s="55"/>
      <c r="CD382" s="55"/>
      <c r="CE382" s="55"/>
      <c r="CF382" s="55"/>
      <c r="CG382" s="55"/>
      <c r="CH382" s="55"/>
      <c r="CI382" s="55"/>
      <c r="CJ382" s="55"/>
      <c r="CK382" s="55"/>
      <c r="CL382" s="55"/>
      <c r="CM382" s="55"/>
      <c r="CN382" s="55"/>
      <c r="CO382" s="55"/>
      <c r="CP382" s="55"/>
      <c r="CQ382" s="55"/>
      <c r="CR382" s="55"/>
      <c r="CS382" s="55"/>
      <c r="CT382" s="55"/>
      <c r="CU382" s="55"/>
      <c r="CV382" s="55"/>
      <c r="CW382" s="55"/>
      <c r="CX382" s="55"/>
      <c r="CY382" s="55"/>
      <c r="CZ382" s="55"/>
      <c r="DA382" s="55"/>
      <c r="DB382" s="55"/>
      <c r="DC382" s="55"/>
      <c r="DD382" s="55"/>
      <c r="DE382" s="55"/>
      <c r="DF382" s="55"/>
      <c r="DG382" s="55"/>
      <c r="DH382" s="55"/>
      <c r="DI382" s="55"/>
    </row>
    <row r="383" spans="1:113" ht="15.75" thickBot="1" x14ac:dyDescent="0.3">
      <c r="A383" s="128"/>
      <c r="B383" s="119" t="s">
        <v>674</v>
      </c>
      <c r="C383" s="36"/>
      <c r="D383" s="36"/>
      <c r="E383" s="29">
        <f t="shared" ref="E383:K383" si="100">SUM(E259:E382)</f>
        <v>11168</v>
      </c>
      <c r="F383" s="29">
        <f t="shared" si="100"/>
        <v>0</v>
      </c>
      <c r="G383" s="29">
        <f t="shared" si="100"/>
        <v>11168</v>
      </c>
      <c r="H383" s="29">
        <f t="shared" si="100"/>
        <v>0</v>
      </c>
      <c r="I383" s="29">
        <f t="shared" si="100"/>
        <v>11168</v>
      </c>
      <c r="J383" s="29">
        <f t="shared" si="100"/>
        <v>88639500</v>
      </c>
      <c r="K383" s="47">
        <f t="shared" si="100"/>
        <v>23476686.760000009</v>
      </c>
      <c r="L383"/>
      <c r="M383" s="326">
        <f t="shared" si="52"/>
        <v>0</v>
      </c>
      <c r="N383" s="325"/>
      <c r="O383" s="325"/>
      <c r="P383" s="325"/>
      <c r="Q383" s="325"/>
      <c r="R383" s="325"/>
      <c r="S383" s="324"/>
      <c r="T383" s="324"/>
      <c r="U383" s="324"/>
      <c r="V383" s="324"/>
      <c r="W383" s="324"/>
      <c r="X383" s="324"/>
      <c r="Y383" s="324"/>
      <c r="Z383" s="324"/>
      <c r="AA383" s="324"/>
      <c r="AB383" s="324"/>
      <c r="AC383" s="324"/>
      <c r="AD383" s="324"/>
      <c r="AE383" s="324"/>
      <c r="AF383" s="324"/>
      <c r="AG383" s="324"/>
      <c r="AH383" s="324"/>
      <c r="AI383" s="324"/>
      <c r="AJ383" s="324"/>
      <c r="AK383" s="324"/>
      <c r="AL383" s="324"/>
      <c r="AM383" s="324"/>
      <c r="AN383" s="324"/>
      <c r="AO383" s="324"/>
      <c r="AP383" s="324"/>
      <c r="AQ383" s="324"/>
      <c r="AR383" s="324"/>
      <c r="AS383" s="324"/>
      <c r="AT383" s="324"/>
      <c r="AU383" s="324"/>
      <c r="AV383" s="324"/>
      <c r="AW383" s="324"/>
      <c r="AX383" s="324"/>
      <c r="AY383" s="324"/>
      <c r="AZ383" s="324"/>
      <c r="BA383" s="324"/>
      <c r="BB383" s="324"/>
      <c r="BC383" s="324"/>
      <c r="BD383" s="324"/>
      <c r="BE383" s="324"/>
      <c r="BF383" s="324"/>
      <c r="BG383" s="324"/>
      <c r="BH383" s="324"/>
      <c r="BI383" s="324"/>
      <c r="BJ383" s="324"/>
      <c r="BK383" s="324"/>
      <c r="BL383" s="324"/>
      <c r="BM383" s="324"/>
      <c r="BN383" s="324"/>
      <c r="BO383" s="324"/>
      <c r="BP383" s="324"/>
      <c r="BQ383" s="324"/>
      <c r="BR383" s="324"/>
      <c r="BS383" s="324"/>
      <c r="BT383" s="324"/>
      <c r="BU383" s="324"/>
      <c r="BV383" s="324"/>
      <c r="BW383" s="324"/>
      <c r="BX383" s="324"/>
      <c r="BY383" s="324"/>
      <c r="BZ383" s="324"/>
      <c r="CA383" s="324"/>
      <c r="CB383" s="324"/>
      <c r="CC383" s="324"/>
      <c r="CD383" s="324"/>
      <c r="CE383" s="324"/>
      <c r="CF383" s="324"/>
      <c r="CG383" s="324"/>
      <c r="CH383" s="324"/>
      <c r="CI383" s="324"/>
      <c r="CJ383" s="324"/>
      <c r="CK383" s="324"/>
      <c r="CL383" s="324"/>
      <c r="CM383" s="324"/>
      <c r="CN383" s="324"/>
      <c r="CO383" s="324"/>
      <c r="CP383" s="324"/>
      <c r="CQ383" s="324"/>
      <c r="CR383" s="324"/>
      <c r="CS383" s="324"/>
      <c r="CT383" s="324"/>
      <c r="CU383" s="324"/>
      <c r="CV383" s="324"/>
      <c r="CW383" s="324"/>
      <c r="CX383" s="324"/>
      <c r="CY383" s="324"/>
      <c r="CZ383" s="324"/>
      <c r="DA383" s="324"/>
      <c r="DB383" s="324"/>
      <c r="DC383" s="324"/>
      <c r="DD383" s="324"/>
      <c r="DE383" s="324"/>
      <c r="DF383" s="324"/>
      <c r="DG383" s="324"/>
      <c r="DH383" s="324"/>
      <c r="DI383" s="324"/>
    </row>
    <row r="384" spans="1:113" ht="15.75" thickBot="1" x14ac:dyDescent="0.3">
      <c r="B384" s="161"/>
      <c r="C384" s="162"/>
      <c r="D384" s="163"/>
      <c r="E384" s="164"/>
      <c r="F384" s="67"/>
      <c r="G384" s="164"/>
      <c r="H384" s="164"/>
      <c r="I384" s="164"/>
      <c r="J384" s="164"/>
      <c r="K384" s="163"/>
      <c r="L384"/>
      <c r="M384"/>
      <c r="N384"/>
      <c r="O384"/>
      <c r="P384"/>
      <c r="Q384"/>
      <c r="R384"/>
      <c r="S384"/>
      <c r="T384"/>
      <c r="U384"/>
      <c r="V384"/>
    </row>
    <row r="385" spans="1:113" ht="15.75" thickBot="1" x14ac:dyDescent="0.3">
      <c r="A385" s="407" t="s">
        <v>657</v>
      </c>
      <c r="B385" s="414" t="s">
        <v>708</v>
      </c>
      <c r="C385" s="414" t="s">
        <v>1</v>
      </c>
      <c r="D385" s="415" t="s">
        <v>649</v>
      </c>
      <c r="E385" s="416" t="s">
        <v>19</v>
      </c>
      <c r="F385" s="416"/>
      <c r="G385" s="416"/>
      <c r="H385" s="416"/>
      <c r="I385" s="416"/>
      <c r="J385" s="410" t="s">
        <v>21</v>
      </c>
      <c r="K385" s="417" t="s">
        <v>602</v>
      </c>
      <c r="L385"/>
      <c r="M385" s="403" t="s">
        <v>601</v>
      </c>
      <c r="N385" s="403" t="s">
        <v>924</v>
      </c>
      <c r="O385" s="403"/>
      <c r="P385" s="403"/>
      <c r="Q385" s="403"/>
      <c r="R385" s="403"/>
      <c r="S385" s="403"/>
      <c r="T385" s="403"/>
      <c r="U385" s="403"/>
      <c r="V385" s="403"/>
      <c r="W385" s="403"/>
      <c r="X385" s="403"/>
      <c r="Y385" s="403"/>
      <c r="Z385" s="403"/>
      <c r="AA385" s="403"/>
      <c r="AB385" s="403"/>
      <c r="AC385" s="403"/>
      <c r="AD385" s="403"/>
      <c r="AE385" s="403"/>
      <c r="AF385" s="403"/>
      <c r="AG385" s="403"/>
      <c r="AH385" s="403"/>
      <c r="AI385" s="403"/>
      <c r="AJ385" s="403"/>
      <c r="AK385" s="403"/>
      <c r="AL385" s="403"/>
      <c r="AM385" s="403"/>
      <c r="AN385" s="403"/>
      <c r="AO385" s="403"/>
      <c r="AP385" s="403"/>
      <c r="AQ385" s="403"/>
      <c r="AR385" s="403"/>
      <c r="AS385" s="403"/>
      <c r="AT385" s="403"/>
      <c r="AU385" s="403"/>
      <c r="AV385" s="403"/>
      <c r="AW385" s="403"/>
      <c r="AX385" s="403"/>
      <c r="AY385" s="403"/>
      <c r="AZ385" s="403"/>
      <c r="BA385" s="403"/>
      <c r="BB385" s="403"/>
      <c r="BC385" s="403"/>
      <c r="BD385" s="403"/>
      <c r="BE385" s="403"/>
      <c r="BF385" s="403"/>
      <c r="BG385" s="403"/>
      <c r="BH385" s="403"/>
      <c r="BI385" s="403"/>
      <c r="BJ385" s="403"/>
      <c r="BK385" s="403"/>
      <c r="BL385" s="403"/>
      <c r="BM385" s="403"/>
      <c r="BN385" s="403"/>
      <c r="BO385" s="403"/>
      <c r="BP385" s="403"/>
      <c r="BQ385" s="403"/>
      <c r="BR385" s="403"/>
      <c r="BS385" s="403"/>
      <c r="BT385" s="403"/>
      <c r="BU385" s="403"/>
      <c r="BV385" s="403"/>
      <c r="BW385" s="403"/>
      <c r="BX385" s="403"/>
      <c r="BY385" s="403"/>
      <c r="BZ385" s="403"/>
      <c r="CA385" s="403"/>
      <c r="CB385" s="403"/>
      <c r="CC385" s="403"/>
      <c r="CD385" s="403"/>
      <c r="CE385" s="403"/>
      <c r="CF385" s="403"/>
      <c r="CG385" s="403"/>
      <c r="CH385" s="403"/>
      <c r="CI385" s="403"/>
      <c r="CJ385" s="403"/>
      <c r="CK385" s="403"/>
      <c r="CL385" s="403"/>
      <c r="CM385" s="403"/>
      <c r="CN385" s="403"/>
      <c r="CO385" s="403"/>
      <c r="CP385" s="403"/>
      <c r="CQ385" s="403"/>
      <c r="CR385" s="403"/>
      <c r="CS385" s="403"/>
      <c r="CT385" s="403"/>
      <c r="CU385" s="403"/>
      <c r="CV385" s="403"/>
      <c r="CW385" s="403"/>
      <c r="CX385" s="403"/>
      <c r="CY385" s="403"/>
      <c r="CZ385" s="403"/>
      <c r="DA385" s="403"/>
      <c r="DB385" s="403"/>
      <c r="DC385" s="403"/>
      <c r="DD385" s="403"/>
      <c r="DE385" s="403"/>
      <c r="DF385" s="403"/>
      <c r="DG385" s="403"/>
      <c r="DH385" s="403"/>
      <c r="DI385" s="403"/>
    </row>
    <row r="386" spans="1:113" ht="30.75" thickBot="1" x14ac:dyDescent="0.3">
      <c r="A386" s="408"/>
      <c r="B386" s="414"/>
      <c r="C386" s="414"/>
      <c r="D386" s="415"/>
      <c r="E386" s="68" t="s">
        <v>22</v>
      </c>
      <c r="F386" s="68" t="s">
        <v>600</v>
      </c>
      <c r="G386" s="68" t="s">
        <v>601</v>
      </c>
      <c r="H386" s="68" t="s">
        <v>589</v>
      </c>
      <c r="I386" s="68" t="s">
        <v>601</v>
      </c>
      <c r="J386" s="411"/>
      <c r="K386" s="418"/>
      <c r="L386"/>
      <c r="M386" s="403"/>
      <c r="N386" s="400" t="s">
        <v>925</v>
      </c>
      <c r="O386" s="400" t="s">
        <v>926</v>
      </c>
      <c r="P386" s="400"/>
      <c r="Q386" s="400"/>
      <c r="R386" s="400"/>
      <c r="S386" s="398"/>
      <c r="T386" s="398"/>
      <c r="U386" s="398"/>
      <c r="V386" s="398"/>
      <c r="W386" s="398"/>
      <c r="X386" s="398"/>
      <c r="Y386" s="398"/>
      <c r="Z386" s="398"/>
      <c r="AA386" s="398"/>
      <c r="AB386" s="398"/>
      <c r="AC386" s="398"/>
      <c r="AD386" s="398"/>
      <c r="AE386" s="398"/>
      <c r="AF386" s="398"/>
      <c r="AG386" s="398"/>
      <c r="AH386" s="398"/>
      <c r="AI386" s="398"/>
      <c r="AJ386" s="398"/>
      <c r="AK386" s="398"/>
      <c r="AL386" s="398"/>
      <c r="AM386" s="398"/>
      <c r="AN386" s="398"/>
      <c r="AO386" s="398"/>
      <c r="AP386" s="398"/>
      <c r="AQ386" s="398"/>
      <c r="AR386" s="398"/>
      <c r="AS386" s="398"/>
      <c r="AT386" s="398"/>
      <c r="AU386" s="398"/>
      <c r="AV386" s="398"/>
      <c r="AW386" s="398"/>
      <c r="AX386" s="398"/>
      <c r="AY386" s="398"/>
      <c r="AZ386" s="398"/>
      <c r="BA386" s="398"/>
      <c r="BB386" s="398"/>
      <c r="BC386" s="398"/>
      <c r="BD386" s="398"/>
      <c r="BE386" s="398"/>
      <c r="BF386" s="398"/>
      <c r="BG386" s="398"/>
      <c r="BH386" s="398"/>
      <c r="BI386" s="398"/>
      <c r="BJ386" s="398"/>
      <c r="BK386" s="398"/>
      <c r="BL386" s="398"/>
      <c r="BM386" s="398"/>
      <c r="BN386" s="398"/>
      <c r="BO386" s="398"/>
      <c r="BP386" s="398"/>
      <c r="BQ386" s="398"/>
      <c r="BR386" s="398"/>
      <c r="BS386" s="398"/>
      <c r="BT386" s="398"/>
      <c r="BU386" s="398"/>
      <c r="BV386" s="398"/>
      <c r="BW386" s="398"/>
      <c r="BX386" s="398"/>
      <c r="BY386" s="398"/>
      <c r="BZ386" s="398"/>
      <c r="CA386" s="398"/>
      <c r="CB386" s="398"/>
      <c r="CC386" s="398"/>
      <c r="CD386" s="398"/>
      <c r="CE386" s="398"/>
      <c r="CF386" s="398"/>
      <c r="CG386" s="398"/>
      <c r="CH386" s="398"/>
      <c r="CI386" s="398"/>
      <c r="CJ386" s="398"/>
      <c r="CK386" s="398"/>
      <c r="CL386" s="398"/>
      <c r="CM386" s="398"/>
      <c r="CN386" s="398"/>
      <c r="CO386" s="398"/>
      <c r="CP386" s="398"/>
      <c r="CQ386" s="398"/>
      <c r="CR386" s="398"/>
      <c r="CS386" s="398"/>
      <c r="CT386" s="398"/>
      <c r="CU386" s="398"/>
      <c r="CV386" s="398"/>
      <c r="CW386" s="398"/>
      <c r="CX386" s="398"/>
      <c r="CY386" s="398"/>
      <c r="CZ386" s="398"/>
      <c r="DA386" s="398"/>
      <c r="DB386" s="398"/>
      <c r="DC386" s="398"/>
      <c r="DD386" s="398"/>
      <c r="DE386" s="398"/>
      <c r="DF386" s="398"/>
      <c r="DG386" s="398"/>
      <c r="DH386" s="398"/>
      <c r="DI386" s="398"/>
    </row>
    <row r="387" spans="1:113" ht="15.75" thickBot="1" x14ac:dyDescent="0.3">
      <c r="A387" s="409"/>
      <c r="B387" s="185">
        <v>1</v>
      </c>
      <c r="C387" s="185">
        <v>2</v>
      </c>
      <c r="D387" s="185">
        <v>3</v>
      </c>
      <c r="E387" s="70">
        <v>4</v>
      </c>
      <c r="F387" s="70">
        <f>+E387+1</f>
        <v>5</v>
      </c>
      <c r="G387" s="70" t="s">
        <v>652</v>
      </c>
      <c r="H387" s="70">
        <v>7</v>
      </c>
      <c r="I387" s="71" t="s">
        <v>651</v>
      </c>
      <c r="J387" s="42" t="s">
        <v>650</v>
      </c>
      <c r="K387" s="42" t="s">
        <v>653</v>
      </c>
      <c r="L387"/>
      <c r="M387" s="403"/>
      <c r="N387" s="402"/>
      <c r="O387" s="402"/>
      <c r="P387" s="402"/>
      <c r="Q387" s="402"/>
      <c r="R387" s="402"/>
      <c r="S387" s="399"/>
      <c r="T387" s="399"/>
      <c r="U387" s="399"/>
      <c r="V387" s="399"/>
      <c r="W387" s="399"/>
      <c r="X387" s="399"/>
      <c r="Y387" s="399"/>
      <c r="Z387" s="399"/>
      <c r="AA387" s="399"/>
      <c r="AB387" s="399"/>
      <c r="AC387" s="399"/>
      <c r="AD387" s="399"/>
      <c r="AE387" s="399"/>
      <c r="AF387" s="399"/>
      <c r="AG387" s="399"/>
      <c r="AH387" s="399"/>
      <c r="AI387" s="399"/>
      <c r="AJ387" s="399"/>
      <c r="AK387" s="399"/>
      <c r="AL387" s="399"/>
      <c r="AM387" s="399"/>
      <c r="AN387" s="399"/>
      <c r="AO387" s="399"/>
      <c r="AP387" s="399"/>
      <c r="AQ387" s="399"/>
      <c r="AR387" s="399"/>
      <c r="AS387" s="399"/>
      <c r="AT387" s="399"/>
      <c r="AU387" s="399"/>
      <c r="AV387" s="399"/>
      <c r="AW387" s="399"/>
      <c r="AX387" s="399"/>
      <c r="AY387" s="399"/>
      <c r="AZ387" s="399"/>
      <c r="BA387" s="399"/>
      <c r="BB387" s="399"/>
      <c r="BC387" s="399"/>
      <c r="BD387" s="399"/>
      <c r="BE387" s="399"/>
      <c r="BF387" s="399"/>
      <c r="BG387" s="399"/>
      <c r="BH387" s="399"/>
      <c r="BI387" s="399"/>
      <c r="BJ387" s="399"/>
      <c r="BK387" s="399"/>
      <c r="BL387" s="399"/>
      <c r="BM387" s="399"/>
      <c r="BN387" s="399"/>
      <c r="BO387" s="399"/>
      <c r="BP387" s="399"/>
      <c r="BQ387" s="399"/>
      <c r="BR387" s="399"/>
      <c r="BS387" s="399"/>
      <c r="BT387" s="399"/>
      <c r="BU387" s="399"/>
      <c r="BV387" s="399"/>
      <c r="BW387" s="399"/>
      <c r="BX387" s="399"/>
      <c r="BY387" s="399"/>
      <c r="BZ387" s="399"/>
      <c r="CA387" s="399"/>
      <c r="CB387" s="399"/>
      <c r="CC387" s="399"/>
      <c r="CD387" s="399"/>
      <c r="CE387" s="399"/>
      <c r="CF387" s="399"/>
      <c r="CG387" s="399"/>
      <c r="CH387" s="399"/>
      <c r="CI387" s="399"/>
      <c r="CJ387" s="399"/>
      <c r="CK387" s="399"/>
      <c r="CL387" s="399"/>
      <c r="CM387" s="399"/>
      <c r="CN387" s="399"/>
      <c r="CO387" s="399"/>
      <c r="CP387" s="399"/>
      <c r="CQ387" s="399"/>
      <c r="CR387" s="399"/>
      <c r="CS387" s="399"/>
      <c r="CT387" s="399"/>
      <c r="CU387" s="399"/>
      <c r="CV387" s="399"/>
      <c r="CW387" s="399"/>
      <c r="CX387" s="399"/>
      <c r="CY387" s="399"/>
      <c r="CZ387" s="399"/>
      <c r="DA387" s="399"/>
      <c r="DB387" s="399"/>
      <c r="DC387" s="399"/>
      <c r="DD387" s="399"/>
      <c r="DE387" s="399"/>
      <c r="DF387" s="399"/>
      <c r="DG387" s="399"/>
      <c r="DH387" s="399"/>
      <c r="DI387" s="399"/>
    </row>
    <row r="388" spans="1:113" x14ac:dyDescent="0.25">
      <c r="A388" s="160"/>
      <c r="B388" s="72" t="s">
        <v>710</v>
      </c>
      <c r="C388" s="54"/>
      <c r="D388" s="54"/>
      <c r="E388" s="54"/>
      <c r="F388" s="54"/>
      <c r="G388" s="54"/>
      <c r="H388" s="54"/>
      <c r="I388" s="54"/>
      <c r="J388" s="54"/>
      <c r="K388" s="54"/>
      <c r="L388"/>
      <c r="M388" s="314">
        <f t="shared" ref="M388:M440" si="101">SUM(N388:DJ388)</f>
        <v>0</v>
      </c>
      <c r="N388" s="310"/>
      <c r="O388" s="315"/>
      <c r="P388" s="315"/>
      <c r="Q388" s="315"/>
      <c r="R388" s="315"/>
      <c r="S388" s="55"/>
      <c r="T388" s="55"/>
      <c r="U388" s="55"/>
      <c r="V388" s="55"/>
      <c r="W388" s="55"/>
      <c r="X388" s="55"/>
      <c r="Y388" s="55"/>
      <c r="Z388" s="55"/>
      <c r="AA388" s="55"/>
      <c r="AB388" s="55"/>
      <c r="AC388" s="55"/>
      <c r="AD388" s="55"/>
      <c r="AE388" s="55"/>
      <c r="AF388" s="55"/>
      <c r="AG388" s="55"/>
      <c r="AH388" s="55"/>
      <c r="AI388" s="55"/>
      <c r="AJ388" s="55"/>
      <c r="AK388" s="55"/>
      <c r="AL388" s="55"/>
      <c r="AM388" s="55"/>
      <c r="AN388" s="55"/>
      <c r="AO388" s="55"/>
      <c r="AP388" s="55"/>
      <c r="AQ388" s="55"/>
      <c r="AR388" s="55"/>
      <c r="AS388" s="55"/>
      <c r="AT388" s="55"/>
      <c r="AU388" s="55"/>
      <c r="AV388" s="55"/>
      <c r="AW388" s="55"/>
      <c r="AX388" s="55"/>
      <c r="AY388" s="55"/>
      <c r="AZ388" s="55"/>
      <c r="BA388" s="55"/>
      <c r="BB388" s="55"/>
      <c r="BC388" s="55"/>
      <c r="BD388" s="55"/>
      <c r="BE388" s="55"/>
      <c r="BF388" s="55"/>
      <c r="BG388" s="55"/>
      <c r="BH388" s="55"/>
      <c r="BI388" s="55"/>
      <c r="BJ388" s="55"/>
      <c r="BK388" s="55"/>
      <c r="BL388" s="55"/>
      <c r="BM388" s="55"/>
      <c r="BN388" s="55"/>
      <c r="BO388" s="55"/>
      <c r="BP388" s="55"/>
      <c r="BQ388" s="55"/>
      <c r="BR388" s="55"/>
      <c r="BS388" s="55"/>
      <c r="BT388" s="55"/>
      <c r="BU388" s="55"/>
      <c r="BV388" s="55"/>
      <c r="BW388" s="55"/>
      <c r="BX388" s="55"/>
      <c r="BY388" s="55"/>
      <c r="BZ388" s="55"/>
      <c r="CA388" s="55"/>
      <c r="CB388" s="55"/>
      <c r="CC388" s="55"/>
      <c r="CD388" s="55"/>
      <c r="CE388" s="55"/>
      <c r="CF388" s="55"/>
      <c r="CG388" s="55"/>
      <c r="CH388" s="55"/>
      <c r="CI388" s="55"/>
      <c r="CJ388" s="55"/>
      <c r="CK388" s="55"/>
      <c r="CL388" s="55"/>
      <c r="CM388" s="55"/>
      <c r="CN388" s="55"/>
      <c r="CO388" s="55"/>
      <c r="CP388" s="55"/>
      <c r="CQ388" s="55"/>
      <c r="CR388" s="55"/>
      <c r="CS388" s="55"/>
      <c r="CT388" s="55"/>
      <c r="CU388" s="55"/>
      <c r="CV388" s="55"/>
      <c r="CW388" s="55"/>
      <c r="CX388" s="55"/>
      <c r="CY388" s="55"/>
      <c r="CZ388" s="55"/>
      <c r="DA388" s="55"/>
      <c r="DB388" s="55"/>
      <c r="DC388" s="55"/>
      <c r="DD388" s="55"/>
      <c r="DE388" s="55"/>
      <c r="DF388" s="55"/>
      <c r="DG388" s="55"/>
      <c r="DH388" s="55"/>
      <c r="DI388" s="55"/>
    </row>
    <row r="389" spans="1:113" x14ac:dyDescent="0.25">
      <c r="A389" s="317"/>
      <c r="B389" s="351"/>
      <c r="C389" s="353"/>
      <c r="D389" s="353"/>
      <c r="E389" s="353"/>
      <c r="F389" s="353"/>
      <c r="G389" s="353"/>
      <c r="H389" s="353"/>
      <c r="I389" s="353"/>
      <c r="J389" s="353"/>
      <c r="K389" s="353"/>
      <c r="L389"/>
      <c r="M389" s="348"/>
      <c r="N389" s="310" t="s">
        <v>1064</v>
      </c>
      <c r="O389" s="349" t="s">
        <v>1064</v>
      </c>
      <c r="P389" s="349" t="s">
        <v>1062</v>
      </c>
      <c r="Q389" s="349"/>
      <c r="R389" s="349"/>
      <c r="S389" s="346"/>
      <c r="T389" s="346"/>
      <c r="U389" s="346"/>
      <c r="V389" s="346"/>
      <c r="W389" s="346"/>
      <c r="X389" s="346"/>
      <c r="Y389" s="346"/>
      <c r="Z389" s="346"/>
      <c r="AA389" s="346"/>
      <c r="AB389" s="346"/>
      <c r="AC389" s="346"/>
      <c r="AD389" s="346"/>
      <c r="AE389" s="346"/>
      <c r="AF389" s="346"/>
      <c r="AG389" s="346"/>
      <c r="AH389" s="346"/>
      <c r="AI389" s="346"/>
      <c r="AJ389" s="346"/>
      <c r="AK389" s="346"/>
      <c r="AL389" s="346"/>
      <c r="AM389" s="346"/>
      <c r="AN389" s="346"/>
      <c r="AO389" s="346"/>
      <c r="AP389" s="346"/>
      <c r="AQ389" s="346"/>
      <c r="AR389" s="346"/>
      <c r="AS389" s="346"/>
      <c r="AT389" s="346"/>
      <c r="AU389" s="346"/>
      <c r="AV389" s="346"/>
      <c r="AW389" s="346"/>
      <c r="AX389" s="346"/>
      <c r="AY389" s="346"/>
      <c r="AZ389" s="346"/>
      <c r="BA389" s="346"/>
      <c r="BB389" s="346"/>
      <c r="BC389" s="346"/>
      <c r="BD389" s="346"/>
      <c r="BE389" s="346"/>
      <c r="BF389" s="346"/>
      <c r="BG389" s="346"/>
      <c r="BH389" s="346"/>
      <c r="BI389" s="346"/>
      <c r="BJ389" s="346"/>
      <c r="BK389" s="346"/>
      <c r="BL389" s="346"/>
      <c r="BM389" s="346"/>
      <c r="BN389" s="346"/>
      <c r="BO389" s="346"/>
      <c r="BP389" s="346"/>
      <c r="BQ389" s="346"/>
      <c r="BR389" s="346"/>
      <c r="BS389" s="346"/>
      <c r="BT389" s="346"/>
      <c r="BU389" s="346"/>
      <c r="BV389" s="346"/>
      <c r="BW389" s="346"/>
      <c r="BX389" s="346"/>
      <c r="BY389" s="346"/>
      <c r="BZ389" s="346"/>
      <c r="CA389" s="346"/>
      <c r="CB389" s="346"/>
      <c r="CC389" s="346"/>
      <c r="CD389" s="346"/>
      <c r="CE389" s="346"/>
      <c r="CF389" s="346"/>
      <c r="CG389" s="346"/>
      <c r="CH389" s="346"/>
      <c r="CI389" s="346"/>
      <c r="CJ389" s="346"/>
      <c r="CK389" s="346"/>
      <c r="CL389" s="346"/>
      <c r="CM389" s="346"/>
      <c r="CN389" s="346"/>
      <c r="CO389" s="346"/>
      <c r="CP389" s="346"/>
      <c r="CQ389" s="346"/>
      <c r="CR389" s="346"/>
      <c r="CS389" s="346"/>
      <c r="CT389" s="346"/>
      <c r="CU389" s="346"/>
      <c r="CV389" s="346"/>
      <c r="CW389" s="346"/>
      <c r="CX389" s="346"/>
      <c r="CY389" s="346"/>
      <c r="CZ389" s="346"/>
      <c r="DA389" s="346"/>
      <c r="DB389" s="346"/>
      <c r="DC389" s="346"/>
      <c r="DD389" s="346"/>
      <c r="DE389" s="346"/>
      <c r="DF389" s="346"/>
      <c r="DG389" s="346"/>
      <c r="DH389" s="346"/>
      <c r="DI389" s="346"/>
    </row>
    <row r="390" spans="1:113" x14ac:dyDescent="0.25">
      <c r="A390" s="152">
        <v>1</v>
      </c>
      <c r="B390" s="79" t="s">
        <v>440</v>
      </c>
      <c r="C390" s="80">
        <v>9500</v>
      </c>
      <c r="D390" s="142">
        <v>2053.04</v>
      </c>
      <c r="E390" s="43">
        <v>20</v>
      </c>
      <c r="F390" s="60"/>
      <c r="G390" s="139">
        <f t="shared" ref="G390:G439" si="102">+E390+F390</f>
        <v>20</v>
      </c>
      <c r="H390" s="55"/>
      <c r="I390" s="56">
        <f t="shared" ref="I390:I439" si="103">+G390-H390</f>
        <v>20</v>
      </c>
      <c r="J390" s="56">
        <f t="shared" ref="J390:J413" si="104">I390*C390</f>
        <v>190000</v>
      </c>
      <c r="K390" s="57">
        <f t="shared" ref="K390:K439" si="105">+D390*I390</f>
        <v>41060.800000000003</v>
      </c>
      <c r="L390"/>
      <c r="M390" s="314">
        <f t="shared" si="101"/>
        <v>102</v>
      </c>
      <c r="N390" s="310">
        <v>42</v>
      </c>
      <c r="O390" s="315">
        <v>50</v>
      </c>
      <c r="P390" s="315">
        <v>10</v>
      </c>
      <c r="Q390" s="315"/>
      <c r="R390" s="315"/>
      <c r="S390" s="55"/>
      <c r="T390" s="55"/>
      <c r="U390" s="55"/>
      <c r="V390" s="55"/>
      <c r="W390" s="55"/>
      <c r="X390" s="55"/>
      <c r="Y390" s="55"/>
      <c r="Z390" s="55"/>
      <c r="AA390" s="55"/>
      <c r="AB390" s="55"/>
      <c r="AC390" s="55"/>
      <c r="AD390" s="55"/>
      <c r="AE390" s="55"/>
      <c r="AF390" s="55"/>
      <c r="AG390" s="55"/>
      <c r="AH390" s="55"/>
      <c r="AI390" s="55"/>
      <c r="AJ390" s="55"/>
      <c r="AK390" s="55"/>
      <c r="AL390" s="55"/>
      <c r="AM390" s="55"/>
      <c r="AN390" s="55"/>
      <c r="AO390" s="55"/>
      <c r="AP390" s="55"/>
      <c r="AQ390" s="55"/>
      <c r="AR390" s="55"/>
      <c r="AS390" s="55"/>
      <c r="AT390" s="55"/>
      <c r="AU390" s="55"/>
      <c r="AV390" s="55"/>
      <c r="AW390" s="55"/>
      <c r="AX390" s="55"/>
      <c r="AY390" s="55"/>
      <c r="AZ390" s="55"/>
      <c r="BA390" s="55"/>
      <c r="BB390" s="55"/>
      <c r="BC390" s="55"/>
      <c r="BD390" s="55"/>
      <c r="BE390" s="55"/>
      <c r="BF390" s="55"/>
      <c r="BG390" s="55"/>
      <c r="BH390" s="55"/>
      <c r="BI390" s="55"/>
      <c r="BJ390" s="55"/>
      <c r="BK390" s="55"/>
      <c r="BL390" s="55"/>
      <c r="BM390" s="55"/>
      <c r="BN390" s="55"/>
      <c r="BO390" s="55"/>
      <c r="BP390" s="55"/>
      <c r="BQ390" s="55"/>
      <c r="BR390" s="55"/>
      <c r="BS390" s="55"/>
      <c r="BT390" s="55"/>
      <c r="BU390" s="55"/>
      <c r="BV390" s="55"/>
      <c r="BW390" s="55"/>
      <c r="BX390" s="55"/>
      <c r="BY390" s="55"/>
      <c r="BZ390" s="55"/>
      <c r="CA390" s="55"/>
      <c r="CB390" s="55"/>
      <c r="CC390" s="55"/>
      <c r="CD390" s="55"/>
      <c r="CE390" s="55"/>
      <c r="CF390" s="55"/>
      <c r="CG390" s="55"/>
      <c r="CH390" s="55"/>
      <c r="CI390" s="55"/>
      <c r="CJ390" s="55"/>
      <c r="CK390" s="55"/>
      <c r="CL390" s="55"/>
      <c r="CM390" s="55"/>
      <c r="CN390" s="55"/>
      <c r="CO390" s="55"/>
      <c r="CP390" s="55"/>
      <c r="CQ390" s="55"/>
      <c r="CR390" s="55"/>
      <c r="CS390" s="55"/>
      <c r="CT390" s="55"/>
      <c r="CU390" s="55"/>
      <c r="CV390" s="55"/>
      <c r="CW390" s="55"/>
      <c r="CX390" s="55"/>
      <c r="CY390" s="55"/>
      <c r="CZ390" s="55"/>
      <c r="DA390" s="55"/>
      <c r="DB390" s="55"/>
      <c r="DC390" s="55"/>
      <c r="DD390" s="55"/>
      <c r="DE390" s="55"/>
      <c r="DF390" s="55"/>
      <c r="DG390" s="55"/>
      <c r="DH390" s="55"/>
      <c r="DI390" s="55"/>
    </row>
    <row r="391" spans="1:113" x14ac:dyDescent="0.25">
      <c r="A391" s="380"/>
      <c r="B391" s="340"/>
      <c r="C391" s="341"/>
      <c r="D391" s="381"/>
      <c r="E391" s="344"/>
      <c r="F391" s="350"/>
      <c r="G391" s="356"/>
      <c r="H391" s="346"/>
      <c r="I391" s="345"/>
      <c r="J391" s="345"/>
      <c r="K391" s="347"/>
      <c r="L391"/>
      <c r="M391" s="348"/>
      <c r="N391" s="310" t="s">
        <v>1064</v>
      </c>
      <c r="O391" s="349" t="s">
        <v>965</v>
      </c>
      <c r="P391" s="349"/>
      <c r="Q391" s="349"/>
      <c r="R391" s="349"/>
      <c r="S391" s="346"/>
      <c r="T391" s="346"/>
      <c r="U391" s="346"/>
      <c r="V391" s="346"/>
      <c r="W391" s="346"/>
      <c r="X391" s="346"/>
      <c r="Y391" s="346"/>
      <c r="Z391" s="346"/>
      <c r="AA391" s="346"/>
      <c r="AB391" s="346"/>
      <c r="AC391" s="346"/>
      <c r="AD391" s="346"/>
      <c r="AE391" s="346"/>
      <c r="AF391" s="346"/>
      <c r="AG391" s="346"/>
      <c r="AH391" s="346"/>
      <c r="AI391" s="346"/>
      <c r="AJ391" s="346"/>
      <c r="AK391" s="346"/>
      <c r="AL391" s="346"/>
      <c r="AM391" s="346"/>
      <c r="AN391" s="346"/>
      <c r="AO391" s="346"/>
      <c r="AP391" s="346"/>
      <c r="AQ391" s="346"/>
      <c r="AR391" s="346"/>
      <c r="AS391" s="346"/>
      <c r="AT391" s="346"/>
      <c r="AU391" s="346"/>
      <c r="AV391" s="346"/>
      <c r="AW391" s="346"/>
      <c r="AX391" s="346"/>
      <c r="AY391" s="346"/>
      <c r="AZ391" s="346"/>
      <c r="BA391" s="346"/>
      <c r="BB391" s="346"/>
      <c r="BC391" s="346"/>
      <c r="BD391" s="346"/>
      <c r="BE391" s="346"/>
      <c r="BF391" s="346"/>
      <c r="BG391" s="346"/>
      <c r="BH391" s="346"/>
      <c r="BI391" s="346"/>
      <c r="BJ391" s="346"/>
      <c r="BK391" s="346"/>
      <c r="BL391" s="346"/>
      <c r="BM391" s="346"/>
      <c r="BN391" s="346"/>
      <c r="BO391" s="346"/>
      <c r="BP391" s="346"/>
      <c r="BQ391" s="346"/>
      <c r="BR391" s="346"/>
      <c r="BS391" s="346"/>
      <c r="BT391" s="346"/>
      <c r="BU391" s="346"/>
      <c r="BV391" s="346"/>
      <c r="BW391" s="346"/>
      <c r="BX391" s="346"/>
      <c r="BY391" s="346"/>
      <c r="BZ391" s="346"/>
      <c r="CA391" s="346"/>
      <c r="CB391" s="346"/>
      <c r="CC391" s="346"/>
      <c r="CD391" s="346"/>
      <c r="CE391" s="346"/>
      <c r="CF391" s="346"/>
      <c r="CG391" s="346"/>
      <c r="CH391" s="346"/>
      <c r="CI391" s="346"/>
      <c r="CJ391" s="346"/>
      <c r="CK391" s="346"/>
      <c r="CL391" s="346"/>
      <c r="CM391" s="346"/>
      <c r="CN391" s="346"/>
      <c r="CO391" s="346"/>
      <c r="CP391" s="346"/>
      <c r="CQ391" s="346"/>
      <c r="CR391" s="346"/>
      <c r="CS391" s="346"/>
      <c r="CT391" s="346"/>
      <c r="CU391" s="346"/>
      <c r="CV391" s="346"/>
      <c r="CW391" s="346"/>
      <c r="CX391" s="346"/>
      <c r="CY391" s="346"/>
      <c r="CZ391" s="346"/>
      <c r="DA391" s="346"/>
      <c r="DB391" s="346"/>
      <c r="DC391" s="346"/>
      <c r="DD391" s="346"/>
      <c r="DE391" s="346"/>
      <c r="DF391" s="346"/>
      <c r="DG391" s="346"/>
      <c r="DH391" s="346"/>
      <c r="DI391" s="346"/>
    </row>
    <row r="392" spans="1:113" x14ac:dyDescent="0.25">
      <c r="A392" s="380"/>
      <c r="B392" s="340" t="s">
        <v>1069</v>
      </c>
      <c r="C392" s="341">
        <v>7000</v>
      </c>
      <c r="D392" s="381"/>
      <c r="E392" s="344"/>
      <c r="F392" s="350"/>
      <c r="G392" s="356"/>
      <c r="H392" s="346"/>
      <c r="I392" s="345"/>
      <c r="J392" s="345"/>
      <c r="K392" s="347"/>
      <c r="L392"/>
      <c r="M392" s="348">
        <f>SUM(N392:O392)</f>
        <v>91</v>
      </c>
      <c r="N392" s="310">
        <v>50</v>
      </c>
      <c r="O392" s="349">
        <v>41</v>
      </c>
      <c r="P392" s="349"/>
      <c r="Q392" s="349"/>
      <c r="R392" s="349"/>
      <c r="S392" s="346"/>
      <c r="T392" s="346"/>
      <c r="U392" s="346"/>
      <c r="V392" s="346"/>
      <c r="W392" s="346"/>
      <c r="X392" s="346"/>
      <c r="Y392" s="346"/>
      <c r="Z392" s="346"/>
      <c r="AA392" s="346"/>
      <c r="AB392" s="346"/>
      <c r="AC392" s="346"/>
      <c r="AD392" s="346"/>
      <c r="AE392" s="346"/>
      <c r="AF392" s="346"/>
      <c r="AG392" s="346"/>
      <c r="AH392" s="346"/>
      <c r="AI392" s="346"/>
      <c r="AJ392" s="346"/>
      <c r="AK392" s="346"/>
      <c r="AL392" s="346"/>
      <c r="AM392" s="346"/>
      <c r="AN392" s="346"/>
      <c r="AO392" s="346"/>
      <c r="AP392" s="346"/>
      <c r="AQ392" s="346"/>
      <c r="AR392" s="346"/>
      <c r="AS392" s="346"/>
      <c r="AT392" s="346"/>
      <c r="AU392" s="346"/>
      <c r="AV392" s="346"/>
      <c r="AW392" s="346"/>
      <c r="AX392" s="346"/>
      <c r="AY392" s="346"/>
      <c r="AZ392" s="346"/>
      <c r="BA392" s="346"/>
      <c r="BB392" s="346"/>
      <c r="BC392" s="346"/>
      <c r="BD392" s="346"/>
      <c r="BE392" s="346"/>
      <c r="BF392" s="346"/>
      <c r="BG392" s="346"/>
      <c r="BH392" s="346"/>
      <c r="BI392" s="346"/>
      <c r="BJ392" s="346"/>
      <c r="BK392" s="346"/>
      <c r="BL392" s="346"/>
      <c r="BM392" s="346"/>
      <c r="BN392" s="346"/>
      <c r="BO392" s="346"/>
      <c r="BP392" s="346"/>
      <c r="BQ392" s="346"/>
      <c r="BR392" s="346"/>
      <c r="BS392" s="346"/>
      <c r="BT392" s="346"/>
      <c r="BU392" s="346"/>
      <c r="BV392" s="346"/>
      <c r="BW392" s="346"/>
      <c r="BX392" s="346"/>
      <c r="BY392" s="346"/>
      <c r="BZ392" s="346"/>
      <c r="CA392" s="346"/>
      <c r="CB392" s="346"/>
      <c r="CC392" s="346"/>
      <c r="CD392" s="346"/>
      <c r="CE392" s="346"/>
      <c r="CF392" s="346"/>
      <c r="CG392" s="346"/>
      <c r="CH392" s="346"/>
      <c r="CI392" s="346"/>
      <c r="CJ392" s="346"/>
      <c r="CK392" s="346"/>
      <c r="CL392" s="346"/>
      <c r="CM392" s="346"/>
      <c r="CN392" s="346"/>
      <c r="CO392" s="346"/>
      <c r="CP392" s="346"/>
      <c r="CQ392" s="346"/>
      <c r="CR392" s="346"/>
      <c r="CS392" s="346"/>
      <c r="CT392" s="346"/>
      <c r="CU392" s="346"/>
      <c r="CV392" s="346"/>
      <c r="CW392" s="346"/>
      <c r="CX392" s="346"/>
      <c r="CY392" s="346"/>
      <c r="CZ392" s="346"/>
      <c r="DA392" s="346"/>
      <c r="DB392" s="346"/>
      <c r="DC392" s="346"/>
      <c r="DD392" s="346"/>
      <c r="DE392" s="346"/>
      <c r="DF392" s="346"/>
      <c r="DG392" s="346"/>
      <c r="DH392" s="346"/>
      <c r="DI392" s="346"/>
    </row>
    <row r="393" spans="1:113" x14ac:dyDescent="0.25">
      <c r="A393" s="380"/>
      <c r="B393" s="340"/>
      <c r="C393" s="341"/>
      <c r="D393" s="381"/>
      <c r="E393" s="344"/>
      <c r="F393" s="350"/>
      <c r="G393" s="356"/>
      <c r="H393" s="346"/>
      <c r="I393" s="345"/>
      <c r="J393" s="345"/>
      <c r="K393" s="347"/>
      <c r="L393"/>
      <c r="M393" s="348"/>
      <c r="N393" s="310" t="s">
        <v>1062</v>
      </c>
      <c r="O393" s="349" t="s">
        <v>1002</v>
      </c>
      <c r="P393" s="349" t="s">
        <v>1064</v>
      </c>
      <c r="Q393" s="349"/>
      <c r="R393" s="349"/>
      <c r="S393" s="346"/>
      <c r="T393" s="346"/>
      <c r="U393" s="346"/>
      <c r="V393" s="346"/>
      <c r="W393" s="346"/>
      <c r="X393" s="346"/>
      <c r="Y393" s="346"/>
      <c r="Z393" s="346"/>
      <c r="AA393" s="346"/>
      <c r="AB393" s="346"/>
      <c r="AC393" s="346"/>
      <c r="AD393" s="346"/>
      <c r="AE393" s="346"/>
      <c r="AF393" s="346"/>
      <c r="AG393" s="346"/>
      <c r="AH393" s="346"/>
      <c r="AI393" s="346"/>
      <c r="AJ393" s="346"/>
      <c r="AK393" s="346"/>
      <c r="AL393" s="346"/>
      <c r="AM393" s="346"/>
      <c r="AN393" s="346"/>
      <c r="AO393" s="346"/>
      <c r="AP393" s="346"/>
      <c r="AQ393" s="346"/>
      <c r="AR393" s="346"/>
      <c r="AS393" s="346"/>
      <c r="AT393" s="346"/>
      <c r="AU393" s="346"/>
      <c r="AV393" s="346"/>
      <c r="AW393" s="346"/>
      <c r="AX393" s="346"/>
      <c r="AY393" s="346"/>
      <c r="AZ393" s="346"/>
      <c r="BA393" s="346"/>
      <c r="BB393" s="346"/>
      <c r="BC393" s="346"/>
      <c r="BD393" s="346"/>
      <c r="BE393" s="346"/>
      <c r="BF393" s="346"/>
      <c r="BG393" s="346"/>
      <c r="BH393" s="346"/>
      <c r="BI393" s="346"/>
      <c r="BJ393" s="346"/>
      <c r="BK393" s="346"/>
      <c r="BL393" s="346"/>
      <c r="BM393" s="346"/>
      <c r="BN393" s="346"/>
      <c r="BO393" s="346"/>
      <c r="BP393" s="346"/>
      <c r="BQ393" s="346"/>
      <c r="BR393" s="346"/>
      <c r="BS393" s="346"/>
      <c r="BT393" s="346"/>
      <c r="BU393" s="346"/>
      <c r="BV393" s="346"/>
      <c r="BW393" s="346"/>
      <c r="BX393" s="346"/>
      <c r="BY393" s="346"/>
      <c r="BZ393" s="346"/>
      <c r="CA393" s="346"/>
      <c r="CB393" s="346"/>
      <c r="CC393" s="346"/>
      <c r="CD393" s="346"/>
      <c r="CE393" s="346"/>
      <c r="CF393" s="346"/>
      <c r="CG393" s="346"/>
      <c r="CH393" s="346"/>
      <c r="CI393" s="346"/>
      <c r="CJ393" s="346"/>
      <c r="CK393" s="346"/>
      <c r="CL393" s="346"/>
      <c r="CM393" s="346"/>
      <c r="CN393" s="346"/>
      <c r="CO393" s="346"/>
      <c r="CP393" s="346"/>
      <c r="CQ393" s="346"/>
      <c r="CR393" s="346"/>
      <c r="CS393" s="346"/>
      <c r="CT393" s="346"/>
      <c r="CU393" s="346"/>
      <c r="CV393" s="346"/>
      <c r="CW393" s="346"/>
      <c r="CX393" s="346"/>
      <c r="CY393" s="346"/>
      <c r="CZ393" s="346"/>
      <c r="DA393" s="346"/>
      <c r="DB393" s="346"/>
      <c r="DC393" s="346"/>
      <c r="DD393" s="346"/>
      <c r="DE393" s="346"/>
      <c r="DF393" s="346"/>
      <c r="DG393" s="346"/>
      <c r="DH393" s="346"/>
      <c r="DI393" s="346"/>
    </row>
    <row r="394" spans="1:113" x14ac:dyDescent="0.25">
      <c r="A394" s="152">
        <v>2</v>
      </c>
      <c r="B394" s="79" t="s">
        <v>441</v>
      </c>
      <c r="C394" s="80">
        <v>19000</v>
      </c>
      <c r="D394" s="142">
        <v>2163.04</v>
      </c>
      <c r="E394" s="43">
        <v>49</v>
      </c>
      <c r="F394" s="60"/>
      <c r="G394" s="139">
        <f t="shared" si="102"/>
        <v>49</v>
      </c>
      <c r="H394" s="55"/>
      <c r="I394" s="56">
        <f t="shared" si="103"/>
        <v>49</v>
      </c>
      <c r="J394" s="56">
        <f t="shared" si="104"/>
        <v>931000</v>
      </c>
      <c r="K394" s="57">
        <f t="shared" si="105"/>
        <v>105988.95999999999</v>
      </c>
      <c r="L394"/>
      <c r="M394" s="314">
        <f t="shared" si="101"/>
        <v>74</v>
      </c>
      <c r="N394" s="310">
        <v>7</v>
      </c>
      <c r="O394" s="315">
        <v>17</v>
      </c>
      <c r="P394" s="315">
        <v>50</v>
      </c>
      <c r="Q394" s="315"/>
      <c r="R394" s="315"/>
      <c r="S394" s="55"/>
      <c r="T394" s="55"/>
      <c r="U394" s="55"/>
      <c r="V394" s="55"/>
      <c r="W394" s="55"/>
      <c r="X394" s="55"/>
      <c r="Y394" s="55"/>
      <c r="Z394" s="55"/>
      <c r="AA394" s="55"/>
      <c r="AB394" s="55"/>
      <c r="AC394" s="55"/>
      <c r="AD394" s="55"/>
      <c r="AE394" s="55"/>
      <c r="AF394" s="55"/>
      <c r="AG394" s="55"/>
      <c r="AH394" s="55"/>
      <c r="AI394" s="55"/>
      <c r="AJ394" s="55"/>
      <c r="AK394" s="55"/>
      <c r="AL394" s="55"/>
      <c r="AM394" s="55"/>
      <c r="AN394" s="55"/>
      <c r="AO394" s="55"/>
      <c r="AP394" s="55"/>
      <c r="AQ394" s="55"/>
      <c r="AR394" s="55"/>
      <c r="AS394" s="55"/>
      <c r="AT394" s="55"/>
      <c r="AU394" s="55"/>
      <c r="AV394" s="55"/>
      <c r="AW394" s="55"/>
      <c r="AX394" s="55"/>
      <c r="AY394" s="55"/>
      <c r="AZ394" s="55"/>
      <c r="BA394" s="55"/>
      <c r="BB394" s="55"/>
      <c r="BC394" s="55"/>
      <c r="BD394" s="55"/>
      <c r="BE394" s="55"/>
      <c r="BF394" s="55"/>
      <c r="BG394" s="55"/>
      <c r="BH394" s="55"/>
      <c r="BI394" s="55"/>
      <c r="BJ394" s="55"/>
      <c r="BK394" s="55"/>
      <c r="BL394" s="55"/>
      <c r="BM394" s="55"/>
      <c r="BN394" s="55"/>
      <c r="BO394" s="55"/>
      <c r="BP394" s="55"/>
      <c r="BQ394" s="55"/>
      <c r="BR394" s="55"/>
      <c r="BS394" s="55"/>
      <c r="BT394" s="55"/>
      <c r="BU394" s="55"/>
      <c r="BV394" s="55"/>
      <c r="BW394" s="55"/>
      <c r="BX394" s="55"/>
      <c r="BY394" s="55"/>
      <c r="BZ394" s="55"/>
      <c r="CA394" s="55"/>
      <c r="CB394" s="55"/>
      <c r="CC394" s="55"/>
      <c r="CD394" s="55"/>
      <c r="CE394" s="55"/>
      <c r="CF394" s="55"/>
      <c r="CG394" s="55"/>
      <c r="CH394" s="55"/>
      <c r="CI394" s="55"/>
      <c r="CJ394" s="55"/>
      <c r="CK394" s="55"/>
      <c r="CL394" s="55"/>
      <c r="CM394" s="55"/>
      <c r="CN394" s="55"/>
      <c r="CO394" s="55"/>
      <c r="CP394" s="55"/>
      <c r="CQ394" s="55"/>
      <c r="CR394" s="55"/>
      <c r="CS394" s="55"/>
      <c r="CT394" s="55"/>
      <c r="CU394" s="55"/>
      <c r="CV394" s="55"/>
      <c r="CW394" s="55"/>
      <c r="CX394" s="55"/>
      <c r="CY394" s="55"/>
      <c r="CZ394" s="55"/>
      <c r="DA394" s="55"/>
      <c r="DB394" s="55"/>
      <c r="DC394" s="55"/>
      <c r="DD394" s="55"/>
      <c r="DE394" s="55"/>
      <c r="DF394" s="55"/>
      <c r="DG394" s="55"/>
      <c r="DH394" s="55"/>
      <c r="DI394" s="55"/>
    </row>
    <row r="395" spans="1:113" x14ac:dyDescent="0.25">
      <c r="A395" s="380"/>
      <c r="B395" s="340"/>
      <c r="C395" s="341"/>
      <c r="D395" s="381"/>
      <c r="E395" s="344"/>
      <c r="F395" s="350"/>
      <c r="G395" s="356"/>
      <c r="H395" s="346"/>
      <c r="I395" s="345"/>
      <c r="J395" s="345"/>
      <c r="K395" s="347"/>
      <c r="L395"/>
      <c r="M395" s="348"/>
      <c r="N395" s="310" t="s">
        <v>1065</v>
      </c>
      <c r="O395" s="349" t="s">
        <v>1062</v>
      </c>
      <c r="P395" s="349" t="s">
        <v>1064</v>
      </c>
      <c r="Q395" s="349" t="s">
        <v>1044</v>
      </c>
      <c r="R395" s="349" t="s">
        <v>1002</v>
      </c>
      <c r="S395" s="346"/>
      <c r="T395" s="346"/>
      <c r="U395" s="346"/>
      <c r="V395" s="346"/>
      <c r="W395" s="346"/>
      <c r="X395" s="346"/>
      <c r="Y395" s="346"/>
      <c r="Z395" s="346"/>
      <c r="AA395" s="346"/>
      <c r="AB395" s="346"/>
      <c r="AC395" s="346"/>
      <c r="AD395" s="346"/>
      <c r="AE395" s="346"/>
      <c r="AF395" s="346"/>
      <c r="AG395" s="346"/>
      <c r="AH395" s="346"/>
      <c r="AI395" s="346"/>
      <c r="AJ395" s="346"/>
      <c r="AK395" s="346"/>
      <c r="AL395" s="346"/>
      <c r="AM395" s="346"/>
      <c r="AN395" s="346"/>
      <c r="AO395" s="346"/>
      <c r="AP395" s="346"/>
      <c r="AQ395" s="346"/>
      <c r="AR395" s="346"/>
      <c r="AS395" s="346"/>
      <c r="AT395" s="346"/>
      <c r="AU395" s="346"/>
      <c r="AV395" s="346"/>
      <c r="AW395" s="346"/>
      <c r="AX395" s="346"/>
      <c r="AY395" s="346"/>
      <c r="AZ395" s="346"/>
      <c r="BA395" s="346"/>
      <c r="BB395" s="346"/>
      <c r="BC395" s="346"/>
      <c r="BD395" s="346"/>
      <c r="BE395" s="346"/>
      <c r="BF395" s="346"/>
      <c r="BG395" s="346"/>
      <c r="BH395" s="346"/>
      <c r="BI395" s="346"/>
      <c r="BJ395" s="346"/>
      <c r="BK395" s="346"/>
      <c r="BL395" s="346"/>
      <c r="BM395" s="346"/>
      <c r="BN395" s="346"/>
      <c r="BO395" s="346"/>
      <c r="BP395" s="346"/>
      <c r="BQ395" s="346"/>
      <c r="BR395" s="346"/>
      <c r="BS395" s="346"/>
      <c r="BT395" s="346"/>
      <c r="BU395" s="346"/>
      <c r="BV395" s="346"/>
      <c r="BW395" s="346"/>
      <c r="BX395" s="346"/>
      <c r="BY395" s="346"/>
      <c r="BZ395" s="346"/>
      <c r="CA395" s="346"/>
      <c r="CB395" s="346"/>
      <c r="CC395" s="346"/>
      <c r="CD395" s="346"/>
      <c r="CE395" s="346"/>
      <c r="CF395" s="346"/>
      <c r="CG395" s="346"/>
      <c r="CH395" s="346"/>
      <c r="CI395" s="346"/>
      <c r="CJ395" s="346"/>
      <c r="CK395" s="346"/>
      <c r="CL395" s="346"/>
      <c r="CM395" s="346"/>
      <c r="CN395" s="346"/>
      <c r="CO395" s="346"/>
      <c r="CP395" s="346"/>
      <c r="CQ395" s="346"/>
      <c r="CR395" s="346"/>
      <c r="CS395" s="346"/>
      <c r="CT395" s="346"/>
      <c r="CU395" s="346"/>
      <c r="CV395" s="346"/>
      <c r="CW395" s="346"/>
      <c r="CX395" s="346"/>
      <c r="CY395" s="346"/>
      <c r="CZ395" s="346"/>
      <c r="DA395" s="346"/>
      <c r="DB395" s="346"/>
      <c r="DC395" s="346"/>
      <c r="DD395" s="346"/>
      <c r="DE395" s="346"/>
      <c r="DF395" s="346"/>
      <c r="DG395" s="346"/>
      <c r="DH395" s="346"/>
      <c r="DI395" s="346"/>
    </row>
    <row r="396" spans="1:113" x14ac:dyDescent="0.25">
      <c r="A396" s="152">
        <v>3</v>
      </c>
      <c r="B396" s="79" t="s">
        <v>442</v>
      </c>
      <c r="C396" s="80">
        <v>7000</v>
      </c>
      <c r="D396" s="142">
        <v>1700</v>
      </c>
      <c r="E396" s="43">
        <v>200</v>
      </c>
      <c r="F396" s="60"/>
      <c r="G396" s="139">
        <f t="shared" si="102"/>
        <v>200</v>
      </c>
      <c r="H396" s="55"/>
      <c r="I396" s="56">
        <f t="shared" si="103"/>
        <v>200</v>
      </c>
      <c r="J396" s="56">
        <f t="shared" si="104"/>
        <v>1400000</v>
      </c>
      <c r="K396" s="57">
        <f t="shared" si="105"/>
        <v>340000</v>
      </c>
      <c r="L396"/>
      <c r="M396" s="314">
        <f t="shared" si="101"/>
        <v>568</v>
      </c>
      <c r="N396" s="310">
        <f>100+100+100+50</f>
        <v>350</v>
      </c>
      <c r="O396" s="315">
        <v>26</v>
      </c>
      <c r="P396" s="315">
        <v>100</v>
      </c>
      <c r="Q396" s="315">
        <v>50</v>
      </c>
      <c r="R396" s="315">
        <v>42</v>
      </c>
      <c r="S396" s="55"/>
      <c r="T396" s="55"/>
      <c r="U396" s="55"/>
      <c r="V396" s="55"/>
      <c r="W396" s="55"/>
      <c r="X396" s="55"/>
      <c r="Y396" s="55"/>
      <c r="Z396" s="55"/>
      <c r="AA396" s="55"/>
      <c r="AB396" s="55"/>
      <c r="AC396" s="55"/>
      <c r="AD396" s="55"/>
      <c r="AE396" s="55"/>
      <c r="AF396" s="55"/>
      <c r="AG396" s="55"/>
      <c r="AH396" s="55"/>
      <c r="AI396" s="55"/>
      <c r="AJ396" s="55"/>
      <c r="AK396" s="55"/>
      <c r="AL396" s="55"/>
      <c r="AM396" s="55"/>
      <c r="AN396" s="55"/>
      <c r="AO396" s="55"/>
      <c r="AP396" s="55"/>
      <c r="AQ396" s="55"/>
      <c r="AR396" s="55"/>
      <c r="AS396" s="55"/>
      <c r="AT396" s="55"/>
      <c r="AU396" s="55"/>
      <c r="AV396" s="55"/>
      <c r="AW396" s="55"/>
      <c r="AX396" s="55"/>
      <c r="AY396" s="55"/>
      <c r="AZ396" s="55"/>
      <c r="BA396" s="55"/>
      <c r="BB396" s="55"/>
      <c r="BC396" s="55"/>
      <c r="BD396" s="55"/>
      <c r="BE396" s="55"/>
      <c r="BF396" s="55"/>
      <c r="BG396" s="55"/>
      <c r="BH396" s="55"/>
      <c r="BI396" s="55"/>
      <c r="BJ396" s="55"/>
      <c r="BK396" s="55"/>
      <c r="BL396" s="55"/>
      <c r="BM396" s="55"/>
      <c r="BN396" s="55"/>
      <c r="BO396" s="55"/>
      <c r="BP396" s="55"/>
      <c r="BQ396" s="55"/>
      <c r="BR396" s="55"/>
      <c r="BS396" s="55"/>
      <c r="BT396" s="55"/>
      <c r="BU396" s="55"/>
      <c r="BV396" s="55"/>
      <c r="BW396" s="55"/>
      <c r="BX396" s="55"/>
      <c r="BY396" s="55"/>
      <c r="BZ396" s="55"/>
      <c r="CA396" s="55"/>
      <c r="CB396" s="55"/>
      <c r="CC396" s="55"/>
      <c r="CD396" s="55"/>
      <c r="CE396" s="55"/>
      <c r="CF396" s="55"/>
      <c r="CG396" s="55"/>
      <c r="CH396" s="55"/>
      <c r="CI396" s="55"/>
      <c r="CJ396" s="55"/>
      <c r="CK396" s="55"/>
      <c r="CL396" s="55"/>
      <c r="CM396" s="55"/>
      <c r="CN396" s="55"/>
      <c r="CO396" s="55"/>
      <c r="CP396" s="55"/>
      <c r="CQ396" s="55"/>
      <c r="CR396" s="55"/>
      <c r="CS396" s="55"/>
      <c r="CT396" s="55"/>
      <c r="CU396" s="55"/>
      <c r="CV396" s="55"/>
      <c r="CW396" s="55"/>
      <c r="CX396" s="55"/>
      <c r="CY396" s="55"/>
      <c r="CZ396" s="55"/>
      <c r="DA396" s="55"/>
      <c r="DB396" s="55"/>
      <c r="DC396" s="55"/>
      <c r="DD396" s="55"/>
      <c r="DE396" s="55"/>
      <c r="DF396" s="55"/>
      <c r="DG396" s="55"/>
      <c r="DH396" s="55"/>
      <c r="DI396" s="55"/>
    </row>
    <row r="397" spans="1:113" x14ac:dyDescent="0.25">
      <c r="A397" s="152">
        <v>4</v>
      </c>
      <c r="B397" s="79" t="s">
        <v>855</v>
      </c>
      <c r="C397" s="80">
        <v>36000</v>
      </c>
      <c r="D397" s="101">
        <f>1591*8</f>
        <v>12728</v>
      </c>
      <c r="E397" s="43">
        <f>100+100</f>
        <v>200</v>
      </c>
      <c r="F397" s="60"/>
      <c r="G397" s="139">
        <f t="shared" si="102"/>
        <v>200</v>
      </c>
      <c r="H397" s="55"/>
      <c r="I397" s="56">
        <f t="shared" si="103"/>
        <v>200</v>
      </c>
      <c r="J397" s="56">
        <f t="shared" si="104"/>
        <v>7200000</v>
      </c>
      <c r="K397" s="57">
        <f t="shared" si="105"/>
        <v>2545600</v>
      </c>
      <c r="L397"/>
      <c r="M397" s="314">
        <f t="shared" si="101"/>
        <v>0</v>
      </c>
      <c r="N397" s="310"/>
      <c r="O397" s="315"/>
      <c r="P397" s="315"/>
      <c r="Q397" s="315"/>
      <c r="R397" s="315"/>
      <c r="S397" s="55"/>
      <c r="T397" s="55"/>
      <c r="U397" s="55"/>
      <c r="V397" s="55"/>
      <c r="W397" s="55"/>
      <c r="X397" s="55"/>
      <c r="Y397" s="55"/>
      <c r="Z397" s="55"/>
      <c r="AA397" s="55"/>
      <c r="AB397" s="55"/>
      <c r="AC397" s="55"/>
      <c r="AD397" s="55"/>
      <c r="AE397" s="55"/>
      <c r="AF397" s="55"/>
      <c r="AG397" s="55"/>
      <c r="AH397" s="55"/>
      <c r="AI397" s="55"/>
      <c r="AJ397" s="55"/>
      <c r="AK397" s="55"/>
      <c r="AL397" s="55"/>
      <c r="AM397" s="55"/>
      <c r="AN397" s="55"/>
      <c r="AO397" s="55"/>
      <c r="AP397" s="55"/>
      <c r="AQ397" s="55"/>
      <c r="AR397" s="55"/>
      <c r="AS397" s="55"/>
      <c r="AT397" s="55"/>
      <c r="AU397" s="55"/>
      <c r="AV397" s="55"/>
      <c r="AW397" s="55"/>
      <c r="AX397" s="55"/>
      <c r="AY397" s="55"/>
      <c r="AZ397" s="55"/>
      <c r="BA397" s="55"/>
      <c r="BB397" s="55"/>
      <c r="BC397" s="55"/>
      <c r="BD397" s="55"/>
      <c r="BE397" s="55"/>
      <c r="BF397" s="55"/>
      <c r="BG397" s="55"/>
      <c r="BH397" s="55"/>
      <c r="BI397" s="55"/>
      <c r="BJ397" s="55"/>
      <c r="BK397" s="55"/>
      <c r="BL397" s="55"/>
      <c r="BM397" s="55"/>
      <c r="BN397" s="55"/>
      <c r="BO397" s="55"/>
      <c r="BP397" s="55"/>
      <c r="BQ397" s="55"/>
      <c r="BR397" s="55"/>
      <c r="BS397" s="55"/>
      <c r="BT397" s="55"/>
      <c r="BU397" s="55"/>
      <c r="BV397" s="55"/>
      <c r="BW397" s="55"/>
      <c r="BX397" s="55"/>
      <c r="BY397" s="55"/>
      <c r="BZ397" s="55"/>
      <c r="CA397" s="55"/>
      <c r="CB397" s="55"/>
      <c r="CC397" s="55"/>
      <c r="CD397" s="55"/>
      <c r="CE397" s="55"/>
      <c r="CF397" s="55"/>
      <c r="CG397" s="55"/>
      <c r="CH397" s="55"/>
      <c r="CI397" s="55"/>
      <c r="CJ397" s="55"/>
      <c r="CK397" s="55"/>
      <c r="CL397" s="55"/>
      <c r="CM397" s="55"/>
      <c r="CN397" s="55"/>
      <c r="CO397" s="55"/>
      <c r="CP397" s="55"/>
      <c r="CQ397" s="55"/>
      <c r="CR397" s="55"/>
      <c r="CS397" s="55"/>
      <c r="CT397" s="55"/>
      <c r="CU397" s="55"/>
      <c r="CV397" s="55"/>
      <c r="CW397" s="55"/>
      <c r="CX397" s="55"/>
      <c r="CY397" s="55"/>
      <c r="CZ397" s="55"/>
      <c r="DA397" s="55"/>
      <c r="DB397" s="55"/>
      <c r="DC397" s="55"/>
      <c r="DD397" s="55"/>
      <c r="DE397" s="55"/>
      <c r="DF397" s="55"/>
      <c r="DG397" s="55"/>
      <c r="DH397" s="55"/>
      <c r="DI397" s="55"/>
    </row>
    <row r="398" spans="1:113" x14ac:dyDescent="0.25">
      <c r="A398" s="380"/>
      <c r="B398" s="340"/>
      <c r="C398" s="341"/>
      <c r="D398" s="373"/>
      <c r="E398" s="344"/>
      <c r="F398" s="350"/>
      <c r="G398" s="356"/>
      <c r="H398" s="346"/>
      <c r="I398" s="345"/>
      <c r="J398" s="345"/>
      <c r="K398" s="347"/>
      <c r="L398"/>
      <c r="M398" s="348"/>
      <c r="N398" s="310" t="s">
        <v>1062</v>
      </c>
      <c r="O398" s="349" t="s">
        <v>1066</v>
      </c>
      <c r="P398" s="349">
        <v>-41</v>
      </c>
      <c r="Q398" s="349">
        <v>-41</v>
      </c>
      <c r="R398" s="349" t="s">
        <v>1067</v>
      </c>
      <c r="S398" s="346" t="s">
        <v>1044</v>
      </c>
      <c r="T398" s="346" t="s">
        <v>1064</v>
      </c>
      <c r="U398" s="346" t="s">
        <v>1064</v>
      </c>
      <c r="V398" s="346" t="s">
        <v>1002</v>
      </c>
      <c r="W398" s="346"/>
      <c r="X398" s="346"/>
      <c r="Y398" s="346"/>
      <c r="Z398" s="346"/>
      <c r="AA398" s="346"/>
      <c r="AB398" s="346"/>
      <c r="AC398" s="346"/>
      <c r="AD398" s="346"/>
      <c r="AE398" s="346"/>
      <c r="AF398" s="346"/>
      <c r="AG398" s="346"/>
      <c r="AH398" s="346"/>
      <c r="AI398" s="346"/>
      <c r="AJ398" s="346"/>
      <c r="AK398" s="346"/>
      <c r="AL398" s="346"/>
      <c r="AM398" s="346"/>
      <c r="AN398" s="346"/>
      <c r="AO398" s="346"/>
      <c r="AP398" s="346"/>
      <c r="AQ398" s="346"/>
      <c r="AR398" s="346"/>
      <c r="AS398" s="346"/>
      <c r="AT398" s="346"/>
      <c r="AU398" s="346"/>
      <c r="AV398" s="346"/>
      <c r="AW398" s="346"/>
      <c r="AX398" s="346"/>
      <c r="AY398" s="346"/>
      <c r="AZ398" s="346"/>
      <c r="BA398" s="346"/>
      <c r="BB398" s="346"/>
      <c r="BC398" s="346"/>
      <c r="BD398" s="346"/>
      <c r="BE398" s="346"/>
      <c r="BF398" s="346"/>
      <c r="BG398" s="346"/>
      <c r="BH398" s="346"/>
      <c r="BI398" s="346"/>
      <c r="BJ398" s="346"/>
      <c r="BK398" s="346"/>
      <c r="BL398" s="346"/>
      <c r="BM398" s="346"/>
      <c r="BN398" s="346"/>
      <c r="BO398" s="346"/>
      <c r="BP398" s="346"/>
      <c r="BQ398" s="346"/>
      <c r="BR398" s="346"/>
      <c r="BS398" s="346"/>
      <c r="BT398" s="346"/>
      <c r="BU398" s="346"/>
      <c r="BV398" s="346"/>
      <c r="BW398" s="346"/>
      <c r="BX398" s="346"/>
      <c r="BY398" s="346"/>
      <c r="BZ398" s="346"/>
      <c r="CA398" s="346"/>
      <c r="CB398" s="346"/>
      <c r="CC398" s="346"/>
      <c r="CD398" s="346"/>
      <c r="CE398" s="346"/>
      <c r="CF398" s="346"/>
      <c r="CG398" s="346"/>
      <c r="CH398" s="346"/>
      <c r="CI398" s="346"/>
      <c r="CJ398" s="346"/>
      <c r="CK398" s="346"/>
      <c r="CL398" s="346"/>
      <c r="CM398" s="346"/>
      <c r="CN398" s="346"/>
      <c r="CO398" s="346"/>
      <c r="CP398" s="346"/>
      <c r="CQ398" s="346"/>
      <c r="CR398" s="346"/>
      <c r="CS398" s="346"/>
      <c r="CT398" s="346"/>
      <c r="CU398" s="346"/>
      <c r="CV398" s="346"/>
      <c r="CW398" s="346"/>
      <c r="CX398" s="346"/>
      <c r="CY398" s="346"/>
      <c r="CZ398" s="346"/>
      <c r="DA398" s="346"/>
      <c r="DB398" s="346"/>
      <c r="DC398" s="346"/>
      <c r="DD398" s="346"/>
      <c r="DE398" s="346"/>
      <c r="DF398" s="346"/>
      <c r="DG398" s="346"/>
      <c r="DH398" s="346"/>
      <c r="DI398" s="346"/>
    </row>
    <row r="399" spans="1:113" x14ac:dyDescent="0.25">
      <c r="A399" s="152">
        <v>5</v>
      </c>
      <c r="B399" s="79" t="s">
        <v>633</v>
      </c>
      <c r="C399" s="80">
        <v>6000</v>
      </c>
      <c r="D399" s="142">
        <f>+'[2]SHP,SP'!$D$762</f>
        <v>2103</v>
      </c>
      <c r="E399" s="43">
        <v>60</v>
      </c>
      <c r="F399" s="60"/>
      <c r="G399" s="139">
        <f t="shared" si="102"/>
        <v>60</v>
      </c>
      <c r="H399" s="55"/>
      <c r="I399" s="56">
        <f t="shared" si="103"/>
        <v>60</v>
      </c>
      <c r="J399" s="56">
        <f t="shared" si="104"/>
        <v>360000</v>
      </c>
      <c r="K399" s="57">
        <f t="shared" si="105"/>
        <v>126180</v>
      </c>
      <c r="L399"/>
      <c r="M399" s="314">
        <f t="shared" si="101"/>
        <v>981</v>
      </c>
      <c r="N399" s="310">
        <v>27</v>
      </c>
      <c r="O399" s="315">
        <v>93</v>
      </c>
      <c r="P399" s="315">
        <v>50</v>
      </c>
      <c r="Q399" s="315">
        <v>58</v>
      </c>
      <c r="R399" s="315">
        <f>100*5+50</f>
        <v>550</v>
      </c>
      <c r="S399" s="55">
        <v>50</v>
      </c>
      <c r="T399" s="55">
        <v>50</v>
      </c>
      <c r="U399" s="55">
        <v>39</v>
      </c>
      <c r="V399" s="55">
        <v>64</v>
      </c>
      <c r="W399" s="55"/>
      <c r="X399" s="55"/>
      <c r="Y399" s="55"/>
      <c r="Z399" s="55"/>
      <c r="AA399" s="55"/>
      <c r="AB399" s="55"/>
      <c r="AC399" s="55"/>
      <c r="AD399" s="55"/>
      <c r="AE399" s="55"/>
      <c r="AF399" s="55"/>
      <c r="AG399" s="55"/>
      <c r="AH399" s="55"/>
      <c r="AI399" s="55"/>
      <c r="AJ399" s="55"/>
      <c r="AK399" s="55"/>
      <c r="AL399" s="55"/>
      <c r="AM399" s="55"/>
      <c r="AN399" s="55"/>
      <c r="AO399" s="55"/>
      <c r="AP399" s="55"/>
      <c r="AQ399" s="55"/>
      <c r="AR399" s="55"/>
      <c r="AS399" s="55"/>
      <c r="AT399" s="55"/>
      <c r="AU399" s="55"/>
      <c r="AV399" s="55"/>
      <c r="AW399" s="55"/>
      <c r="AX399" s="55"/>
      <c r="AY399" s="55"/>
      <c r="AZ399" s="55"/>
      <c r="BA399" s="55"/>
      <c r="BB399" s="55"/>
      <c r="BC399" s="55"/>
      <c r="BD399" s="55"/>
      <c r="BE399" s="55"/>
      <c r="BF399" s="55"/>
      <c r="BG399" s="55"/>
      <c r="BH399" s="55"/>
      <c r="BI399" s="55"/>
      <c r="BJ399" s="55"/>
      <c r="BK399" s="55"/>
      <c r="BL399" s="55"/>
      <c r="BM399" s="55"/>
      <c r="BN399" s="55"/>
      <c r="BO399" s="55"/>
      <c r="BP399" s="55"/>
      <c r="BQ399" s="55"/>
      <c r="BR399" s="55"/>
      <c r="BS399" s="55"/>
      <c r="BT399" s="55"/>
      <c r="BU399" s="55"/>
      <c r="BV399" s="55"/>
      <c r="BW399" s="55"/>
      <c r="BX399" s="55"/>
      <c r="BY399" s="55"/>
      <c r="BZ399" s="55"/>
      <c r="CA399" s="55"/>
      <c r="CB399" s="55"/>
      <c r="CC399" s="55"/>
      <c r="CD399" s="55"/>
      <c r="CE399" s="55"/>
      <c r="CF399" s="55"/>
      <c r="CG399" s="55"/>
      <c r="CH399" s="55"/>
      <c r="CI399" s="55"/>
      <c r="CJ399" s="55"/>
      <c r="CK399" s="55"/>
      <c r="CL399" s="55"/>
      <c r="CM399" s="55"/>
      <c r="CN399" s="55"/>
      <c r="CO399" s="55"/>
      <c r="CP399" s="55"/>
      <c r="CQ399" s="55"/>
      <c r="CR399" s="55"/>
      <c r="CS399" s="55"/>
      <c r="CT399" s="55"/>
      <c r="CU399" s="55"/>
      <c r="CV399" s="55"/>
      <c r="CW399" s="55"/>
      <c r="CX399" s="55"/>
      <c r="CY399" s="55"/>
      <c r="CZ399" s="55"/>
      <c r="DA399" s="55"/>
      <c r="DB399" s="55"/>
      <c r="DC399" s="55"/>
      <c r="DD399" s="55"/>
      <c r="DE399" s="55"/>
      <c r="DF399" s="55"/>
      <c r="DG399" s="55"/>
      <c r="DH399" s="55"/>
      <c r="DI399" s="55"/>
    </row>
    <row r="400" spans="1:113" x14ac:dyDescent="0.25">
      <c r="A400" s="380"/>
      <c r="B400" s="340"/>
      <c r="C400" s="341"/>
      <c r="D400" s="381"/>
      <c r="E400" s="344"/>
      <c r="F400" s="350"/>
      <c r="G400" s="356"/>
      <c r="H400" s="346"/>
      <c r="I400" s="345"/>
      <c r="J400" s="345"/>
      <c r="K400" s="347"/>
      <c r="L400"/>
      <c r="M400" s="348"/>
      <c r="N400" s="310" t="s">
        <v>1067</v>
      </c>
      <c r="O400" s="349" t="s">
        <v>1066</v>
      </c>
      <c r="P400" s="349" t="s">
        <v>1064</v>
      </c>
      <c r="Q400" s="349" t="s">
        <v>1046</v>
      </c>
      <c r="R400" s="349" t="s">
        <v>1002</v>
      </c>
      <c r="S400" s="346"/>
      <c r="T400" s="346"/>
      <c r="U400" s="346"/>
      <c r="V400" s="346"/>
      <c r="W400" s="346"/>
      <c r="X400" s="346"/>
      <c r="Y400" s="346"/>
      <c r="Z400" s="346"/>
      <c r="AA400" s="346"/>
      <c r="AB400" s="346"/>
      <c r="AC400" s="346"/>
      <c r="AD400" s="346"/>
      <c r="AE400" s="346"/>
      <c r="AF400" s="346"/>
      <c r="AG400" s="346"/>
      <c r="AH400" s="346"/>
      <c r="AI400" s="346"/>
      <c r="AJ400" s="346"/>
      <c r="AK400" s="346"/>
      <c r="AL400" s="346"/>
      <c r="AM400" s="346"/>
      <c r="AN400" s="346"/>
      <c r="AO400" s="346"/>
      <c r="AP400" s="346"/>
      <c r="AQ400" s="346"/>
      <c r="AR400" s="346"/>
      <c r="AS400" s="346"/>
      <c r="AT400" s="346"/>
      <c r="AU400" s="346"/>
      <c r="AV400" s="346"/>
      <c r="AW400" s="346"/>
      <c r="AX400" s="346"/>
      <c r="AY400" s="346"/>
      <c r="AZ400" s="346"/>
      <c r="BA400" s="346"/>
      <c r="BB400" s="346"/>
      <c r="BC400" s="346"/>
      <c r="BD400" s="346"/>
      <c r="BE400" s="346"/>
      <c r="BF400" s="346"/>
      <c r="BG400" s="346"/>
      <c r="BH400" s="346"/>
      <c r="BI400" s="346"/>
      <c r="BJ400" s="346"/>
      <c r="BK400" s="346"/>
      <c r="BL400" s="346"/>
      <c r="BM400" s="346"/>
      <c r="BN400" s="346"/>
      <c r="BO400" s="346"/>
      <c r="BP400" s="346"/>
      <c r="BQ400" s="346"/>
      <c r="BR400" s="346"/>
      <c r="BS400" s="346"/>
      <c r="BT400" s="346"/>
      <c r="BU400" s="346"/>
      <c r="BV400" s="346"/>
      <c r="BW400" s="346"/>
      <c r="BX400" s="346"/>
      <c r="BY400" s="346"/>
      <c r="BZ400" s="346"/>
      <c r="CA400" s="346"/>
      <c r="CB400" s="346"/>
      <c r="CC400" s="346"/>
      <c r="CD400" s="346"/>
      <c r="CE400" s="346"/>
      <c r="CF400" s="346"/>
      <c r="CG400" s="346"/>
      <c r="CH400" s="346"/>
      <c r="CI400" s="346"/>
      <c r="CJ400" s="346"/>
      <c r="CK400" s="346"/>
      <c r="CL400" s="346"/>
      <c r="CM400" s="346"/>
      <c r="CN400" s="346"/>
      <c r="CO400" s="346"/>
      <c r="CP400" s="346"/>
      <c r="CQ400" s="346"/>
      <c r="CR400" s="346"/>
      <c r="CS400" s="346"/>
      <c r="CT400" s="346"/>
      <c r="CU400" s="346"/>
      <c r="CV400" s="346"/>
      <c r="CW400" s="346"/>
      <c r="CX400" s="346"/>
      <c r="CY400" s="346"/>
      <c r="CZ400" s="346"/>
      <c r="DA400" s="346"/>
      <c r="DB400" s="346"/>
      <c r="DC400" s="346"/>
      <c r="DD400" s="346"/>
      <c r="DE400" s="346"/>
      <c r="DF400" s="346"/>
      <c r="DG400" s="346"/>
      <c r="DH400" s="346"/>
      <c r="DI400" s="346"/>
    </row>
    <row r="401" spans="1:113" x14ac:dyDescent="0.25">
      <c r="A401" s="152">
        <v>6</v>
      </c>
      <c r="B401" s="216" t="s">
        <v>443</v>
      </c>
      <c r="C401" s="80">
        <f>+'[7]KEL C-2'!$GF$4</f>
        <v>12000</v>
      </c>
      <c r="D401" s="60"/>
      <c r="E401" s="43">
        <v>100</v>
      </c>
      <c r="F401" s="60"/>
      <c r="G401" s="139">
        <f t="shared" si="102"/>
        <v>100</v>
      </c>
      <c r="H401" s="55"/>
      <c r="I401" s="56">
        <f t="shared" si="103"/>
        <v>100</v>
      </c>
      <c r="J401" s="56">
        <f t="shared" si="104"/>
        <v>1200000</v>
      </c>
      <c r="K401" s="57">
        <f t="shared" si="105"/>
        <v>0</v>
      </c>
      <c r="L401"/>
      <c r="M401" s="314">
        <f t="shared" si="101"/>
        <v>811</v>
      </c>
      <c r="N401" s="310">
        <f>100+100+100+100+100+50</f>
        <v>550</v>
      </c>
      <c r="O401" s="315">
        <v>97</v>
      </c>
      <c r="P401" s="315">
        <v>100</v>
      </c>
      <c r="Q401" s="315">
        <v>41</v>
      </c>
      <c r="R401" s="315">
        <v>23</v>
      </c>
      <c r="S401" s="55"/>
      <c r="T401" s="55"/>
      <c r="U401" s="55"/>
      <c r="V401" s="55"/>
      <c r="W401" s="55"/>
      <c r="X401" s="55"/>
      <c r="Y401" s="55"/>
      <c r="Z401" s="55"/>
      <c r="AA401" s="55"/>
      <c r="AB401" s="55"/>
      <c r="AC401" s="55"/>
      <c r="AD401" s="55"/>
      <c r="AE401" s="55"/>
      <c r="AF401" s="55"/>
      <c r="AG401" s="55"/>
      <c r="AH401" s="55"/>
      <c r="AI401" s="55"/>
      <c r="AJ401" s="55"/>
      <c r="AK401" s="55"/>
      <c r="AL401" s="55"/>
      <c r="AM401" s="55"/>
      <c r="AN401" s="55"/>
      <c r="AO401" s="55"/>
      <c r="AP401" s="55"/>
      <c r="AQ401" s="55"/>
      <c r="AR401" s="55"/>
      <c r="AS401" s="55"/>
      <c r="AT401" s="55"/>
      <c r="AU401" s="55"/>
      <c r="AV401" s="55"/>
      <c r="AW401" s="55"/>
      <c r="AX401" s="55"/>
      <c r="AY401" s="55"/>
      <c r="AZ401" s="55"/>
      <c r="BA401" s="55"/>
      <c r="BB401" s="55"/>
      <c r="BC401" s="55"/>
      <c r="BD401" s="55"/>
      <c r="BE401" s="55"/>
      <c r="BF401" s="55"/>
      <c r="BG401" s="55"/>
      <c r="BH401" s="55"/>
      <c r="BI401" s="55"/>
      <c r="BJ401" s="55"/>
      <c r="BK401" s="55"/>
      <c r="BL401" s="55"/>
      <c r="BM401" s="55"/>
      <c r="BN401" s="55"/>
      <c r="BO401" s="55"/>
      <c r="BP401" s="55"/>
      <c r="BQ401" s="55"/>
      <c r="BR401" s="55"/>
      <c r="BS401" s="55"/>
      <c r="BT401" s="55"/>
      <c r="BU401" s="55"/>
      <c r="BV401" s="55"/>
      <c r="BW401" s="55"/>
      <c r="BX401" s="55"/>
      <c r="BY401" s="55"/>
      <c r="BZ401" s="55"/>
      <c r="CA401" s="55"/>
      <c r="CB401" s="55"/>
      <c r="CC401" s="55"/>
      <c r="CD401" s="55"/>
      <c r="CE401" s="55"/>
      <c r="CF401" s="55"/>
      <c r="CG401" s="55"/>
      <c r="CH401" s="55"/>
      <c r="CI401" s="55"/>
      <c r="CJ401" s="55"/>
      <c r="CK401" s="55"/>
      <c r="CL401" s="55"/>
      <c r="CM401" s="55"/>
      <c r="CN401" s="55"/>
      <c r="CO401" s="55"/>
      <c r="CP401" s="55"/>
      <c r="CQ401" s="55"/>
      <c r="CR401" s="55"/>
      <c r="CS401" s="55"/>
      <c r="CT401" s="55"/>
      <c r="CU401" s="55"/>
      <c r="CV401" s="55"/>
      <c r="CW401" s="55"/>
      <c r="CX401" s="55"/>
      <c r="CY401" s="55"/>
      <c r="CZ401" s="55"/>
      <c r="DA401" s="55"/>
      <c r="DB401" s="55"/>
      <c r="DC401" s="55"/>
      <c r="DD401" s="55"/>
      <c r="DE401" s="55"/>
      <c r="DF401" s="55"/>
      <c r="DG401" s="55"/>
      <c r="DH401" s="55"/>
      <c r="DI401" s="55"/>
    </row>
    <row r="402" spans="1:113" x14ac:dyDescent="0.25">
      <c r="A402" s="380"/>
      <c r="B402" s="393"/>
      <c r="C402" s="341"/>
      <c r="D402" s="350"/>
      <c r="E402" s="344"/>
      <c r="F402" s="350"/>
      <c r="G402" s="356"/>
      <c r="H402" s="346"/>
      <c r="I402" s="345"/>
      <c r="J402" s="345"/>
      <c r="K402" s="347"/>
      <c r="L402"/>
      <c r="M402" s="348"/>
      <c r="N402" s="310" t="s">
        <v>1002</v>
      </c>
      <c r="O402" s="349" t="s">
        <v>1063</v>
      </c>
      <c r="P402" s="349" t="s">
        <v>1064</v>
      </c>
      <c r="Q402" s="349" t="s">
        <v>1065</v>
      </c>
      <c r="R402" s="349" t="s">
        <v>1066</v>
      </c>
      <c r="S402" s="346" t="s">
        <v>1062</v>
      </c>
      <c r="T402" s="346" t="s">
        <v>1044</v>
      </c>
      <c r="U402" s="346"/>
      <c r="V402" s="346"/>
      <c r="W402" s="346"/>
      <c r="X402" s="346"/>
      <c r="Y402" s="346"/>
      <c r="Z402" s="346"/>
      <c r="AA402" s="346"/>
      <c r="AB402" s="346"/>
      <c r="AC402" s="346"/>
      <c r="AD402" s="346"/>
      <c r="AE402" s="346"/>
      <c r="AF402" s="346"/>
      <c r="AG402" s="346"/>
      <c r="AH402" s="346"/>
      <c r="AI402" s="346"/>
      <c r="AJ402" s="346"/>
      <c r="AK402" s="346"/>
      <c r="AL402" s="346"/>
      <c r="AM402" s="346"/>
      <c r="AN402" s="346"/>
      <c r="AO402" s="346"/>
      <c r="AP402" s="346"/>
      <c r="AQ402" s="346"/>
      <c r="AR402" s="346"/>
      <c r="AS402" s="346"/>
      <c r="AT402" s="346"/>
      <c r="AU402" s="346"/>
      <c r="AV402" s="346"/>
      <c r="AW402" s="346"/>
      <c r="AX402" s="346"/>
      <c r="AY402" s="346"/>
      <c r="AZ402" s="346"/>
      <c r="BA402" s="346"/>
      <c r="BB402" s="346"/>
      <c r="BC402" s="346"/>
      <c r="BD402" s="346"/>
      <c r="BE402" s="346"/>
      <c r="BF402" s="346"/>
      <c r="BG402" s="346"/>
      <c r="BH402" s="346"/>
      <c r="BI402" s="346"/>
      <c r="BJ402" s="346"/>
      <c r="BK402" s="346"/>
      <c r="BL402" s="346"/>
      <c r="BM402" s="346"/>
      <c r="BN402" s="346"/>
      <c r="BO402" s="346"/>
      <c r="BP402" s="346"/>
      <c r="BQ402" s="346"/>
      <c r="BR402" s="346"/>
      <c r="BS402" s="346"/>
      <c r="BT402" s="346"/>
      <c r="BU402" s="346"/>
      <c r="BV402" s="346"/>
      <c r="BW402" s="346"/>
      <c r="BX402" s="346"/>
      <c r="BY402" s="346"/>
      <c r="BZ402" s="346"/>
      <c r="CA402" s="346"/>
      <c r="CB402" s="346"/>
      <c r="CC402" s="346"/>
      <c r="CD402" s="346"/>
      <c r="CE402" s="346"/>
      <c r="CF402" s="346"/>
      <c r="CG402" s="346"/>
      <c r="CH402" s="346"/>
      <c r="CI402" s="346"/>
      <c r="CJ402" s="346"/>
      <c r="CK402" s="346"/>
      <c r="CL402" s="346"/>
      <c r="CM402" s="346"/>
      <c r="CN402" s="346"/>
      <c r="CO402" s="346"/>
      <c r="CP402" s="346"/>
      <c r="CQ402" s="346"/>
      <c r="CR402" s="346"/>
      <c r="CS402" s="346"/>
      <c r="CT402" s="346"/>
      <c r="CU402" s="346"/>
      <c r="CV402" s="346"/>
      <c r="CW402" s="346"/>
      <c r="CX402" s="346"/>
      <c r="CY402" s="346"/>
      <c r="CZ402" s="346"/>
      <c r="DA402" s="346"/>
      <c r="DB402" s="346"/>
      <c r="DC402" s="346"/>
      <c r="DD402" s="346"/>
      <c r="DE402" s="346"/>
      <c r="DF402" s="346"/>
      <c r="DG402" s="346"/>
      <c r="DH402" s="346"/>
      <c r="DI402" s="346"/>
    </row>
    <row r="403" spans="1:113" x14ac:dyDescent="0.25">
      <c r="A403" s="152">
        <v>7</v>
      </c>
      <c r="B403" s="79" t="s">
        <v>444</v>
      </c>
      <c r="C403" s="80">
        <f>+'[7]KEL C-2'!$FX$4</f>
        <v>7000</v>
      </c>
      <c r="D403" s="60"/>
      <c r="E403" s="43">
        <v>100</v>
      </c>
      <c r="F403" s="60"/>
      <c r="G403" s="139">
        <f t="shared" si="102"/>
        <v>100</v>
      </c>
      <c r="H403" s="55"/>
      <c r="I403" s="56">
        <f t="shared" si="103"/>
        <v>100</v>
      </c>
      <c r="J403" s="56">
        <f t="shared" si="104"/>
        <v>700000</v>
      </c>
      <c r="K403" s="57">
        <f t="shared" si="105"/>
        <v>0</v>
      </c>
      <c r="L403"/>
      <c r="M403" s="314">
        <f t="shared" si="101"/>
        <v>800</v>
      </c>
      <c r="N403" s="310">
        <v>64</v>
      </c>
      <c r="O403" s="315">
        <v>95</v>
      </c>
      <c r="P403" s="315">
        <v>100</v>
      </c>
      <c r="Q403" s="315">
        <f>100+100+100+50</f>
        <v>350</v>
      </c>
      <c r="R403" s="315">
        <v>92</v>
      </c>
      <c r="S403" s="55">
        <v>49</v>
      </c>
      <c r="T403" s="55">
        <v>50</v>
      </c>
      <c r="U403" s="55"/>
      <c r="V403" s="55"/>
      <c r="W403" s="55"/>
      <c r="X403" s="55"/>
      <c r="Y403" s="55"/>
      <c r="Z403" s="55"/>
      <c r="AA403" s="55"/>
      <c r="AB403" s="55"/>
      <c r="AC403" s="55"/>
      <c r="AD403" s="55"/>
      <c r="AE403" s="55"/>
      <c r="AF403" s="55"/>
      <c r="AG403" s="55"/>
      <c r="AH403" s="55"/>
      <c r="AI403" s="55"/>
      <c r="AJ403" s="55"/>
      <c r="AK403" s="55"/>
      <c r="AL403" s="55"/>
      <c r="AM403" s="55"/>
      <c r="AN403" s="55"/>
      <c r="AO403" s="55"/>
      <c r="AP403" s="55"/>
      <c r="AQ403" s="55"/>
      <c r="AR403" s="55"/>
      <c r="AS403" s="55"/>
      <c r="AT403" s="55"/>
      <c r="AU403" s="55"/>
      <c r="AV403" s="55"/>
      <c r="AW403" s="55"/>
      <c r="AX403" s="55"/>
      <c r="AY403" s="55"/>
      <c r="AZ403" s="55"/>
      <c r="BA403" s="55"/>
      <c r="BB403" s="55"/>
      <c r="BC403" s="55"/>
      <c r="BD403" s="55"/>
      <c r="BE403" s="55"/>
      <c r="BF403" s="55"/>
      <c r="BG403" s="55"/>
      <c r="BH403" s="55"/>
      <c r="BI403" s="55"/>
      <c r="BJ403" s="55"/>
      <c r="BK403" s="55"/>
      <c r="BL403" s="55"/>
      <c r="BM403" s="55"/>
      <c r="BN403" s="55"/>
      <c r="BO403" s="55"/>
      <c r="BP403" s="55"/>
      <c r="BQ403" s="55"/>
      <c r="BR403" s="55"/>
      <c r="BS403" s="55"/>
      <c r="BT403" s="55"/>
      <c r="BU403" s="55"/>
      <c r="BV403" s="55"/>
      <c r="BW403" s="55"/>
      <c r="BX403" s="55"/>
      <c r="BY403" s="55"/>
      <c r="BZ403" s="55"/>
      <c r="CA403" s="55"/>
      <c r="CB403" s="55"/>
      <c r="CC403" s="55"/>
      <c r="CD403" s="55"/>
      <c r="CE403" s="55"/>
      <c r="CF403" s="55"/>
      <c r="CG403" s="55"/>
      <c r="CH403" s="55"/>
      <c r="CI403" s="55"/>
      <c r="CJ403" s="55"/>
      <c r="CK403" s="55"/>
      <c r="CL403" s="55"/>
      <c r="CM403" s="55"/>
      <c r="CN403" s="55"/>
      <c r="CO403" s="55"/>
      <c r="CP403" s="55"/>
      <c r="CQ403" s="55"/>
      <c r="CR403" s="55"/>
      <c r="CS403" s="55"/>
      <c r="CT403" s="55"/>
      <c r="CU403" s="55"/>
      <c r="CV403" s="55"/>
      <c r="CW403" s="55"/>
      <c r="CX403" s="55"/>
      <c r="CY403" s="55"/>
      <c r="CZ403" s="55"/>
      <c r="DA403" s="55"/>
      <c r="DB403" s="55"/>
      <c r="DC403" s="55"/>
      <c r="DD403" s="55"/>
      <c r="DE403" s="55"/>
      <c r="DF403" s="55"/>
      <c r="DG403" s="55"/>
      <c r="DH403" s="55"/>
      <c r="DI403" s="55"/>
    </row>
    <row r="404" spans="1:113" x14ac:dyDescent="0.25">
      <c r="A404" s="380"/>
      <c r="B404" s="340"/>
      <c r="C404" s="341"/>
      <c r="D404" s="350"/>
      <c r="E404" s="344"/>
      <c r="F404" s="350"/>
      <c r="G404" s="356"/>
      <c r="H404" s="346"/>
      <c r="I404" s="345"/>
      <c r="J404" s="345"/>
      <c r="K404" s="347"/>
      <c r="L404"/>
      <c r="M404" s="348"/>
      <c r="N404" s="310" t="s">
        <v>1070</v>
      </c>
      <c r="O404" s="349" t="s">
        <v>1071</v>
      </c>
      <c r="P404" s="349" t="s">
        <v>1046</v>
      </c>
      <c r="Q404" s="349" t="s">
        <v>1002</v>
      </c>
      <c r="R404" s="349" t="s">
        <v>1066</v>
      </c>
      <c r="S404" s="346" t="s">
        <v>1064</v>
      </c>
      <c r="T404" s="346" t="s">
        <v>1064</v>
      </c>
      <c r="U404" s="346" t="s">
        <v>1044</v>
      </c>
      <c r="V404" s="346" t="s">
        <v>1071</v>
      </c>
      <c r="W404" s="346"/>
      <c r="X404" s="346"/>
      <c r="Y404" s="346"/>
      <c r="Z404" s="346"/>
      <c r="AA404" s="346"/>
      <c r="AB404" s="346"/>
      <c r="AC404" s="346"/>
      <c r="AD404" s="346"/>
      <c r="AE404" s="346"/>
      <c r="AF404" s="346"/>
      <c r="AG404" s="346"/>
      <c r="AH404" s="346"/>
      <c r="AI404" s="346"/>
      <c r="AJ404" s="346"/>
      <c r="AK404" s="346"/>
      <c r="AL404" s="346"/>
      <c r="AM404" s="346"/>
      <c r="AN404" s="346"/>
      <c r="AO404" s="346"/>
      <c r="AP404" s="346"/>
      <c r="AQ404" s="346"/>
      <c r="AR404" s="346"/>
      <c r="AS404" s="346"/>
      <c r="AT404" s="346"/>
      <c r="AU404" s="346"/>
      <c r="AV404" s="346"/>
      <c r="AW404" s="346"/>
      <c r="AX404" s="346"/>
      <c r="AY404" s="346"/>
      <c r="AZ404" s="346"/>
      <c r="BA404" s="346"/>
      <c r="BB404" s="346"/>
      <c r="BC404" s="346"/>
      <c r="BD404" s="346"/>
      <c r="BE404" s="346"/>
      <c r="BF404" s="346"/>
      <c r="BG404" s="346"/>
      <c r="BH404" s="346"/>
      <c r="BI404" s="346"/>
      <c r="BJ404" s="346"/>
      <c r="BK404" s="346"/>
      <c r="BL404" s="346"/>
      <c r="BM404" s="346"/>
      <c r="BN404" s="346"/>
      <c r="BO404" s="346"/>
      <c r="BP404" s="346"/>
      <c r="BQ404" s="346"/>
      <c r="BR404" s="346"/>
      <c r="BS404" s="346"/>
      <c r="BT404" s="346"/>
      <c r="BU404" s="346"/>
      <c r="BV404" s="346"/>
      <c r="BW404" s="346"/>
      <c r="BX404" s="346"/>
      <c r="BY404" s="346"/>
      <c r="BZ404" s="346"/>
      <c r="CA404" s="346"/>
      <c r="CB404" s="346"/>
      <c r="CC404" s="346"/>
      <c r="CD404" s="346"/>
      <c r="CE404" s="346"/>
      <c r="CF404" s="346"/>
      <c r="CG404" s="346"/>
      <c r="CH404" s="346"/>
      <c r="CI404" s="346"/>
      <c r="CJ404" s="346"/>
      <c r="CK404" s="346"/>
      <c r="CL404" s="346"/>
      <c r="CM404" s="346"/>
      <c r="CN404" s="346"/>
      <c r="CO404" s="346"/>
      <c r="CP404" s="346"/>
      <c r="CQ404" s="346"/>
      <c r="CR404" s="346"/>
      <c r="CS404" s="346"/>
      <c r="CT404" s="346"/>
      <c r="CU404" s="346"/>
      <c r="CV404" s="346"/>
      <c r="CW404" s="346"/>
      <c r="CX404" s="346"/>
      <c r="CY404" s="346"/>
      <c r="CZ404" s="346"/>
      <c r="DA404" s="346"/>
      <c r="DB404" s="346"/>
      <c r="DC404" s="346"/>
      <c r="DD404" s="346"/>
      <c r="DE404" s="346"/>
      <c r="DF404" s="346"/>
      <c r="DG404" s="346"/>
      <c r="DH404" s="346"/>
      <c r="DI404" s="346"/>
    </row>
    <row r="405" spans="1:113" x14ac:dyDescent="0.25">
      <c r="A405" s="152">
        <v>8</v>
      </c>
      <c r="B405" s="79" t="s">
        <v>445</v>
      </c>
      <c r="C405" s="80">
        <f>+'[8]KEL C-2'!$GH$4</f>
        <v>7000</v>
      </c>
      <c r="D405" s="142"/>
      <c r="E405" s="43">
        <v>100</v>
      </c>
      <c r="F405" s="60"/>
      <c r="G405" s="139">
        <f t="shared" si="102"/>
        <v>100</v>
      </c>
      <c r="H405" s="55"/>
      <c r="I405" s="56">
        <f t="shared" si="103"/>
        <v>100</v>
      </c>
      <c r="J405" s="56">
        <f t="shared" si="104"/>
        <v>700000</v>
      </c>
      <c r="K405" s="57">
        <f t="shared" si="105"/>
        <v>0</v>
      </c>
      <c r="L405"/>
      <c r="M405" s="314">
        <f>SUM(N405:DJ405)</f>
        <v>644</v>
      </c>
      <c r="N405" s="310">
        <v>22</v>
      </c>
      <c r="O405" s="315">
        <v>100</v>
      </c>
      <c r="P405" s="315">
        <f>68+50</f>
        <v>118</v>
      </c>
      <c r="Q405" s="315">
        <v>77</v>
      </c>
      <c r="R405" s="315">
        <f>50+47</f>
        <v>97</v>
      </c>
      <c r="S405" s="55">
        <f>30</f>
        <v>30</v>
      </c>
      <c r="T405" s="55">
        <v>50</v>
      </c>
      <c r="U405" s="55">
        <v>50</v>
      </c>
      <c r="V405" s="55">
        <v>100</v>
      </c>
      <c r="W405" s="55"/>
      <c r="X405" s="55"/>
      <c r="Y405" s="55"/>
      <c r="Z405" s="55"/>
      <c r="AA405" s="55"/>
      <c r="AB405" s="55"/>
      <c r="AC405" s="55"/>
      <c r="AD405" s="55"/>
      <c r="AE405" s="55"/>
      <c r="AF405" s="55"/>
      <c r="AG405" s="55"/>
      <c r="AH405" s="55"/>
      <c r="AI405" s="55"/>
      <c r="AJ405" s="55"/>
      <c r="AK405" s="55"/>
      <c r="AL405" s="55"/>
      <c r="AM405" s="55"/>
      <c r="AN405" s="55"/>
      <c r="AO405" s="55"/>
      <c r="AP405" s="55"/>
      <c r="AQ405" s="55"/>
      <c r="AR405" s="55"/>
      <c r="AS405" s="55"/>
      <c r="AT405" s="55"/>
      <c r="AU405" s="55"/>
      <c r="AV405" s="55"/>
      <c r="AW405" s="55"/>
      <c r="AX405" s="55"/>
      <c r="AY405" s="55"/>
      <c r="AZ405" s="55"/>
      <c r="BA405" s="55"/>
      <c r="BB405" s="55"/>
      <c r="BC405" s="55"/>
      <c r="BD405" s="55"/>
      <c r="BE405" s="55"/>
      <c r="BF405" s="55"/>
      <c r="BG405" s="55"/>
      <c r="BH405" s="55"/>
      <c r="BI405" s="55"/>
      <c r="BJ405" s="55"/>
      <c r="BK405" s="55"/>
      <c r="BL405" s="55"/>
      <c r="BM405" s="55"/>
      <c r="BN405" s="55"/>
      <c r="BO405" s="55"/>
      <c r="BP405" s="55"/>
      <c r="BQ405" s="55"/>
      <c r="BR405" s="55"/>
      <c r="BS405" s="55"/>
      <c r="BT405" s="55"/>
      <c r="BU405" s="55"/>
      <c r="BV405" s="55"/>
      <c r="BW405" s="55"/>
      <c r="BX405" s="55"/>
      <c r="BY405" s="55"/>
      <c r="BZ405" s="55"/>
      <c r="CA405" s="55"/>
      <c r="CB405" s="55"/>
      <c r="CC405" s="55"/>
      <c r="CD405" s="55"/>
      <c r="CE405" s="55"/>
      <c r="CF405" s="55"/>
      <c r="CG405" s="55"/>
      <c r="CH405" s="55"/>
      <c r="CI405" s="55"/>
      <c r="CJ405" s="55"/>
      <c r="CK405" s="55"/>
      <c r="CL405" s="55"/>
      <c r="CM405" s="55"/>
      <c r="CN405" s="55"/>
      <c r="CO405" s="55"/>
      <c r="CP405" s="55"/>
      <c r="CQ405" s="55"/>
      <c r="CR405" s="55"/>
      <c r="CS405" s="55"/>
      <c r="CT405" s="55"/>
      <c r="CU405" s="55"/>
      <c r="CV405" s="55"/>
      <c r="CW405" s="55"/>
      <c r="CX405" s="55"/>
      <c r="CY405" s="55"/>
      <c r="CZ405" s="55"/>
      <c r="DA405" s="55"/>
      <c r="DB405" s="55"/>
      <c r="DC405" s="55"/>
      <c r="DD405" s="55"/>
      <c r="DE405" s="55"/>
      <c r="DF405" s="55"/>
      <c r="DG405" s="55"/>
      <c r="DH405" s="55"/>
      <c r="DI405" s="55"/>
    </row>
    <row r="406" spans="1:113" x14ac:dyDescent="0.25">
      <c r="A406" s="380"/>
      <c r="B406" s="340"/>
      <c r="C406" s="341"/>
      <c r="D406" s="381"/>
      <c r="E406" s="344"/>
      <c r="F406" s="350"/>
      <c r="G406" s="356"/>
      <c r="H406" s="346"/>
      <c r="I406" s="345"/>
      <c r="J406" s="345"/>
      <c r="K406" s="347"/>
      <c r="L406"/>
      <c r="M406" s="348"/>
      <c r="N406" s="310" t="s">
        <v>1062</v>
      </c>
      <c r="O406" s="349" t="s">
        <v>1046</v>
      </c>
      <c r="P406" s="349" t="s">
        <v>1066</v>
      </c>
      <c r="Q406" s="349" t="s">
        <v>1044</v>
      </c>
      <c r="R406" s="349" t="s">
        <v>1072</v>
      </c>
      <c r="S406" s="346" t="s">
        <v>1064</v>
      </c>
      <c r="T406" s="346" t="s">
        <v>1002</v>
      </c>
      <c r="U406" s="346"/>
      <c r="V406" s="346"/>
      <c r="W406" s="346"/>
      <c r="X406" s="346"/>
      <c r="Y406" s="346"/>
      <c r="Z406" s="346"/>
      <c r="AA406" s="346"/>
      <c r="AB406" s="346"/>
      <c r="AC406" s="346"/>
      <c r="AD406" s="346"/>
      <c r="AE406" s="346"/>
      <c r="AF406" s="346"/>
      <c r="AG406" s="346"/>
      <c r="AH406" s="346"/>
      <c r="AI406" s="346"/>
      <c r="AJ406" s="346"/>
      <c r="AK406" s="346"/>
      <c r="AL406" s="346"/>
      <c r="AM406" s="346"/>
      <c r="AN406" s="346"/>
      <c r="AO406" s="346"/>
      <c r="AP406" s="346"/>
      <c r="AQ406" s="346"/>
      <c r="AR406" s="346"/>
      <c r="AS406" s="346"/>
      <c r="AT406" s="346"/>
      <c r="AU406" s="346"/>
      <c r="AV406" s="346"/>
      <c r="AW406" s="346"/>
      <c r="AX406" s="346"/>
      <c r="AY406" s="346"/>
      <c r="AZ406" s="346"/>
      <c r="BA406" s="346"/>
      <c r="BB406" s="346"/>
      <c r="BC406" s="346"/>
      <c r="BD406" s="346"/>
      <c r="BE406" s="346"/>
      <c r="BF406" s="346"/>
      <c r="BG406" s="346"/>
      <c r="BH406" s="346"/>
      <c r="BI406" s="346"/>
      <c r="BJ406" s="346"/>
      <c r="BK406" s="346"/>
      <c r="BL406" s="346"/>
      <c r="BM406" s="346"/>
      <c r="BN406" s="346"/>
      <c r="BO406" s="346"/>
      <c r="BP406" s="346"/>
      <c r="BQ406" s="346"/>
      <c r="BR406" s="346"/>
      <c r="BS406" s="346"/>
      <c r="BT406" s="346"/>
      <c r="BU406" s="346"/>
      <c r="BV406" s="346"/>
      <c r="BW406" s="346"/>
      <c r="BX406" s="346"/>
      <c r="BY406" s="346"/>
      <c r="BZ406" s="346"/>
      <c r="CA406" s="346"/>
      <c r="CB406" s="346"/>
      <c r="CC406" s="346"/>
      <c r="CD406" s="346"/>
      <c r="CE406" s="346"/>
      <c r="CF406" s="346"/>
      <c r="CG406" s="346"/>
      <c r="CH406" s="346"/>
      <c r="CI406" s="346"/>
      <c r="CJ406" s="346"/>
      <c r="CK406" s="346"/>
      <c r="CL406" s="346"/>
      <c r="CM406" s="346"/>
      <c r="CN406" s="346"/>
      <c r="CO406" s="346"/>
      <c r="CP406" s="346"/>
      <c r="CQ406" s="346"/>
      <c r="CR406" s="346"/>
      <c r="CS406" s="346"/>
      <c r="CT406" s="346"/>
      <c r="CU406" s="346"/>
      <c r="CV406" s="346"/>
      <c r="CW406" s="346"/>
      <c r="CX406" s="346"/>
      <c r="CY406" s="346"/>
      <c r="CZ406" s="346"/>
      <c r="DA406" s="346"/>
      <c r="DB406" s="346"/>
      <c r="DC406" s="346"/>
      <c r="DD406" s="346"/>
      <c r="DE406" s="346"/>
      <c r="DF406" s="346"/>
      <c r="DG406" s="346"/>
      <c r="DH406" s="346"/>
      <c r="DI406" s="346"/>
    </row>
    <row r="407" spans="1:113" x14ac:dyDescent="0.25">
      <c r="A407" s="152">
        <v>9</v>
      </c>
      <c r="B407" s="79" t="s">
        <v>446</v>
      </c>
      <c r="C407" s="80">
        <f>+'[8]KEL C-2'!$GG$4</f>
        <v>7000</v>
      </c>
      <c r="D407" s="142"/>
      <c r="E407" s="43">
        <v>78</v>
      </c>
      <c r="F407" s="60"/>
      <c r="G407" s="139">
        <f t="shared" si="102"/>
        <v>78</v>
      </c>
      <c r="H407" s="55"/>
      <c r="I407" s="56">
        <f t="shared" si="103"/>
        <v>78</v>
      </c>
      <c r="J407" s="56">
        <f t="shared" si="104"/>
        <v>546000</v>
      </c>
      <c r="K407" s="57">
        <f t="shared" si="105"/>
        <v>0</v>
      </c>
      <c r="L407"/>
      <c r="M407" s="314">
        <f t="shared" si="101"/>
        <v>421</v>
      </c>
      <c r="N407" s="310">
        <v>22</v>
      </c>
      <c r="O407" s="315">
        <v>95</v>
      </c>
      <c r="P407" s="315">
        <v>97</v>
      </c>
      <c r="Q407" s="315">
        <v>50</v>
      </c>
      <c r="R407" s="315">
        <v>50</v>
      </c>
      <c r="S407" s="55">
        <v>30</v>
      </c>
      <c r="T407" s="55">
        <v>77</v>
      </c>
      <c r="U407" s="55"/>
      <c r="V407" s="55"/>
      <c r="W407" s="55"/>
      <c r="X407" s="55"/>
      <c r="Y407" s="55"/>
      <c r="Z407" s="55"/>
      <c r="AA407" s="55"/>
      <c r="AB407" s="55"/>
      <c r="AC407" s="55"/>
      <c r="AD407" s="55"/>
      <c r="AE407" s="55"/>
      <c r="AF407" s="55"/>
      <c r="AG407" s="55"/>
      <c r="AH407" s="55"/>
      <c r="AI407" s="55"/>
      <c r="AJ407" s="55"/>
      <c r="AK407" s="55"/>
      <c r="AL407" s="55"/>
      <c r="AM407" s="55"/>
      <c r="AN407" s="55"/>
      <c r="AO407" s="55"/>
      <c r="AP407" s="55"/>
      <c r="AQ407" s="55"/>
      <c r="AR407" s="55"/>
      <c r="AS407" s="55"/>
      <c r="AT407" s="55"/>
      <c r="AU407" s="55"/>
      <c r="AV407" s="55"/>
      <c r="AW407" s="55"/>
      <c r="AX407" s="55"/>
      <c r="AY407" s="55"/>
      <c r="AZ407" s="55"/>
      <c r="BA407" s="55"/>
      <c r="BB407" s="55"/>
      <c r="BC407" s="55"/>
      <c r="BD407" s="55"/>
      <c r="BE407" s="55"/>
      <c r="BF407" s="55"/>
      <c r="BG407" s="55"/>
      <c r="BH407" s="55"/>
      <c r="BI407" s="55"/>
      <c r="BJ407" s="55"/>
      <c r="BK407" s="55"/>
      <c r="BL407" s="55"/>
      <c r="BM407" s="55"/>
      <c r="BN407" s="55"/>
      <c r="BO407" s="55"/>
      <c r="BP407" s="55"/>
      <c r="BQ407" s="55"/>
      <c r="BR407" s="55"/>
      <c r="BS407" s="55"/>
      <c r="BT407" s="55"/>
      <c r="BU407" s="55"/>
      <c r="BV407" s="55"/>
      <c r="BW407" s="55"/>
      <c r="BX407" s="55"/>
      <c r="BY407" s="55"/>
      <c r="BZ407" s="55"/>
      <c r="CA407" s="55"/>
      <c r="CB407" s="55"/>
      <c r="CC407" s="55"/>
      <c r="CD407" s="55"/>
      <c r="CE407" s="55"/>
      <c r="CF407" s="55"/>
      <c r="CG407" s="55"/>
      <c r="CH407" s="55"/>
      <c r="CI407" s="55"/>
      <c r="CJ407" s="55"/>
      <c r="CK407" s="55"/>
      <c r="CL407" s="55"/>
      <c r="CM407" s="55"/>
      <c r="CN407" s="55"/>
      <c r="CO407" s="55"/>
      <c r="CP407" s="55"/>
      <c r="CQ407" s="55"/>
      <c r="CR407" s="55"/>
      <c r="CS407" s="55"/>
      <c r="CT407" s="55"/>
      <c r="CU407" s="55"/>
      <c r="CV407" s="55"/>
      <c r="CW407" s="55"/>
      <c r="CX407" s="55"/>
      <c r="CY407" s="55"/>
      <c r="CZ407" s="55"/>
      <c r="DA407" s="55"/>
      <c r="DB407" s="55"/>
      <c r="DC407" s="55"/>
      <c r="DD407" s="55"/>
      <c r="DE407" s="55"/>
      <c r="DF407" s="55"/>
      <c r="DG407" s="55"/>
      <c r="DH407" s="55"/>
      <c r="DI407" s="55"/>
    </row>
    <row r="408" spans="1:113" x14ac:dyDescent="0.25">
      <c r="A408" s="380"/>
      <c r="B408" s="340"/>
      <c r="C408" s="341"/>
      <c r="D408" s="381"/>
      <c r="E408" s="344"/>
      <c r="F408" s="350"/>
      <c r="G408" s="356"/>
      <c r="H408" s="346"/>
      <c r="I408" s="345"/>
      <c r="J408" s="345"/>
      <c r="K408" s="347"/>
      <c r="L408"/>
      <c r="M408" s="348"/>
      <c r="N408" s="310" t="s">
        <v>1002</v>
      </c>
      <c r="O408" s="349" t="s">
        <v>1067</v>
      </c>
      <c r="P408" s="349" t="s">
        <v>1065</v>
      </c>
      <c r="Q408" s="349">
        <v>198</v>
      </c>
      <c r="R408" s="349" t="s">
        <v>1044</v>
      </c>
      <c r="S408" s="346" t="s">
        <v>1066</v>
      </c>
      <c r="T408" s="346" t="s">
        <v>1046</v>
      </c>
      <c r="U408" s="346" t="s">
        <v>1064</v>
      </c>
      <c r="V408" s="346"/>
      <c r="W408" s="346"/>
      <c r="X408" s="346"/>
      <c r="Y408" s="346"/>
      <c r="Z408" s="346"/>
      <c r="AA408" s="346"/>
      <c r="AB408" s="346"/>
      <c r="AC408" s="346"/>
      <c r="AD408" s="346"/>
      <c r="AE408" s="346"/>
      <c r="AF408" s="346"/>
      <c r="AG408" s="346"/>
      <c r="AH408" s="346"/>
      <c r="AI408" s="346"/>
      <c r="AJ408" s="346"/>
      <c r="AK408" s="346"/>
      <c r="AL408" s="346"/>
      <c r="AM408" s="346"/>
      <c r="AN408" s="346"/>
      <c r="AO408" s="346"/>
      <c r="AP408" s="346"/>
      <c r="AQ408" s="346"/>
      <c r="AR408" s="346"/>
      <c r="AS408" s="346"/>
      <c r="AT408" s="346"/>
      <c r="AU408" s="346"/>
      <c r="AV408" s="346"/>
      <c r="AW408" s="346"/>
      <c r="AX408" s="346"/>
      <c r="AY408" s="346"/>
      <c r="AZ408" s="346"/>
      <c r="BA408" s="346"/>
      <c r="BB408" s="346"/>
      <c r="BC408" s="346"/>
      <c r="BD408" s="346"/>
      <c r="BE408" s="346"/>
      <c r="BF408" s="346"/>
      <c r="BG408" s="346"/>
      <c r="BH408" s="346"/>
      <c r="BI408" s="346"/>
      <c r="BJ408" s="346"/>
      <c r="BK408" s="346"/>
      <c r="BL408" s="346"/>
      <c r="BM408" s="346"/>
      <c r="BN408" s="346"/>
      <c r="BO408" s="346"/>
      <c r="BP408" s="346"/>
      <c r="BQ408" s="346"/>
      <c r="BR408" s="346"/>
      <c r="BS408" s="346"/>
      <c r="BT408" s="346"/>
      <c r="BU408" s="346"/>
      <c r="BV408" s="346"/>
      <c r="BW408" s="346"/>
      <c r="BX408" s="346"/>
      <c r="BY408" s="346"/>
      <c r="BZ408" s="346"/>
      <c r="CA408" s="346"/>
      <c r="CB408" s="346"/>
      <c r="CC408" s="346"/>
      <c r="CD408" s="346"/>
      <c r="CE408" s="346"/>
      <c r="CF408" s="346"/>
      <c r="CG408" s="346"/>
      <c r="CH408" s="346"/>
      <c r="CI408" s="346"/>
      <c r="CJ408" s="346"/>
      <c r="CK408" s="346"/>
      <c r="CL408" s="346"/>
      <c r="CM408" s="346"/>
      <c r="CN408" s="346"/>
      <c r="CO408" s="346"/>
      <c r="CP408" s="346"/>
      <c r="CQ408" s="346"/>
      <c r="CR408" s="346"/>
      <c r="CS408" s="346"/>
      <c r="CT408" s="346"/>
      <c r="CU408" s="346"/>
      <c r="CV408" s="346"/>
      <c r="CW408" s="346"/>
      <c r="CX408" s="346"/>
      <c r="CY408" s="346"/>
      <c r="CZ408" s="346"/>
      <c r="DA408" s="346"/>
      <c r="DB408" s="346"/>
      <c r="DC408" s="346"/>
      <c r="DD408" s="346"/>
      <c r="DE408" s="346"/>
      <c r="DF408" s="346"/>
      <c r="DG408" s="346"/>
      <c r="DH408" s="346"/>
      <c r="DI408" s="346"/>
    </row>
    <row r="409" spans="1:113" x14ac:dyDescent="0.25">
      <c r="A409" s="152">
        <v>10</v>
      </c>
      <c r="B409" s="79" t="str">
        <f>+'[8]KEL C-2'!$HL$2</f>
        <v>SHP JATI DIRI BANGSA</v>
      </c>
      <c r="C409" s="80">
        <f>+'[8]KEL C-2'!$HL$4</f>
        <v>9500</v>
      </c>
      <c r="D409" s="142">
        <v>1700</v>
      </c>
      <c r="E409" s="43">
        <v>98</v>
      </c>
      <c r="F409" s="60"/>
      <c r="G409" s="139">
        <f t="shared" si="102"/>
        <v>98</v>
      </c>
      <c r="H409" s="55"/>
      <c r="I409" s="56">
        <f t="shared" si="103"/>
        <v>98</v>
      </c>
      <c r="J409" s="56">
        <f t="shared" si="104"/>
        <v>931000</v>
      </c>
      <c r="K409" s="57">
        <f t="shared" si="105"/>
        <v>166600</v>
      </c>
      <c r="L409"/>
      <c r="M409" s="314">
        <f t="shared" si="101"/>
        <v>1048</v>
      </c>
      <c r="N409" s="310">
        <v>77</v>
      </c>
      <c r="O409" s="315">
        <f>100+100+50</f>
        <v>250</v>
      </c>
      <c r="P409" s="315">
        <f>100+100+100+50</f>
        <v>350</v>
      </c>
      <c r="Q409" s="315">
        <v>20</v>
      </c>
      <c r="R409" s="315">
        <v>50</v>
      </c>
      <c r="S409" s="55">
        <v>89</v>
      </c>
      <c r="T409" s="55">
        <f>50+62</f>
        <v>112</v>
      </c>
      <c r="U409" s="55">
        <v>100</v>
      </c>
      <c r="V409" s="55"/>
      <c r="W409" s="55"/>
      <c r="X409" s="55"/>
      <c r="Y409" s="55"/>
      <c r="Z409" s="55"/>
      <c r="AA409" s="55"/>
      <c r="AB409" s="55"/>
      <c r="AC409" s="55"/>
      <c r="AD409" s="55"/>
      <c r="AE409" s="55"/>
      <c r="AF409" s="55"/>
      <c r="AG409" s="55"/>
      <c r="AH409" s="55"/>
      <c r="AI409" s="55"/>
      <c r="AJ409" s="55"/>
      <c r="AK409" s="55"/>
      <c r="AL409" s="55"/>
      <c r="AM409" s="55"/>
      <c r="AN409" s="55"/>
      <c r="AO409" s="55"/>
      <c r="AP409" s="55"/>
      <c r="AQ409" s="55"/>
      <c r="AR409" s="55"/>
      <c r="AS409" s="55"/>
      <c r="AT409" s="55"/>
      <c r="AU409" s="55"/>
      <c r="AV409" s="55"/>
      <c r="AW409" s="55"/>
      <c r="AX409" s="55"/>
      <c r="AY409" s="55"/>
      <c r="AZ409" s="55"/>
      <c r="BA409" s="55"/>
      <c r="BB409" s="55"/>
      <c r="BC409" s="55"/>
      <c r="BD409" s="55"/>
      <c r="BE409" s="55"/>
      <c r="BF409" s="55"/>
      <c r="BG409" s="55"/>
      <c r="BH409" s="55"/>
      <c r="BI409" s="55"/>
      <c r="BJ409" s="55"/>
      <c r="BK409" s="55"/>
      <c r="BL409" s="55"/>
      <c r="BM409" s="55"/>
      <c r="BN409" s="55"/>
      <c r="BO409" s="55"/>
      <c r="BP409" s="55"/>
      <c r="BQ409" s="55"/>
      <c r="BR409" s="55"/>
      <c r="BS409" s="55"/>
      <c r="BT409" s="55"/>
      <c r="BU409" s="55"/>
      <c r="BV409" s="55"/>
      <c r="BW409" s="55"/>
      <c r="BX409" s="55"/>
      <c r="BY409" s="55"/>
      <c r="BZ409" s="55"/>
      <c r="CA409" s="55"/>
      <c r="CB409" s="55"/>
      <c r="CC409" s="55"/>
      <c r="CD409" s="55"/>
      <c r="CE409" s="55"/>
      <c r="CF409" s="55"/>
      <c r="CG409" s="55"/>
      <c r="CH409" s="55"/>
      <c r="CI409" s="55"/>
      <c r="CJ409" s="55"/>
      <c r="CK409" s="55"/>
      <c r="CL409" s="55"/>
      <c r="CM409" s="55"/>
      <c r="CN409" s="55"/>
      <c r="CO409" s="55"/>
      <c r="CP409" s="55"/>
      <c r="CQ409" s="55"/>
      <c r="CR409" s="55"/>
      <c r="CS409" s="55"/>
      <c r="CT409" s="55"/>
      <c r="CU409" s="55"/>
      <c r="CV409" s="55"/>
      <c r="CW409" s="55"/>
      <c r="CX409" s="55"/>
      <c r="CY409" s="55"/>
      <c r="CZ409" s="55"/>
      <c r="DA409" s="55"/>
      <c r="DB409" s="55"/>
      <c r="DC409" s="55"/>
      <c r="DD409" s="55"/>
      <c r="DE409" s="55"/>
      <c r="DF409" s="55"/>
      <c r="DG409" s="55"/>
      <c r="DH409" s="55"/>
      <c r="DI409" s="55"/>
    </row>
    <row r="410" spans="1:113" x14ac:dyDescent="0.25">
      <c r="A410" s="380"/>
      <c r="B410" s="340"/>
      <c r="C410" s="341"/>
      <c r="D410" s="381"/>
      <c r="E410" s="344"/>
      <c r="F410" s="350"/>
      <c r="G410" s="356"/>
      <c r="H410" s="346"/>
      <c r="I410" s="345"/>
      <c r="J410" s="345"/>
      <c r="K410" s="347"/>
      <c r="L410"/>
      <c r="M410" s="348"/>
      <c r="N410" s="310" t="s">
        <v>1071</v>
      </c>
      <c r="O410" s="349" t="s">
        <v>1071</v>
      </c>
      <c r="P410" s="349" t="s">
        <v>1062</v>
      </c>
      <c r="Q410" s="349"/>
      <c r="R410" s="349"/>
      <c r="S410" s="346"/>
      <c r="T410" s="346"/>
      <c r="U410" s="346"/>
      <c r="V410" s="346"/>
      <c r="W410" s="346"/>
      <c r="X410" s="346"/>
      <c r="Y410" s="346"/>
      <c r="Z410" s="346"/>
      <c r="AA410" s="346"/>
      <c r="AB410" s="346"/>
      <c r="AC410" s="346"/>
      <c r="AD410" s="346"/>
      <c r="AE410" s="346"/>
      <c r="AF410" s="346"/>
      <c r="AG410" s="346"/>
      <c r="AH410" s="346"/>
      <c r="AI410" s="346"/>
      <c r="AJ410" s="346"/>
      <c r="AK410" s="346"/>
      <c r="AL410" s="346"/>
      <c r="AM410" s="346"/>
      <c r="AN410" s="346"/>
      <c r="AO410" s="346"/>
      <c r="AP410" s="346"/>
      <c r="AQ410" s="346"/>
      <c r="AR410" s="346"/>
      <c r="AS410" s="346"/>
      <c r="AT410" s="346"/>
      <c r="AU410" s="346"/>
      <c r="AV410" s="346"/>
      <c r="AW410" s="346"/>
      <c r="AX410" s="346"/>
      <c r="AY410" s="346"/>
      <c r="AZ410" s="346"/>
      <c r="BA410" s="346"/>
      <c r="BB410" s="346"/>
      <c r="BC410" s="346"/>
      <c r="BD410" s="346"/>
      <c r="BE410" s="346"/>
      <c r="BF410" s="346"/>
      <c r="BG410" s="346"/>
      <c r="BH410" s="346"/>
      <c r="BI410" s="346"/>
      <c r="BJ410" s="346"/>
      <c r="BK410" s="346"/>
      <c r="BL410" s="346"/>
      <c r="BM410" s="346"/>
      <c r="BN410" s="346"/>
      <c r="BO410" s="346"/>
      <c r="BP410" s="346"/>
      <c r="BQ410" s="346"/>
      <c r="BR410" s="346"/>
      <c r="BS410" s="346"/>
      <c r="BT410" s="346"/>
      <c r="BU410" s="346"/>
      <c r="BV410" s="346"/>
      <c r="BW410" s="346"/>
      <c r="BX410" s="346"/>
      <c r="BY410" s="346"/>
      <c r="BZ410" s="346"/>
      <c r="CA410" s="346"/>
      <c r="CB410" s="346"/>
      <c r="CC410" s="346"/>
      <c r="CD410" s="346"/>
      <c r="CE410" s="346"/>
      <c r="CF410" s="346"/>
      <c r="CG410" s="346"/>
      <c r="CH410" s="346"/>
      <c r="CI410" s="346"/>
      <c r="CJ410" s="346"/>
      <c r="CK410" s="346"/>
      <c r="CL410" s="346"/>
      <c r="CM410" s="346"/>
      <c r="CN410" s="346"/>
      <c r="CO410" s="346"/>
      <c r="CP410" s="346"/>
      <c r="CQ410" s="346"/>
      <c r="CR410" s="346"/>
      <c r="CS410" s="346"/>
      <c r="CT410" s="346"/>
      <c r="CU410" s="346"/>
      <c r="CV410" s="346"/>
      <c r="CW410" s="346"/>
      <c r="CX410" s="346"/>
      <c r="CY410" s="346"/>
      <c r="CZ410" s="346"/>
      <c r="DA410" s="346"/>
      <c r="DB410" s="346"/>
      <c r="DC410" s="346"/>
      <c r="DD410" s="346"/>
      <c r="DE410" s="346"/>
      <c r="DF410" s="346"/>
      <c r="DG410" s="346"/>
      <c r="DH410" s="346"/>
      <c r="DI410" s="346"/>
    </row>
    <row r="411" spans="1:113" x14ac:dyDescent="0.25">
      <c r="A411" s="152">
        <v>11</v>
      </c>
      <c r="B411" s="79" t="str">
        <f>+'[8]KEL C-2'!$HM$2</f>
        <v>SP 266 POS</v>
      </c>
      <c r="C411" s="80">
        <f>+'[8]KEL C-2'!$HM$4</f>
        <v>5000</v>
      </c>
      <c r="D411" s="142">
        <v>1850</v>
      </c>
      <c r="E411" s="43">
        <v>100</v>
      </c>
      <c r="F411" s="60"/>
      <c r="G411" s="139">
        <f t="shared" si="102"/>
        <v>100</v>
      </c>
      <c r="H411" s="55"/>
      <c r="I411" s="56">
        <f t="shared" si="103"/>
        <v>100</v>
      </c>
      <c r="J411" s="56">
        <f t="shared" si="104"/>
        <v>500000</v>
      </c>
      <c r="K411" s="57">
        <f t="shared" si="105"/>
        <v>185000</v>
      </c>
      <c r="L411"/>
      <c r="M411" s="314">
        <f t="shared" si="101"/>
        <v>307</v>
      </c>
      <c r="N411" s="310">
        <v>90</v>
      </c>
      <c r="O411" s="315">
        <f>100+100</f>
        <v>200</v>
      </c>
      <c r="P411" s="315">
        <v>17</v>
      </c>
      <c r="Q411" s="315"/>
      <c r="R411" s="315"/>
      <c r="S411" s="55"/>
      <c r="T411" s="55"/>
      <c r="U411" s="55"/>
      <c r="V411" s="55"/>
      <c r="W411" s="55"/>
      <c r="X411" s="55"/>
      <c r="Y411" s="55"/>
      <c r="Z411" s="55"/>
      <c r="AA411" s="55"/>
      <c r="AB411" s="55"/>
      <c r="AC411" s="55"/>
      <c r="AD411" s="55"/>
      <c r="AE411" s="55"/>
      <c r="AF411" s="55"/>
      <c r="AG411" s="55"/>
      <c r="AH411" s="55"/>
      <c r="AI411" s="55"/>
      <c r="AJ411" s="55"/>
      <c r="AK411" s="55"/>
      <c r="AL411" s="55"/>
      <c r="AM411" s="55"/>
      <c r="AN411" s="55"/>
      <c r="AO411" s="55"/>
      <c r="AP411" s="55"/>
      <c r="AQ411" s="55"/>
      <c r="AR411" s="55"/>
      <c r="AS411" s="55"/>
      <c r="AT411" s="55"/>
      <c r="AU411" s="55"/>
      <c r="AV411" s="55"/>
      <c r="AW411" s="55"/>
      <c r="AX411" s="55"/>
      <c r="AY411" s="55"/>
      <c r="AZ411" s="55"/>
      <c r="BA411" s="55"/>
      <c r="BB411" s="55"/>
      <c r="BC411" s="55"/>
      <c r="BD411" s="55"/>
      <c r="BE411" s="55"/>
      <c r="BF411" s="55"/>
      <c r="BG411" s="55"/>
      <c r="BH411" s="55"/>
      <c r="BI411" s="55"/>
      <c r="BJ411" s="55"/>
      <c r="BK411" s="55"/>
      <c r="BL411" s="55"/>
      <c r="BM411" s="55"/>
      <c r="BN411" s="55"/>
      <c r="BO411" s="55"/>
      <c r="BP411" s="55"/>
      <c r="BQ411" s="55"/>
      <c r="BR411" s="55"/>
      <c r="BS411" s="55"/>
      <c r="BT411" s="55"/>
      <c r="BU411" s="55"/>
      <c r="BV411" s="55"/>
      <c r="BW411" s="55"/>
      <c r="BX411" s="55"/>
      <c r="BY411" s="55"/>
      <c r="BZ411" s="55"/>
      <c r="CA411" s="55"/>
      <c r="CB411" s="55"/>
      <c r="CC411" s="55"/>
      <c r="CD411" s="55"/>
      <c r="CE411" s="55"/>
      <c r="CF411" s="55"/>
      <c r="CG411" s="55"/>
      <c r="CH411" s="55"/>
      <c r="CI411" s="55"/>
      <c r="CJ411" s="55"/>
      <c r="CK411" s="55"/>
      <c r="CL411" s="55"/>
      <c r="CM411" s="55"/>
      <c r="CN411" s="55"/>
      <c r="CO411" s="55"/>
      <c r="CP411" s="55"/>
      <c r="CQ411" s="55"/>
      <c r="CR411" s="55"/>
      <c r="CS411" s="55"/>
      <c r="CT411" s="55"/>
      <c r="CU411" s="55"/>
      <c r="CV411" s="55"/>
      <c r="CW411" s="55"/>
      <c r="CX411" s="55"/>
      <c r="CY411" s="55"/>
      <c r="CZ411" s="55"/>
      <c r="DA411" s="55"/>
      <c r="DB411" s="55"/>
      <c r="DC411" s="55"/>
      <c r="DD411" s="55"/>
      <c r="DE411" s="55"/>
      <c r="DF411" s="55"/>
      <c r="DG411" s="55"/>
      <c r="DH411" s="55"/>
      <c r="DI411" s="55"/>
    </row>
    <row r="412" spans="1:113" x14ac:dyDescent="0.25">
      <c r="A412" s="380"/>
      <c r="B412" s="340"/>
      <c r="C412" s="341"/>
      <c r="D412" s="381"/>
      <c r="E412" s="344"/>
      <c r="F412" s="350"/>
      <c r="G412" s="356"/>
      <c r="H412" s="346"/>
      <c r="I412" s="345"/>
      <c r="J412" s="345"/>
      <c r="K412" s="347"/>
      <c r="L412"/>
      <c r="M412" s="348"/>
      <c r="N412" s="310" t="s">
        <v>1062</v>
      </c>
      <c r="O412" s="349" t="s">
        <v>1046</v>
      </c>
      <c r="P412" s="349" t="s">
        <v>1066</v>
      </c>
      <c r="Q412" s="349" t="s">
        <v>1002</v>
      </c>
      <c r="R412" s="349" t="s">
        <v>1059</v>
      </c>
      <c r="S412" s="346"/>
      <c r="T412" s="346"/>
      <c r="U412" s="346"/>
      <c r="V412" s="346"/>
      <c r="W412" s="346"/>
      <c r="X412" s="346"/>
      <c r="Y412" s="346"/>
      <c r="Z412" s="346"/>
      <c r="AA412" s="346"/>
      <c r="AB412" s="346"/>
      <c r="AC412" s="346"/>
      <c r="AD412" s="346"/>
      <c r="AE412" s="346"/>
      <c r="AF412" s="346"/>
      <c r="AG412" s="346"/>
      <c r="AH412" s="346"/>
      <c r="AI412" s="346"/>
      <c r="AJ412" s="346"/>
      <c r="AK412" s="346"/>
      <c r="AL412" s="346"/>
      <c r="AM412" s="346"/>
      <c r="AN412" s="346"/>
      <c r="AO412" s="346"/>
      <c r="AP412" s="346"/>
      <c r="AQ412" s="346"/>
      <c r="AR412" s="346"/>
      <c r="AS412" s="346"/>
      <c r="AT412" s="346"/>
      <c r="AU412" s="346"/>
      <c r="AV412" s="346"/>
      <c r="AW412" s="346"/>
      <c r="AX412" s="346"/>
      <c r="AY412" s="346"/>
      <c r="AZ412" s="346"/>
      <c r="BA412" s="346"/>
      <c r="BB412" s="346"/>
      <c r="BC412" s="346"/>
      <c r="BD412" s="346"/>
      <c r="BE412" s="346"/>
      <c r="BF412" s="346"/>
      <c r="BG412" s="346"/>
      <c r="BH412" s="346"/>
      <c r="BI412" s="346"/>
      <c r="BJ412" s="346"/>
      <c r="BK412" s="346"/>
      <c r="BL412" s="346"/>
      <c r="BM412" s="346"/>
      <c r="BN412" s="346"/>
      <c r="BO412" s="346"/>
      <c r="BP412" s="346"/>
      <c r="BQ412" s="346"/>
      <c r="BR412" s="346"/>
      <c r="BS412" s="346"/>
      <c r="BT412" s="346"/>
      <c r="BU412" s="346"/>
      <c r="BV412" s="346"/>
      <c r="BW412" s="346"/>
      <c r="BX412" s="346"/>
      <c r="BY412" s="346"/>
      <c r="BZ412" s="346"/>
      <c r="CA412" s="346"/>
      <c r="CB412" s="346"/>
      <c r="CC412" s="346"/>
      <c r="CD412" s="346"/>
      <c r="CE412" s="346"/>
      <c r="CF412" s="346"/>
      <c r="CG412" s="346"/>
      <c r="CH412" s="346"/>
      <c r="CI412" s="346"/>
      <c r="CJ412" s="346"/>
      <c r="CK412" s="346"/>
      <c r="CL412" s="346"/>
      <c r="CM412" s="346"/>
      <c r="CN412" s="346"/>
      <c r="CO412" s="346"/>
      <c r="CP412" s="346"/>
      <c r="CQ412" s="346"/>
      <c r="CR412" s="346"/>
      <c r="CS412" s="346"/>
      <c r="CT412" s="346"/>
      <c r="CU412" s="346"/>
      <c r="CV412" s="346"/>
      <c r="CW412" s="346"/>
      <c r="CX412" s="346"/>
      <c r="CY412" s="346"/>
      <c r="CZ412" s="346"/>
      <c r="DA412" s="346"/>
      <c r="DB412" s="346"/>
      <c r="DC412" s="346"/>
      <c r="DD412" s="346"/>
      <c r="DE412" s="346"/>
      <c r="DF412" s="346"/>
      <c r="DG412" s="346"/>
      <c r="DH412" s="346"/>
      <c r="DI412" s="346"/>
    </row>
    <row r="413" spans="1:113" x14ac:dyDescent="0.25">
      <c r="A413" s="152">
        <v>12</v>
      </c>
      <c r="B413" s="79" t="s">
        <v>447</v>
      </c>
      <c r="C413" s="80">
        <v>14500</v>
      </c>
      <c r="D413" s="60"/>
      <c r="E413" s="43">
        <v>900</v>
      </c>
      <c r="F413" s="60"/>
      <c r="G413" s="139">
        <f t="shared" si="102"/>
        <v>900</v>
      </c>
      <c r="H413" s="55"/>
      <c r="I413" s="56">
        <f t="shared" si="103"/>
        <v>900</v>
      </c>
      <c r="J413" s="56">
        <f t="shared" si="104"/>
        <v>13050000</v>
      </c>
      <c r="K413" s="57">
        <f t="shared" si="105"/>
        <v>0</v>
      </c>
      <c r="L413"/>
      <c r="M413" s="314">
        <f t="shared" si="101"/>
        <v>577</v>
      </c>
      <c r="N413" s="310">
        <v>19</v>
      </c>
      <c r="O413" s="315">
        <v>89</v>
      </c>
      <c r="P413" s="315">
        <f>50+45</f>
        <v>95</v>
      </c>
      <c r="Q413" s="315">
        <v>74</v>
      </c>
      <c r="R413" s="315">
        <f>100+100+100</f>
        <v>300</v>
      </c>
      <c r="S413" s="55"/>
      <c r="T413" s="55"/>
      <c r="U413" s="55"/>
      <c r="V413" s="55"/>
      <c r="W413" s="55"/>
      <c r="X413" s="55"/>
      <c r="Y413" s="55"/>
      <c r="Z413" s="55"/>
      <c r="AA413" s="55"/>
      <c r="AB413" s="55"/>
      <c r="AC413" s="55"/>
      <c r="AD413" s="55"/>
      <c r="AE413" s="55"/>
      <c r="AF413" s="55"/>
      <c r="AG413" s="55"/>
      <c r="AH413" s="55"/>
      <c r="AI413" s="55"/>
      <c r="AJ413" s="55"/>
      <c r="AK413" s="55"/>
      <c r="AL413" s="55"/>
      <c r="AM413" s="55"/>
      <c r="AN413" s="55"/>
      <c r="AO413" s="55"/>
      <c r="AP413" s="55"/>
      <c r="AQ413" s="55"/>
      <c r="AR413" s="55"/>
      <c r="AS413" s="55"/>
      <c r="AT413" s="55"/>
      <c r="AU413" s="55"/>
      <c r="AV413" s="55"/>
      <c r="AW413" s="55"/>
      <c r="AX413" s="55"/>
      <c r="AY413" s="55"/>
      <c r="AZ413" s="55"/>
      <c r="BA413" s="55"/>
      <c r="BB413" s="55"/>
      <c r="BC413" s="55"/>
      <c r="BD413" s="55"/>
      <c r="BE413" s="55"/>
      <c r="BF413" s="55"/>
      <c r="BG413" s="55"/>
      <c r="BH413" s="55"/>
      <c r="BI413" s="55"/>
      <c r="BJ413" s="55"/>
      <c r="BK413" s="55"/>
      <c r="BL413" s="55"/>
      <c r="BM413" s="55"/>
      <c r="BN413" s="55"/>
      <c r="BO413" s="55"/>
      <c r="BP413" s="55"/>
      <c r="BQ413" s="55"/>
      <c r="BR413" s="55"/>
      <c r="BS413" s="55"/>
      <c r="BT413" s="55"/>
      <c r="BU413" s="55"/>
      <c r="BV413" s="55"/>
      <c r="BW413" s="55"/>
      <c r="BX413" s="55"/>
      <c r="BY413" s="55"/>
      <c r="BZ413" s="55"/>
      <c r="CA413" s="55"/>
      <c r="CB413" s="55"/>
      <c r="CC413" s="55"/>
      <c r="CD413" s="55"/>
      <c r="CE413" s="55"/>
      <c r="CF413" s="55"/>
      <c r="CG413" s="55"/>
      <c r="CH413" s="55"/>
      <c r="CI413" s="55"/>
      <c r="CJ413" s="55"/>
      <c r="CK413" s="55"/>
      <c r="CL413" s="55"/>
      <c r="CM413" s="55"/>
      <c r="CN413" s="55"/>
      <c r="CO413" s="55"/>
      <c r="CP413" s="55"/>
      <c r="CQ413" s="55"/>
      <c r="CR413" s="55"/>
      <c r="CS413" s="55"/>
      <c r="CT413" s="55"/>
      <c r="CU413" s="55"/>
      <c r="CV413" s="55"/>
      <c r="CW413" s="55"/>
      <c r="CX413" s="55"/>
      <c r="CY413" s="55"/>
      <c r="CZ413" s="55"/>
      <c r="DA413" s="55"/>
      <c r="DB413" s="55"/>
      <c r="DC413" s="55"/>
      <c r="DD413" s="55"/>
      <c r="DE413" s="55"/>
      <c r="DF413" s="55"/>
      <c r="DG413" s="55"/>
      <c r="DH413" s="55"/>
      <c r="DI413" s="55"/>
    </row>
    <row r="414" spans="1:113" x14ac:dyDescent="0.25">
      <c r="A414" s="170"/>
      <c r="B414" s="115"/>
      <c r="C414" s="116"/>
      <c r="D414" s="121"/>
      <c r="E414" s="122"/>
      <c r="F414" s="121"/>
      <c r="G414" s="169"/>
      <c r="H414" s="108"/>
      <c r="I414" s="109"/>
      <c r="J414" s="109"/>
      <c r="K414" s="110"/>
      <c r="L414"/>
      <c r="M414" s="348"/>
      <c r="N414" s="310" t="s">
        <v>1062</v>
      </c>
      <c r="O414" s="349" t="s">
        <v>1059</v>
      </c>
      <c r="P414" s="349"/>
      <c r="Q414" s="349"/>
      <c r="R414" s="349"/>
      <c r="S414" s="346"/>
      <c r="T414" s="346"/>
      <c r="U414" s="346"/>
      <c r="V414" s="346"/>
      <c r="W414" s="346"/>
      <c r="X414" s="346"/>
      <c r="Y414" s="346"/>
      <c r="Z414" s="346"/>
      <c r="AA414" s="346"/>
      <c r="AB414" s="346"/>
      <c r="AC414" s="346"/>
      <c r="AD414" s="346"/>
      <c r="AE414" s="346"/>
      <c r="AF414" s="346"/>
      <c r="AG414" s="346"/>
      <c r="AH414" s="346"/>
      <c r="AI414" s="346"/>
      <c r="AJ414" s="346"/>
      <c r="AK414" s="346"/>
      <c r="AL414" s="346"/>
      <c r="AM414" s="346"/>
      <c r="AN414" s="346"/>
      <c r="AO414" s="346"/>
      <c r="AP414" s="346"/>
      <c r="AQ414" s="346"/>
      <c r="AR414" s="346"/>
      <c r="AS414" s="346"/>
      <c r="AT414" s="346"/>
      <c r="AU414" s="346"/>
      <c r="AV414" s="346"/>
      <c r="AW414" s="346"/>
      <c r="AX414" s="346"/>
      <c r="AY414" s="346"/>
      <c r="AZ414" s="346"/>
      <c r="BA414" s="346"/>
      <c r="BB414" s="346"/>
      <c r="BC414" s="346"/>
      <c r="BD414" s="346"/>
      <c r="BE414" s="346"/>
      <c r="BF414" s="346"/>
      <c r="BG414" s="346"/>
      <c r="BH414" s="346"/>
      <c r="BI414" s="346"/>
      <c r="BJ414" s="346"/>
      <c r="BK414" s="346"/>
      <c r="BL414" s="346"/>
      <c r="BM414" s="346"/>
      <c r="BN414" s="346"/>
      <c r="BO414" s="346"/>
      <c r="BP414" s="346"/>
      <c r="BQ414" s="346"/>
      <c r="BR414" s="346"/>
      <c r="BS414" s="346"/>
      <c r="BT414" s="346"/>
      <c r="BU414" s="346"/>
      <c r="BV414" s="346"/>
      <c r="BW414" s="346"/>
      <c r="BX414" s="346"/>
      <c r="BY414" s="346"/>
      <c r="BZ414" s="346"/>
      <c r="CA414" s="346"/>
      <c r="CB414" s="346"/>
      <c r="CC414" s="346"/>
      <c r="CD414" s="346"/>
      <c r="CE414" s="346"/>
      <c r="CF414" s="346"/>
      <c r="CG414" s="346"/>
      <c r="CH414" s="346"/>
      <c r="CI414" s="346"/>
      <c r="CJ414" s="346"/>
      <c r="CK414" s="346"/>
      <c r="CL414" s="346"/>
      <c r="CM414" s="346"/>
      <c r="CN414" s="346"/>
      <c r="CO414" s="346"/>
      <c r="CP414" s="346"/>
      <c r="CQ414" s="346"/>
      <c r="CR414" s="346"/>
      <c r="CS414" s="346"/>
      <c r="CT414" s="346"/>
      <c r="CU414" s="346"/>
      <c r="CV414" s="346"/>
      <c r="CW414" s="346"/>
      <c r="CX414" s="346"/>
      <c r="CY414" s="346"/>
      <c r="CZ414" s="346"/>
      <c r="DA414" s="346"/>
      <c r="DB414" s="346"/>
      <c r="DC414" s="346"/>
      <c r="DD414" s="346"/>
      <c r="DE414" s="346"/>
      <c r="DF414" s="346"/>
      <c r="DG414" s="346"/>
      <c r="DH414" s="346"/>
      <c r="DI414" s="346"/>
    </row>
    <row r="415" spans="1:113" x14ac:dyDescent="0.25">
      <c r="A415" s="384">
        <v>13</v>
      </c>
      <c r="B415" s="394" t="s">
        <v>1061</v>
      </c>
      <c r="C415" s="362">
        <v>5000</v>
      </c>
      <c r="D415" s="361"/>
      <c r="E415" s="364"/>
      <c r="F415" s="361"/>
      <c r="G415" s="386"/>
      <c r="H415" s="366"/>
      <c r="I415" s="365"/>
      <c r="J415" s="365"/>
      <c r="K415" s="367"/>
      <c r="L415"/>
      <c r="M415" s="314">
        <f t="shared" ref="M415" si="106">SUM(N415:DJ415)</f>
        <v>540</v>
      </c>
      <c r="N415" s="310">
        <v>40</v>
      </c>
      <c r="O415" s="315">
        <f>100*5</f>
        <v>500</v>
      </c>
      <c r="P415" s="315"/>
      <c r="Q415" s="315"/>
      <c r="R415" s="315"/>
      <c r="S415" s="55"/>
      <c r="T415" s="55"/>
      <c r="U415" s="55"/>
      <c r="V415" s="55"/>
      <c r="W415" s="55"/>
      <c r="X415" s="55"/>
      <c r="Y415" s="55"/>
      <c r="Z415" s="55"/>
      <c r="AA415" s="55"/>
      <c r="AB415" s="55"/>
      <c r="AC415" s="55"/>
      <c r="AD415" s="55"/>
      <c r="AE415" s="55"/>
      <c r="AF415" s="55"/>
      <c r="AG415" s="55"/>
      <c r="AH415" s="55"/>
      <c r="AI415" s="55"/>
      <c r="AJ415" s="55"/>
      <c r="AK415" s="55"/>
      <c r="AL415" s="55"/>
      <c r="AM415" s="55"/>
      <c r="AN415" s="55"/>
      <c r="AO415" s="55"/>
      <c r="AP415" s="55"/>
      <c r="AQ415" s="55"/>
      <c r="AR415" s="55"/>
      <c r="AS415" s="55"/>
      <c r="AT415" s="55"/>
      <c r="AU415" s="55"/>
      <c r="AV415" s="55"/>
      <c r="AW415" s="55"/>
      <c r="AX415" s="55"/>
      <c r="AY415" s="55"/>
      <c r="AZ415" s="55"/>
      <c r="BA415" s="55"/>
      <c r="BB415" s="55"/>
      <c r="BC415" s="55"/>
      <c r="BD415" s="55"/>
      <c r="BE415" s="55"/>
      <c r="BF415" s="55"/>
      <c r="BG415" s="55"/>
      <c r="BH415" s="55"/>
      <c r="BI415" s="55"/>
      <c r="BJ415" s="55"/>
      <c r="BK415" s="55"/>
      <c r="BL415" s="55"/>
      <c r="BM415" s="55"/>
      <c r="BN415" s="55"/>
      <c r="BO415" s="55"/>
      <c r="BP415" s="55"/>
      <c r="BQ415" s="55"/>
      <c r="BR415" s="55"/>
      <c r="BS415" s="55"/>
      <c r="BT415" s="55"/>
      <c r="BU415" s="55"/>
      <c r="BV415" s="55"/>
      <c r="BW415" s="55"/>
      <c r="BX415" s="55"/>
      <c r="BY415" s="55"/>
      <c r="BZ415" s="55"/>
      <c r="CA415" s="55"/>
      <c r="CB415" s="55"/>
      <c r="CC415" s="55"/>
      <c r="CD415" s="55"/>
      <c r="CE415" s="55"/>
      <c r="CF415" s="55"/>
      <c r="CG415" s="55"/>
      <c r="CH415" s="55"/>
      <c r="CI415" s="55"/>
      <c r="CJ415" s="55"/>
      <c r="CK415" s="55"/>
      <c r="CL415" s="55"/>
      <c r="CM415" s="55"/>
      <c r="CN415" s="55"/>
      <c r="CO415" s="55"/>
      <c r="CP415" s="55"/>
      <c r="CQ415" s="55"/>
      <c r="CR415" s="55"/>
      <c r="CS415" s="55"/>
      <c r="CT415" s="55"/>
      <c r="CU415" s="55"/>
      <c r="CV415" s="55"/>
      <c r="CW415" s="55"/>
      <c r="CX415" s="55"/>
      <c r="CY415" s="55"/>
      <c r="CZ415" s="55"/>
      <c r="DA415" s="55"/>
      <c r="DB415" s="55"/>
      <c r="DC415" s="55"/>
      <c r="DD415" s="55"/>
      <c r="DE415" s="55"/>
      <c r="DF415" s="55"/>
      <c r="DG415" s="55"/>
      <c r="DH415" s="55"/>
      <c r="DI415" s="55"/>
    </row>
    <row r="416" spans="1:113" x14ac:dyDescent="0.25">
      <c r="A416" s="384"/>
      <c r="B416" s="394"/>
      <c r="C416" s="362"/>
      <c r="D416" s="361"/>
      <c r="E416" s="364"/>
      <c r="F416" s="361"/>
      <c r="G416" s="386"/>
      <c r="H416" s="366"/>
      <c r="I416" s="365"/>
      <c r="J416" s="365"/>
      <c r="K416" s="367"/>
      <c r="L416"/>
      <c r="M416" s="348"/>
      <c r="N416" s="310" t="s">
        <v>1065</v>
      </c>
      <c r="O416" s="349" t="s">
        <v>1062</v>
      </c>
      <c r="P416" s="349" t="s">
        <v>1067</v>
      </c>
      <c r="Q416" s="349"/>
      <c r="R416" s="349"/>
      <c r="S416" s="346"/>
      <c r="T416" s="346"/>
      <c r="U416" s="346"/>
      <c r="V416" s="346"/>
      <c r="W416" s="346"/>
      <c r="X416" s="346"/>
      <c r="Y416" s="346"/>
      <c r="Z416" s="346"/>
      <c r="AA416" s="346"/>
      <c r="AB416" s="346"/>
      <c r="AC416" s="346"/>
      <c r="AD416" s="346"/>
      <c r="AE416" s="346"/>
      <c r="AF416" s="346"/>
      <c r="AG416" s="346"/>
      <c r="AH416" s="346"/>
      <c r="AI416" s="346"/>
      <c r="AJ416" s="346"/>
      <c r="AK416" s="346"/>
      <c r="AL416" s="346"/>
      <c r="AM416" s="346"/>
      <c r="AN416" s="346"/>
      <c r="AO416" s="346"/>
      <c r="AP416" s="346"/>
      <c r="AQ416" s="346"/>
      <c r="AR416" s="346"/>
      <c r="AS416" s="346"/>
      <c r="AT416" s="346"/>
      <c r="AU416" s="346"/>
      <c r="AV416" s="346"/>
      <c r="AW416" s="346"/>
      <c r="AX416" s="346"/>
      <c r="AY416" s="346"/>
      <c r="AZ416" s="346"/>
      <c r="BA416" s="346"/>
      <c r="BB416" s="346"/>
      <c r="BC416" s="346"/>
      <c r="BD416" s="346"/>
      <c r="BE416" s="346"/>
      <c r="BF416" s="346"/>
      <c r="BG416" s="346"/>
      <c r="BH416" s="346"/>
      <c r="BI416" s="346"/>
      <c r="BJ416" s="346"/>
      <c r="BK416" s="346"/>
      <c r="BL416" s="346"/>
      <c r="BM416" s="346"/>
      <c r="BN416" s="346"/>
      <c r="BO416" s="346"/>
      <c r="BP416" s="346"/>
      <c r="BQ416" s="346"/>
      <c r="BR416" s="346"/>
      <c r="BS416" s="346"/>
      <c r="BT416" s="346"/>
      <c r="BU416" s="346"/>
      <c r="BV416" s="346"/>
      <c r="BW416" s="346"/>
      <c r="BX416" s="346"/>
      <c r="BY416" s="346"/>
      <c r="BZ416" s="346"/>
      <c r="CA416" s="346"/>
      <c r="CB416" s="346"/>
      <c r="CC416" s="346"/>
      <c r="CD416" s="346"/>
      <c r="CE416" s="346"/>
      <c r="CF416" s="346"/>
      <c r="CG416" s="346"/>
      <c r="CH416" s="346"/>
      <c r="CI416" s="346"/>
      <c r="CJ416" s="346"/>
      <c r="CK416" s="346"/>
      <c r="CL416" s="346"/>
      <c r="CM416" s="346"/>
      <c r="CN416" s="346"/>
      <c r="CO416" s="346"/>
      <c r="CP416" s="346"/>
      <c r="CQ416" s="346"/>
      <c r="CR416" s="346"/>
      <c r="CS416" s="346"/>
      <c r="CT416" s="346"/>
      <c r="CU416" s="346"/>
      <c r="CV416" s="346"/>
      <c r="CW416" s="346"/>
      <c r="CX416" s="346"/>
      <c r="CY416" s="346"/>
      <c r="CZ416" s="346"/>
      <c r="DA416" s="346"/>
      <c r="DB416" s="346"/>
      <c r="DC416" s="346"/>
      <c r="DD416" s="346"/>
      <c r="DE416" s="346"/>
      <c r="DF416" s="346"/>
      <c r="DG416" s="346"/>
      <c r="DH416" s="346"/>
      <c r="DI416" s="346"/>
    </row>
    <row r="417" spans="1:113" x14ac:dyDescent="0.25">
      <c r="A417" s="384">
        <v>14</v>
      </c>
      <c r="B417" s="394" t="s">
        <v>1068</v>
      </c>
      <c r="C417" s="362">
        <v>5000</v>
      </c>
      <c r="D417" s="361"/>
      <c r="E417" s="364"/>
      <c r="F417" s="361"/>
      <c r="G417" s="386"/>
      <c r="H417" s="366"/>
      <c r="I417" s="365"/>
      <c r="J417" s="365"/>
      <c r="K417" s="367"/>
      <c r="L417"/>
      <c r="M417" s="314">
        <f t="shared" ref="M417" si="107">SUM(N417:DJ417)</f>
        <v>622</v>
      </c>
      <c r="N417" s="310">
        <f>100*4+50</f>
        <v>450</v>
      </c>
      <c r="O417" s="315">
        <v>42</v>
      </c>
      <c r="P417" s="315">
        <f>100+30</f>
        <v>130</v>
      </c>
      <c r="Q417" s="315"/>
      <c r="R417" s="315"/>
      <c r="S417" s="55"/>
      <c r="T417" s="55"/>
      <c r="U417" s="55"/>
      <c r="V417" s="55"/>
      <c r="W417" s="55"/>
      <c r="X417" s="55"/>
      <c r="Y417" s="55"/>
      <c r="Z417" s="55"/>
      <c r="AA417" s="55"/>
      <c r="AB417" s="55"/>
      <c r="AC417" s="55"/>
      <c r="AD417" s="55"/>
      <c r="AE417" s="55"/>
      <c r="AF417" s="55"/>
      <c r="AG417" s="55"/>
      <c r="AH417" s="55"/>
      <c r="AI417" s="55"/>
      <c r="AJ417" s="55"/>
      <c r="AK417" s="55"/>
      <c r="AL417" s="55"/>
      <c r="AM417" s="55"/>
      <c r="AN417" s="55"/>
      <c r="AO417" s="55"/>
      <c r="AP417" s="55"/>
      <c r="AQ417" s="55"/>
      <c r="AR417" s="55"/>
      <c r="AS417" s="55"/>
      <c r="AT417" s="55"/>
      <c r="AU417" s="55"/>
      <c r="AV417" s="55"/>
      <c r="AW417" s="55"/>
      <c r="AX417" s="55"/>
      <c r="AY417" s="55"/>
      <c r="AZ417" s="55"/>
      <c r="BA417" s="55"/>
      <c r="BB417" s="55"/>
      <c r="BC417" s="55"/>
      <c r="BD417" s="55"/>
      <c r="BE417" s="55"/>
      <c r="BF417" s="55"/>
      <c r="BG417" s="55"/>
      <c r="BH417" s="55"/>
      <c r="BI417" s="55"/>
      <c r="BJ417" s="55"/>
      <c r="BK417" s="55"/>
      <c r="BL417" s="55"/>
      <c r="BM417" s="55"/>
      <c r="BN417" s="55"/>
      <c r="BO417" s="55"/>
      <c r="BP417" s="55"/>
      <c r="BQ417" s="55"/>
      <c r="BR417" s="55"/>
      <c r="BS417" s="55"/>
      <c r="BT417" s="55"/>
      <c r="BU417" s="55"/>
      <c r="BV417" s="55"/>
      <c r="BW417" s="55"/>
      <c r="BX417" s="55"/>
      <c r="BY417" s="55"/>
      <c r="BZ417" s="55"/>
      <c r="CA417" s="55"/>
      <c r="CB417" s="55"/>
      <c r="CC417" s="55"/>
      <c r="CD417" s="55"/>
      <c r="CE417" s="55"/>
      <c r="CF417" s="55"/>
      <c r="CG417" s="55"/>
      <c r="CH417" s="55"/>
      <c r="CI417" s="55"/>
      <c r="CJ417" s="55"/>
      <c r="CK417" s="55"/>
      <c r="CL417" s="55"/>
      <c r="CM417" s="55"/>
      <c r="CN417" s="55"/>
      <c r="CO417" s="55"/>
      <c r="CP417" s="55"/>
      <c r="CQ417" s="55"/>
      <c r="CR417" s="55"/>
      <c r="CS417" s="55"/>
      <c r="CT417" s="55"/>
      <c r="CU417" s="55"/>
      <c r="CV417" s="55"/>
      <c r="CW417" s="55"/>
      <c r="CX417" s="55"/>
      <c r="CY417" s="55"/>
      <c r="CZ417" s="55"/>
      <c r="DA417" s="55"/>
      <c r="DB417" s="55"/>
      <c r="DC417" s="55"/>
      <c r="DD417" s="55"/>
      <c r="DE417" s="55"/>
      <c r="DF417" s="55"/>
      <c r="DG417" s="55"/>
      <c r="DH417" s="55"/>
      <c r="DI417" s="55"/>
    </row>
    <row r="418" spans="1:113" x14ac:dyDescent="0.25">
      <c r="A418" s="384"/>
      <c r="B418" s="394"/>
      <c r="C418" s="362"/>
      <c r="D418" s="361"/>
      <c r="E418" s="364"/>
      <c r="F418" s="361"/>
      <c r="G418" s="386"/>
      <c r="H418" s="366"/>
      <c r="I418" s="365"/>
      <c r="J418" s="365"/>
      <c r="K418" s="367"/>
      <c r="L418"/>
      <c r="M418" s="348"/>
      <c r="N418" s="310" t="s">
        <v>1062</v>
      </c>
      <c r="O418" s="349"/>
      <c r="P418" s="349"/>
      <c r="Q418" s="349"/>
      <c r="R418" s="349"/>
      <c r="S418" s="346"/>
      <c r="T418" s="346"/>
      <c r="U418" s="346"/>
      <c r="V418" s="346"/>
      <c r="W418" s="346"/>
      <c r="X418" s="346"/>
      <c r="Y418" s="346"/>
      <c r="Z418" s="346"/>
      <c r="AA418" s="346"/>
      <c r="AB418" s="346"/>
      <c r="AC418" s="346"/>
      <c r="AD418" s="346"/>
      <c r="AE418" s="346"/>
      <c r="AF418" s="346"/>
      <c r="AG418" s="346"/>
      <c r="AH418" s="346"/>
      <c r="AI418" s="346"/>
      <c r="AJ418" s="346"/>
      <c r="AK418" s="346"/>
      <c r="AL418" s="346"/>
      <c r="AM418" s="346"/>
      <c r="AN418" s="346"/>
      <c r="AO418" s="346"/>
      <c r="AP418" s="346"/>
      <c r="AQ418" s="346"/>
      <c r="AR418" s="346"/>
      <c r="AS418" s="346"/>
      <c r="AT418" s="346"/>
      <c r="AU418" s="346"/>
      <c r="AV418" s="346"/>
      <c r="AW418" s="346"/>
      <c r="AX418" s="346"/>
      <c r="AY418" s="346"/>
      <c r="AZ418" s="346"/>
      <c r="BA418" s="346"/>
      <c r="BB418" s="346"/>
      <c r="BC418" s="346"/>
      <c r="BD418" s="346"/>
      <c r="BE418" s="346"/>
      <c r="BF418" s="346"/>
      <c r="BG418" s="346"/>
      <c r="BH418" s="346"/>
      <c r="BI418" s="346"/>
      <c r="BJ418" s="346"/>
      <c r="BK418" s="346"/>
      <c r="BL418" s="346"/>
      <c r="BM418" s="346"/>
      <c r="BN418" s="346"/>
      <c r="BO418" s="346"/>
      <c r="BP418" s="346"/>
      <c r="BQ418" s="346"/>
      <c r="BR418" s="346"/>
      <c r="BS418" s="346"/>
      <c r="BT418" s="346"/>
      <c r="BU418" s="346"/>
      <c r="BV418" s="346"/>
      <c r="BW418" s="346"/>
      <c r="BX418" s="346"/>
      <c r="BY418" s="346"/>
      <c r="BZ418" s="346"/>
      <c r="CA418" s="346"/>
      <c r="CB418" s="346"/>
      <c r="CC418" s="346"/>
      <c r="CD418" s="346"/>
      <c r="CE418" s="346"/>
      <c r="CF418" s="346"/>
      <c r="CG418" s="346"/>
      <c r="CH418" s="346"/>
      <c r="CI418" s="346"/>
      <c r="CJ418" s="346"/>
      <c r="CK418" s="346"/>
      <c r="CL418" s="346"/>
      <c r="CM418" s="346"/>
      <c r="CN418" s="346"/>
      <c r="CO418" s="346"/>
      <c r="CP418" s="346"/>
      <c r="CQ418" s="346"/>
      <c r="CR418" s="346"/>
      <c r="CS418" s="346"/>
      <c r="CT418" s="346"/>
      <c r="CU418" s="346"/>
      <c r="CV418" s="346"/>
      <c r="CW418" s="346"/>
      <c r="CX418" s="346"/>
      <c r="CY418" s="346"/>
      <c r="CZ418" s="346"/>
      <c r="DA418" s="346"/>
      <c r="DB418" s="346"/>
      <c r="DC418" s="346"/>
      <c r="DD418" s="346"/>
      <c r="DE418" s="346"/>
      <c r="DF418" s="346"/>
      <c r="DG418" s="346"/>
      <c r="DH418" s="346"/>
      <c r="DI418" s="346"/>
    </row>
    <row r="419" spans="1:113" x14ac:dyDescent="0.25">
      <c r="A419" s="384">
        <v>15</v>
      </c>
      <c r="B419" s="394" t="s">
        <v>1073</v>
      </c>
      <c r="C419" s="362">
        <v>5000</v>
      </c>
      <c r="D419" s="361"/>
      <c r="E419" s="364"/>
      <c r="F419" s="361"/>
      <c r="G419" s="386"/>
      <c r="H419" s="366"/>
      <c r="I419" s="365"/>
      <c r="J419" s="365"/>
      <c r="K419" s="367"/>
      <c r="L419"/>
      <c r="M419" s="314">
        <f t="shared" ref="M419" si="108">SUM(N419:DJ419)</f>
        <v>14</v>
      </c>
      <c r="N419" s="310">
        <v>14</v>
      </c>
      <c r="O419" s="315"/>
      <c r="P419" s="315"/>
      <c r="Q419" s="315"/>
      <c r="R419" s="315"/>
      <c r="S419" s="55"/>
      <c r="T419" s="55"/>
      <c r="U419" s="55"/>
      <c r="V419" s="55"/>
      <c r="W419" s="55"/>
      <c r="X419" s="55"/>
      <c r="Y419" s="55"/>
      <c r="Z419" s="55"/>
      <c r="AA419" s="55"/>
      <c r="AB419" s="55"/>
      <c r="AC419" s="55"/>
      <c r="AD419" s="55"/>
      <c r="AE419" s="55"/>
      <c r="AF419" s="55"/>
      <c r="AG419" s="55"/>
      <c r="AH419" s="55"/>
      <c r="AI419" s="55"/>
      <c r="AJ419" s="55"/>
      <c r="AK419" s="55"/>
      <c r="AL419" s="55"/>
      <c r="AM419" s="55"/>
      <c r="AN419" s="55"/>
      <c r="AO419" s="55"/>
      <c r="AP419" s="55"/>
      <c r="AQ419" s="55"/>
      <c r="AR419" s="55"/>
      <c r="AS419" s="55"/>
      <c r="AT419" s="55"/>
      <c r="AU419" s="55"/>
      <c r="AV419" s="55"/>
      <c r="AW419" s="55"/>
      <c r="AX419" s="55"/>
      <c r="AY419" s="55"/>
      <c r="AZ419" s="55"/>
      <c r="BA419" s="55"/>
      <c r="BB419" s="55"/>
      <c r="BC419" s="55"/>
      <c r="BD419" s="55"/>
      <c r="BE419" s="55"/>
      <c r="BF419" s="55"/>
      <c r="BG419" s="55"/>
      <c r="BH419" s="55"/>
      <c r="BI419" s="55"/>
      <c r="BJ419" s="55"/>
      <c r="BK419" s="55"/>
      <c r="BL419" s="55"/>
      <c r="BM419" s="55"/>
      <c r="BN419" s="55"/>
      <c r="BO419" s="55"/>
      <c r="BP419" s="55"/>
      <c r="BQ419" s="55"/>
      <c r="BR419" s="55"/>
      <c r="BS419" s="55"/>
      <c r="BT419" s="55"/>
      <c r="BU419" s="55"/>
      <c r="BV419" s="55"/>
      <c r="BW419" s="55"/>
      <c r="BX419" s="55"/>
      <c r="BY419" s="55"/>
      <c r="BZ419" s="55"/>
      <c r="CA419" s="55"/>
      <c r="CB419" s="55"/>
      <c r="CC419" s="55"/>
      <c r="CD419" s="55"/>
      <c r="CE419" s="55"/>
      <c r="CF419" s="55"/>
      <c r="CG419" s="55"/>
      <c r="CH419" s="55"/>
      <c r="CI419" s="55"/>
      <c r="CJ419" s="55"/>
      <c r="CK419" s="55"/>
      <c r="CL419" s="55"/>
      <c r="CM419" s="55"/>
      <c r="CN419" s="55"/>
      <c r="CO419" s="55"/>
      <c r="CP419" s="55"/>
      <c r="CQ419" s="55"/>
      <c r="CR419" s="55"/>
      <c r="CS419" s="55"/>
      <c r="CT419" s="55"/>
      <c r="CU419" s="55"/>
      <c r="CV419" s="55"/>
      <c r="CW419" s="55"/>
      <c r="CX419" s="55"/>
      <c r="CY419" s="55"/>
      <c r="CZ419" s="55"/>
      <c r="DA419" s="55"/>
      <c r="DB419" s="55"/>
      <c r="DC419" s="55"/>
      <c r="DD419" s="55"/>
      <c r="DE419" s="55"/>
      <c r="DF419" s="55"/>
      <c r="DG419" s="55"/>
      <c r="DH419" s="55"/>
      <c r="DI419" s="55"/>
    </row>
    <row r="420" spans="1:113" x14ac:dyDescent="0.25">
      <c r="A420" s="384"/>
      <c r="B420" s="394"/>
      <c r="C420" s="362"/>
      <c r="D420" s="361"/>
      <c r="E420" s="364"/>
      <c r="F420" s="361"/>
      <c r="G420" s="386"/>
      <c r="H420" s="366"/>
      <c r="I420" s="365"/>
      <c r="J420" s="365"/>
      <c r="K420" s="367"/>
      <c r="L420"/>
      <c r="M420" s="348"/>
      <c r="N420" s="310" t="s">
        <v>1071</v>
      </c>
      <c r="O420" s="315" t="s">
        <v>1075</v>
      </c>
      <c r="P420" s="315" t="s">
        <v>1002</v>
      </c>
      <c r="Q420" s="315" t="s">
        <v>1076</v>
      </c>
      <c r="R420" s="315" t="s">
        <v>1066</v>
      </c>
      <c r="S420" s="55" t="s">
        <v>1063</v>
      </c>
      <c r="T420" s="55"/>
      <c r="U420" s="55"/>
      <c r="V420" s="346"/>
      <c r="W420" s="346"/>
      <c r="X420" s="346"/>
      <c r="Y420" s="346"/>
      <c r="Z420" s="346"/>
      <c r="AA420" s="346"/>
      <c r="AB420" s="346"/>
      <c r="AC420" s="346"/>
      <c r="AD420" s="346"/>
      <c r="AE420" s="346"/>
      <c r="AF420" s="346"/>
      <c r="AG420" s="346"/>
      <c r="AH420" s="346"/>
      <c r="AI420" s="346"/>
      <c r="AJ420" s="346"/>
      <c r="AK420" s="346"/>
      <c r="AL420" s="346"/>
      <c r="AM420" s="346"/>
      <c r="AN420" s="346"/>
      <c r="AO420" s="346"/>
      <c r="AP420" s="346"/>
      <c r="AQ420" s="346"/>
      <c r="AR420" s="346"/>
      <c r="AS420" s="346"/>
      <c r="AT420" s="346"/>
      <c r="AU420" s="346"/>
      <c r="AV420" s="346"/>
      <c r="AW420" s="346"/>
      <c r="AX420" s="346"/>
      <c r="AY420" s="346"/>
      <c r="AZ420" s="346"/>
      <c r="BA420" s="346"/>
      <c r="BB420" s="346"/>
      <c r="BC420" s="346"/>
      <c r="BD420" s="346"/>
      <c r="BE420" s="346"/>
      <c r="BF420" s="346"/>
      <c r="BG420" s="346"/>
      <c r="BH420" s="346"/>
      <c r="BI420" s="346"/>
      <c r="BJ420" s="346"/>
      <c r="BK420" s="346"/>
      <c r="BL420" s="346"/>
      <c r="BM420" s="346"/>
      <c r="BN420" s="346"/>
      <c r="BO420" s="346"/>
      <c r="BP420" s="346"/>
      <c r="BQ420" s="346"/>
      <c r="BR420" s="346"/>
      <c r="BS420" s="346"/>
      <c r="BT420" s="346"/>
      <c r="BU420" s="346"/>
      <c r="BV420" s="346"/>
      <c r="BW420" s="346"/>
      <c r="BX420" s="346"/>
      <c r="BY420" s="346"/>
      <c r="BZ420" s="346"/>
      <c r="CA420" s="346"/>
      <c r="CB420" s="346"/>
      <c r="CC420" s="346"/>
      <c r="CD420" s="346"/>
      <c r="CE420" s="346"/>
      <c r="CF420" s="346"/>
      <c r="CG420" s="346"/>
      <c r="CH420" s="346"/>
      <c r="CI420" s="346"/>
      <c r="CJ420" s="346"/>
      <c r="CK420" s="346"/>
      <c r="CL420" s="346"/>
      <c r="CM420" s="346"/>
      <c r="CN420" s="346"/>
      <c r="CO420" s="346"/>
      <c r="CP420" s="346"/>
      <c r="CQ420" s="346"/>
      <c r="CR420" s="346"/>
      <c r="CS420" s="346"/>
      <c r="CT420" s="346"/>
      <c r="CU420" s="346"/>
      <c r="CV420" s="346"/>
      <c r="CW420" s="346"/>
      <c r="CX420" s="346"/>
      <c r="CY420" s="346"/>
      <c r="CZ420" s="346"/>
      <c r="DA420" s="346"/>
      <c r="DB420" s="346"/>
      <c r="DC420" s="346"/>
      <c r="DD420" s="346"/>
      <c r="DE420" s="346"/>
      <c r="DF420" s="346"/>
      <c r="DG420" s="346"/>
      <c r="DH420" s="346"/>
      <c r="DI420" s="346"/>
    </row>
    <row r="421" spans="1:113" x14ac:dyDescent="0.25">
      <c r="A421" s="384">
        <v>16</v>
      </c>
      <c r="B421" s="394" t="s">
        <v>1074</v>
      </c>
      <c r="C421" s="362">
        <v>4500</v>
      </c>
      <c r="D421" s="361"/>
      <c r="E421" s="364"/>
      <c r="F421" s="361"/>
      <c r="G421" s="386"/>
      <c r="H421" s="366"/>
      <c r="I421" s="365"/>
      <c r="J421" s="365"/>
      <c r="K421" s="367"/>
      <c r="L421"/>
      <c r="M421" s="314">
        <f t="shared" ref="M421" si="109">SUM(N421:DJ421)</f>
        <v>915</v>
      </c>
      <c r="N421" s="310">
        <f>100+100+100+100</f>
        <v>400</v>
      </c>
      <c r="O421" s="315">
        <f>99+100</f>
        <v>199</v>
      </c>
      <c r="P421" s="315">
        <v>67</v>
      </c>
      <c r="Q421" s="315">
        <v>100</v>
      </c>
      <c r="R421" s="315">
        <f>50+40</f>
        <v>90</v>
      </c>
      <c r="S421" s="55">
        <v>59</v>
      </c>
      <c r="T421" s="55"/>
      <c r="U421" s="55"/>
      <c r="V421" s="55"/>
      <c r="W421" s="55"/>
      <c r="X421" s="55"/>
      <c r="Y421" s="55"/>
      <c r="Z421" s="55"/>
      <c r="AA421" s="55"/>
      <c r="AB421" s="55"/>
      <c r="AC421" s="55"/>
      <c r="AD421" s="55"/>
      <c r="AE421" s="55"/>
      <c r="AF421" s="55"/>
      <c r="AG421" s="55"/>
      <c r="AH421" s="55"/>
      <c r="AI421" s="55"/>
      <c r="AJ421" s="55"/>
      <c r="AK421" s="55"/>
      <c r="AL421" s="55"/>
      <c r="AM421" s="55"/>
      <c r="AN421" s="55"/>
      <c r="AO421" s="55"/>
      <c r="AP421" s="55"/>
      <c r="AQ421" s="55"/>
      <c r="AR421" s="55"/>
      <c r="AS421" s="55"/>
      <c r="AT421" s="55"/>
      <c r="AU421" s="55"/>
      <c r="AV421" s="55"/>
      <c r="AW421" s="55"/>
      <c r="AX421" s="55"/>
      <c r="AY421" s="55"/>
      <c r="AZ421" s="55"/>
      <c r="BA421" s="55"/>
      <c r="BB421" s="55"/>
      <c r="BC421" s="55"/>
      <c r="BD421" s="55"/>
      <c r="BE421" s="55"/>
      <c r="BF421" s="55"/>
      <c r="BG421" s="55"/>
      <c r="BH421" s="55"/>
      <c r="BI421" s="55"/>
      <c r="BJ421" s="55"/>
      <c r="BK421" s="55"/>
      <c r="BL421" s="55"/>
      <c r="BM421" s="55"/>
      <c r="BN421" s="55"/>
      <c r="BO421" s="55"/>
      <c r="BP421" s="55"/>
      <c r="BQ421" s="55"/>
      <c r="BR421" s="55"/>
      <c r="BS421" s="55"/>
      <c r="BT421" s="55"/>
      <c r="BU421" s="55"/>
      <c r="BV421" s="55"/>
      <c r="BW421" s="55"/>
      <c r="BX421" s="55"/>
      <c r="BY421" s="55"/>
      <c r="BZ421" s="55"/>
      <c r="CA421" s="55"/>
      <c r="CB421" s="55"/>
      <c r="CC421" s="55"/>
      <c r="CD421" s="55"/>
      <c r="CE421" s="55"/>
      <c r="CF421" s="55"/>
      <c r="CG421" s="55"/>
      <c r="CH421" s="55"/>
      <c r="CI421" s="55"/>
      <c r="CJ421" s="55"/>
      <c r="CK421" s="55"/>
      <c r="CL421" s="55"/>
      <c r="CM421" s="55"/>
      <c r="CN421" s="55"/>
      <c r="CO421" s="55"/>
      <c r="CP421" s="55"/>
      <c r="CQ421" s="55"/>
      <c r="CR421" s="55"/>
      <c r="CS421" s="55"/>
      <c r="CT421" s="55"/>
      <c r="CU421" s="55"/>
      <c r="CV421" s="55"/>
      <c r="CW421" s="55"/>
      <c r="CX421" s="55"/>
      <c r="CY421" s="55"/>
      <c r="CZ421" s="55"/>
      <c r="DA421" s="55"/>
      <c r="DB421" s="55"/>
      <c r="DC421" s="55"/>
      <c r="DD421" s="55"/>
      <c r="DE421" s="55"/>
      <c r="DF421" s="55"/>
      <c r="DG421" s="55"/>
      <c r="DH421" s="55"/>
      <c r="DI421" s="55"/>
    </row>
    <row r="422" spans="1:113" x14ac:dyDescent="0.25">
      <c r="A422" s="384"/>
      <c r="B422" s="394"/>
      <c r="C422" s="362"/>
      <c r="D422" s="361"/>
      <c r="E422" s="364"/>
      <c r="F422" s="361"/>
      <c r="G422" s="386"/>
      <c r="H422" s="366"/>
      <c r="I422" s="365"/>
      <c r="J422" s="365"/>
      <c r="K422" s="367"/>
      <c r="L422"/>
      <c r="M422" s="348"/>
      <c r="N422" s="310" t="s">
        <v>1084</v>
      </c>
      <c r="O422" s="349" t="s">
        <v>1002</v>
      </c>
      <c r="P422" s="349" t="s">
        <v>1076</v>
      </c>
      <c r="Q422" s="349"/>
      <c r="R422" s="349"/>
      <c r="S422" s="346"/>
      <c r="T422" s="346"/>
      <c r="U422" s="346"/>
      <c r="V422" s="346"/>
      <c r="W422" s="346"/>
      <c r="X422" s="346"/>
      <c r="Y422" s="346"/>
      <c r="Z422" s="346"/>
      <c r="AA422" s="346"/>
      <c r="AB422" s="346"/>
      <c r="AC422" s="346"/>
      <c r="AD422" s="346"/>
      <c r="AE422" s="346"/>
      <c r="AF422" s="346"/>
      <c r="AG422" s="346"/>
      <c r="AH422" s="346"/>
      <c r="AI422" s="346"/>
      <c r="AJ422" s="346"/>
      <c r="AK422" s="346"/>
      <c r="AL422" s="346"/>
      <c r="AM422" s="346"/>
      <c r="AN422" s="346"/>
      <c r="AO422" s="346"/>
      <c r="AP422" s="346"/>
      <c r="AQ422" s="346"/>
      <c r="AR422" s="346"/>
      <c r="AS422" s="346"/>
      <c r="AT422" s="346"/>
      <c r="AU422" s="346"/>
      <c r="AV422" s="346"/>
      <c r="AW422" s="346"/>
      <c r="AX422" s="346"/>
      <c r="AY422" s="346"/>
      <c r="AZ422" s="346"/>
      <c r="BA422" s="346"/>
      <c r="BB422" s="346"/>
      <c r="BC422" s="346"/>
      <c r="BD422" s="346"/>
      <c r="BE422" s="346"/>
      <c r="BF422" s="346"/>
      <c r="BG422" s="346"/>
      <c r="BH422" s="346"/>
      <c r="BI422" s="346"/>
      <c r="BJ422" s="346"/>
      <c r="BK422" s="346"/>
      <c r="BL422" s="346"/>
      <c r="BM422" s="346"/>
      <c r="BN422" s="346"/>
      <c r="BO422" s="346"/>
      <c r="BP422" s="346"/>
      <c r="BQ422" s="346"/>
      <c r="BR422" s="346"/>
      <c r="BS422" s="346"/>
      <c r="BT422" s="346"/>
      <c r="BU422" s="346"/>
      <c r="BV422" s="346"/>
      <c r="BW422" s="346"/>
      <c r="BX422" s="346"/>
      <c r="BY422" s="346"/>
      <c r="BZ422" s="346"/>
      <c r="CA422" s="346"/>
      <c r="CB422" s="346"/>
      <c r="CC422" s="346"/>
      <c r="CD422" s="346"/>
      <c r="CE422" s="346"/>
      <c r="CF422" s="346"/>
      <c r="CG422" s="346"/>
      <c r="CH422" s="346"/>
      <c r="CI422" s="346"/>
      <c r="CJ422" s="346"/>
      <c r="CK422" s="346"/>
      <c r="CL422" s="346"/>
      <c r="CM422" s="346"/>
      <c r="CN422" s="346"/>
      <c r="CO422" s="346"/>
      <c r="CP422" s="346"/>
      <c r="CQ422" s="346"/>
      <c r="CR422" s="346"/>
      <c r="CS422" s="346"/>
      <c r="CT422" s="346"/>
      <c r="CU422" s="346"/>
      <c r="CV422" s="346"/>
      <c r="CW422" s="346"/>
      <c r="CX422" s="346"/>
      <c r="CY422" s="346"/>
      <c r="CZ422" s="346"/>
      <c r="DA422" s="346"/>
      <c r="DB422" s="346"/>
      <c r="DC422" s="346"/>
      <c r="DD422" s="346"/>
      <c r="DE422" s="346"/>
      <c r="DF422" s="346"/>
      <c r="DG422" s="346"/>
      <c r="DH422" s="346"/>
      <c r="DI422" s="346"/>
    </row>
    <row r="423" spans="1:113" x14ac:dyDescent="0.25">
      <c r="A423" s="384"/>
      <c r="B423" s="394" t="s">
        <v>1085</v>
      </c>
      <c r="C423" s="362">
        <v>4500</v>
      </c>
      <c r="D423" s="361"/>
      <c r="E423" s="364"/>
      <c r="F423" s="361"/>
      <c r="G423" s="386"/>
      <c r="H423" s="366"/>
      <c r="I423" s="365"/>
      <c r="J423" s="365"/>
      <c r="K423" s="367"/>
      <c r="L423"/>
      <c r="M423" s="314">
        <f t="shared" ref="M423" si="110">SUM(N423:DJ423)</f>
        <v>807</v>
      </c>
      <c r="N423" s="310">
        <f>100*6+40</f>
        <v>640</v>
      </c>
      <c r="O423" s="315">
        <v>67</v>
      </c>
      <c r="P423" s="315">
        <v>100</v>
      </c>
      <c r="Q423" s="315"/>
      <c r="R423" s="315"/>
      <c r="S423" s="55"/>
      <c r="T423" s="55"/>
      <c r="U423" s="55"/>
      <c r="V423" s="55"/>
      <c r="W423" s="55"/>
      <c r="X423" s="55"/>
      <c r="Y423" s="55"/>
      <c r="Z423" s="55"/>
      <c r="AA423" s="55"/>
      <c r="AB423" s="55"/>
      <c r="AC423" s="55"/>
      <c r="AD423" s="55"/>
      <c r="AE423" s="55"/>
      <c r="AF423" s="55"/>
      <c r="AG423" s="55"/>
      <c r="AH423" s="55"/>
      <c r="AI423" s="55"/>
      <c r="AJ423" s="55"/>
      <c r="AK423" s="55"/>
      <c r="AL423" s="55"/>
      <c r="AM423" s="55"/>
      <c r="AN423" s="55"/>
      <c r="AO423" s="55"/>
      <c r="AP423" s="55"/>
      <c r="AQ423" s="55"/>
      <c r="AR423" s="55"/>
      <c r="AS423" s="55"/>
      <c r="AT423" s="55"/>
      <c r="AU423" s="55"/>
      <c r="AV423" s="55"/>
      <c r="AW423" s="55"/>
      <c r="AX423" s="55"/>
      <c r="AY423" s="55"/>
      <c r="AZ423" s="55"/>
      <c r="BA423" s="55"/>
      <c r="BB423" s="55"/>
      <c r="BC423" s="55"/>
      <c r="BD423" s="55"/>
      <c r="BE423" s="55"/>
      <c r="BF423" s="55"/>
      <c r="BG423" s="55"/>
      <c r="BH423" s="55"/>
      <c r="BI423" s="55"/>
      <c r="BJ423" s="55"/>
      <c r="BK423" s="55"/>
      <c r="BL423" s="55"/>
      <c r="BM423" s="55"/>
      <c r="BN423" s="55"/>
      <c r="BO423" s="55"/>
      <c r="BP423" s="55"/>
      <c r="BQ423" s="55"/>
      <c r="BR423" s="55"/>
      <c r="BS423" s="55"/>
      <c r="BT423" s="55"/>
      <c r="BU423" s="55"/>
      <c r="BV423" s="55"/>
      <c r="BW423" s="55"/>
      <c r="BX423" s="55"/>
      <c r="BY423" s="55"/>
      <c r="BZ423" s="55"/>
      <c r="CA423" s="55"/>
      <c r="CB423" s="55"/>
      <c r="CC423" s="55"/>
      <c r="CD423" s="55"/>
      <c r="CE423" s="55"/>
      <c r="CF423" s="55"/>
      <c r="CG423" s="55"/>
      <c r="CH423" s="55"/>
      <c r="CI423" s="55"/>
      <c r="CJ423" s="55"/>
      <c r="CK423" s="55"/>
      <c r="CL423" s="55"/>
      <c r="CM423" s="55"/>
      <c r="CN423" s="55"/>
      <c r="CO423" s="55"/>
      <c r="CP423" s="55"/>
      <c r="CQ423" s="55"/>
      <c r="CR423" s="55"/>
      <c r="CS423" s="55"/>
      <c r="CT423" s="55"/>
      <c r="CU423" s="55"/>
      <c r="CV423" s="55"/>
      <c r="CW423" s="55"/>
      <c r="CX423" s="55"/>
      <c r="CY423" s="55"/>
      <c r="CZ423" s="55"/>
      <c r="DA423" s="55"/>
      <c r="DB423" s="55"/>
      <c r="DC423" s="55"/>
      <c r="DD423" s="55"/>
      <c r="DE423" s="55"/>
      <c r="DF423" s="55"/>
      <c r="DG423" s="55"/>
      <c r="DH423" s="55"/>
      <c r="DI423" s="55"/>
    </row>
    <row r="424" spans="1:113" x14ac:dyDescent="0.25">
      <c r="A424" s="384"/>
      <c r="B424" s="394"/>
      <c r="C424" s="362"/>
      <c r="D424" s="361"/>
      <c r="E424" s="364"/>
      <c r="F424" s="361"/>
      <c r="G424" s="386"/>
      <c r="H424" s="366"/>
      <c r="I424" s="365"/>
      <c r="J424" s="365"/>
      <c r="K424" s="367"/>
      <c r="L424"/>
      <c r="M424" s="348"/>
      <c r="N424" s="310" t="s">
        <v>1084</v>
      </c>
      <c r="O424" s="349" t="s">
        <v>1002</v>
      </c>
      <c r="P424" s="349" t="s">
        <v>1076</v>
      </c>
      <c r="Q424" s="349"/>
      <c r="R424" s="349"/>
      <c r="S424" s="346"/>
      <c r="T424" s="346"/>
      <c r="U424" s="346"/>
      <c r="V424" s="346"/>
      <c r="W424" s="346"/>
      <c r="X424" s="346"/>
      <c r="Y424" s="346"/>
      <c r="Z424" s="346"/>
      <c r="AA424" s="346"/>
      <c r="AB424" s="346"/>
      <c r="AC424" s="346"/>
      <c r="AD424" s="346"/>
      <c r="AE424" s="346"/>
      <c r="AF424" s="346"/>
      <c r="AG424" s="346"/>
      <c r="AH424" s="346"/>
      <c r="AI424" s="346"/>
      <c r="AJ424" s="346"/>
      <c r="AK424" s="346"/>
      <c r="AL424" s="346"/>
      <c r="AM424" s="346"/>
      <c r="AN424" s="346"/>
      <c r="AO424" s="346"/>
      <c r="AP424" s="346"/>
      <c r="AQ424" s="346"/>
      <c r="AR424" s="346"/>
      <c r="AS424" s="346"/>
      <c r="AT424" s="346"/>
      <c r="AU424" s="346"/>
      <c r="AV424" s="346"/>
      <c r="AW424" s="346"/>
      <c r="AX424" s="346"/>
      <c r="AY424" s="346"/>
      <c r="AZ424" s="346"/>
      <c r="BA424" s="346"/>
      <c r="BB424" s="346"/>
      <c r="BC424" s="346"/>
      <c r="BD424" s="346"/>
      <c r="BE424" s="346"/>
      <c r="BF424" s="346"/>
      <c r="BG424" s="346"/>
      <c r="BH424" s="346"/>
      <c r="BI424" s="346"/>
      <c r="BJ424" s="346"/>
      <c r="BK424" s="346"/>
      <c r="BL424" s="346"/>
      <c r="BM424" s="346"/>
      <c r="BN424" s="346"/>
      <c r="BO424" s="346"/>
      <c r="BP424" s="346"/>
      <c r="BQ424" s="346"/>
      <c r="BR424" s="346"/>
      <c r="BS424" s="346"/>
      <c r="BT424" s="346"/>
      <c r="BU424" s="346"/>
      <c r="BV424" s="346"/>
      <c r="BW424" s="346"/>
      <c r="BX424" s="346"/>
      <c r="BY424" s="346"/>
      <c r="BZ424" s="346"/>
      <c r="CA424" s="346"/>
      <c r="CB424" s="346"/>
      <c r="CC424" s="346"/>
      <c r="CD424" s="346"/>
      <c r="CE424" s="346"/>
      <c r="CF424" s="346"/>
      <c r="CG424" s="346"/>
      <c r="CH424" s="346"/>
      <c r="CI424" s="346"/>
      <c r="CJ424" s="346"/>
      <c r="CK424" s="346"/>
      <c r="CL424" s="346"/>
      <c r="CM424" s="346"/>
      <c r="CN424" s="346"/>
      <c r="CO424" s="346"/>
      <c r="CP424" s="346"/>
      <c r="CQ424" s="346"/>
      <c r="CR424" s="346"/>
      <c r="CS424" s="346"/>
      <c r="CT424" s="346"/>
      <c r="CU424" s="346"/>
      <c r="CV424" s="346"/>
      <c r="CW424" s="346"/>
      <c r="CX424" s="346"/>
      <c r="CY424" s="346"/>
      <c r="CZ424" s="346"/>
      <c r="DA424" s="346"/>
      <c r="DB424" s="346"/>
      <c r="DC424" s="346"/>
      <c r="DD424" s="346"/>
      <c r="DE424" s="346"/>
      <c r="DF424" s="346"/>
      <c r="DG424" s="346"/>
      <c r="DH424" s="346"/>
      <c r="DI424" s="346"/>
    </row>
    <row r="425" spans="1:113" x14ac:dyDescent="0.25">
      <c r="A425" s="384"/>
      <c r="B425" s="394" t="s">
        <v>1083</v>
      </c>
      <c r="C425" s="362">
        <v>4500</v>
      </c>
      <c r="D425" s="361"/>
      <c r="E425" s="364"/>
      <c r="F425" s="361"/>
      <c r="G425" s="386"/>
      <c r="H425" s="366"/>
      <c r="I425" s="365"/>
      <c r="J425" s="365"/>
      <c r="K425" s="367"/>
      <c r="L425"/>
      <c r="M425" s="314">
        <f t="shared" ref="M425" si="111">SUM(N425:DJ425)</f>
        <v>707</v>
      </c>
      <c r="N425" s="310">
        <f>100+100+100+100+100+40</f>
        <v>540</v>
      </c>
      <c r="O425" s="315">
        <v>67</v>
      </c>
      <c r="P425" s="315">
        <v>100</v>
      </c>
      <c r="Q425" s="315"/>
      <c r="R425" s="315"/>
      <c r="S425" s="55"/>
      <c r="T425" s="55"/>
      <c r="U425" s="55"/>
      <c r="V425" s="55"/>
      <c r="W425" s="55"/>
      <c r="X425" s="55"/>
      <c r="Y425" s="55"/>
      <c r="Z425" s="55"/>
      <c r="AA425" s="55"/>
      <c r="AB425" s="55"/>
      <c r="AC425" s="55"/>
      <c r="AD425" s="55"/>
      <c r="AE425" s="55"/>
      <c r="AF425" s="55"/>
      <c r="AG425" s="55"/>
      <c r="AH425" s="55"/>
      <c r="AI425" s="55"/>
      <c r="AJ425" s="55"/>
      <c r="AK425" s="55"/>
      <c r="AL425" s="55"/>
      <c r="AM425" s="55"/>
      <c r="AN425" s="55"/>
      <c r="AO425" s="55"/>
      <c r="AP425" s="55"/>
      <c r="AQ425" s="55"/>
      <c r="AR425" s="55"/>
      <c r="AS425" s="55"/>
      <c r="AT425" s="55"/>
      <c r="AU425" s="55"/>
      <c r="AV425" s="55"/>
      <c r="AW425" s="55"/>
      <c r="AX425" s="55"/>
      <c r="AY425" s="55"/>
      <c r="AZ425" s="55"/>
      <c r="BA425" s="55"/>
      <c r="BB425" s="55"/>
      <c r="BC425" s="55"/>
      <c r="BD425" s="55"/>
      <c r="BE425" s="55"/>
      <c r="BF425" s="55"/>
      <c r="BG425" s="55"/>
      <c r="BH425" s="55"/>
      <c r="BI425" s="55"/>
      <c r="BJ425" s="55"/>
      <c r="BK425" s="55"/>
      <c r="BL425" s="55"/>
      <c r="BM425" s="55"/>
      <c r="BN425" s="55"/>
      <c r="BO425" s="55"/>
      <c r="BP425" s="55"/>
      <c r="BQ425" s="55"/>
      <c r="BR425" s="55"/>
      <c r="BS425" s="55"/>
      <c r="BT425" s="55"/>
      <c r="BU425" s="55"/>
      <c r="BV425" s="55"/>
      <c r="BW425" s="55"/>
      <c r="BX425" s="55"/>
      <c r="BY425" s="55"/>
      <c r="BZ425" s="55"/>
      <c r="CA425" s="55"/>
      <c r="CB425" s="55"/>
      <c r="CC425" s="55"/>
      <c r="CD425" s="55"/>
      <c r="CE425" s="55"/>
      <c r="CF425" s="55"/>
      <c r="CG425" s="55"/>
      <c r="CH425" s="55"/>
      <c r="CI425" s="55"/>
      <c r="CJ425" s="55"/>
      <c r="CK425" s="55"/>
      <c r="CL425" s="55"/>
      <c r="CM425" s="55"/>
      <c r="CN425" s="55"/>
      <c r="CO425" s="55"/>
      <c r="CP425" s="55"/>
      <c r="CQ425" s="55"/>
      <c r="CR425" s="55"/>
      <c r="CS425" s="55"/>
      <c r="CT425" s="55"/>
      <c r="CU425" s="55"/>
      <c r="CV425" s="55"/>
      <c r="CW425" s="55"/>
      <c r="CX425" s="55"/>
      <c r="CY425" s="55"/>
      <c r="CZ425" s="55"/>
      <c r="DA425" s="55"/>
      <c r="DB425" s="55"/>
      <c r="DC425" s="55"/>
      <c r="DD425" s="55"/>
      <c r="DE425" s="55"/>
      <c r="DF425" s="55"/>
      <c r="DG425" s="55"/>
      <c r="DH425" s="55"/>
      <c r="DI425" s="55"/>
    </row>
    <row r="426" spans="1:113" x14ac:dyDescent="0.25">
      <c r="A426" s="384"/>
      <c r="B426" s="394"/>
      <c r="C426" s="362"/>
      <c r="D426" s="361"/>
      <c r="E426" s="364"/>
      <c r="F426" s="361"/>
      <c r="G426" s="386"/>
      <c r="H426" s="366"/>
      <c r="I426" s="365"/>
      <c r="J426" s="365"/>
      <c r="K426" s="367"/>
      <c r="L426"/>
      <c r="M426" s="348"/>
      <c r="N426" s="310" t="s">
        <v>1075</v>
      </c>
      <c r="O426" s="310" t="s">
        <v>1075</v>
      </c>
      <c r="P426" s="310" t="s">
        <v>1075</v>
      </c>
      <c r="Q426" s="349" t="s">
        <v>1076</v>
      </c>
      <c r="R426" s="349" t="s">
        <v>1002</v>
      </c>
      <c r="S426" s="346"/>
      <c r="T426" s="346"/>
      <c r="U426" s="346"/>
      <c r="V426" s="346"/>
      <c r="W426" s="346"/>
      <c r="X426" s="346"/>
      <c r="Y426" s="346"/>
      <c r="Z426" s="346"/>
      <c r="AA426" s="346"/>
      <c r="AB426" s="346"/>
      <c r="AC426" s="346"/>
      <c r="AD426" s="346"/>
      <c r="AE426" s="346"/>
      <c r="AF426" s="346"/>
      <c r="AG426" s="346"/>
      <c r="AH426" s="346"/>
      <c r="AI426" s="346"/>
      <c r="AJ426" s="346"/>
      <c r="AK426" s="346"/>
      <c r="AL426" s="346"/>
      <c r="AM426" s="346"/>
      <c r="AN426" s="346"/>
      <c r="AO426" s="346"/>
      <c r="AP426" s="346"/>
      <c r="AQ426" s="346"/>
      <c r="AR426" s="346"/>
      <c r="AS426" s="346"/>
      <c r="AT426" s="346"/>
      <c r="AU426" s="346"/>
      <c r="AV426" s="346"/>
      <c r="AW426" s="346"/>
      <c r="AX426" s="346"/>
      <c r="AY426" s="346"/>
      <c r="AZ426" s="346"/>
      <c r="BA426" s="346"/>
      <c r="BB426" s="346"/>
      <c r="BC426" s="346"/>
      <c r="BD426" s="346"/>
      <c r="BE426" s="346"/>
      <c r="BF426" s="346"/>
      <c r="BG426" s="346"/>
      <c r="BH426" s="346"/>
      <c r="BI426" s="346"/>
      <c r="BJ426" s="346"/>
      <c r="BK426" s="346"/>
      <c r="BL426" s="346"/>
      <c r="BM426" s="346"/>
      <c r="BN426" s="346"/>
      <c r="BO426" s="346"/>
      <c r="BP426" s="346"/>
      <c r="BQ426" s="346"/>
      <c r="BR426" s="346"/>
      <c r="BS426" s="346"/>
      <c r="BT426" s="346"/>
      <c r="BU426" s="346"/>
      <c r="BV426" s="346"/>
      <c r="BW426" s="346"/>
      <c r="BX426" s="346"/>
      <c r="BY426" s="346"/>
      <c r="BZ426" s="346"/>
      <c r="CA426" s="346"/>
      <c r="CB426" s="346"/>
      <c r="CC426" s="346"/>
      <c r="CD426" s="346"/>
      <c r="CE426" s="346"/>
      <c r="CF426" s="346"/>
      <c r="CG426" s="346"/>
      <c r="CH426" s="346"/>
      <c r="CI426" s="346"/>
      <c r="CJ426" s="346"/>
      <c r="CK426" s="346"/>
      <c r="CL426" s="346"/>
      <c r="CM426" s="346"/>
      <c r="CN426" s="346"/>
      <c r="CO426" s="346"/>
      <c r="CP426" s="346"/>
      <c r="CQ426" s="346"/>
      <c r="CR426" s="346"/>
      <c r="CS426" s="346"/>
      <c r="CT426" s="346"/>
      <c r="CU426" s="346"/>
      <c r="CV426" s="346"/>
      <c r="CW426" s="346"/>
      <c r="CX426" s="346"/>
      <c r="CY426" s="346"/>
      <c r="CZ426" s="346"/>
      <c r="DA426" s="346"/>
      <c r="DB426" s="346"/>
      <c r="DC426" s="346"/>
      <c r="DD426" s="346"/>
      <c r="DE426" s="346"/>
      <c r="DF426" s="346"/>
      <c r="DG426" s="346"/>
      <c r="DH426" s="346"/>
      <c r="DI426" s="346"/>
    </row>
    <row r="427" spans="1:113" x14ac:dyDescent="0.25">
      <c r="A427" s="384"/>
      <c r="B427" s="394" t="s">
        <v>1082</v>
      </c>
      <c r="C427" s="362">
        <v>4500</v>
      </c>
      <c r="D427" s="361"/>
      <c r="E427" s="364"/>
      <c r="F427" s="361"/>
      <c r="G427" s="386"/>
      <c r="H427" s="366"/>
      <c r="I427" s="365"/>
      <c r="J427" s="365"/>
      <c r="K427" s="367"/>
      <c r="L427"/>
      <c r="M427" s="314">
        <f t="shared" ref="M427" si="112">SUM(N427:DJ427)</f>
        <v>807</v>
      </c>
      <c r="N427" s="310">
        <f>100+100+100+100</f>
        <v>400</v>
      </c>
      <c r="O427" s="315">
        <f>100+40</f>
        <v>140</v>
      </c>
      <c r="P427" s="315">
        <v>100</v>
      </c>
      <c r="Q427" s="315">
        <v>100</v>
      </c>
      <c r="R427" s="315">
        <v>67</v>
      </c>
      <c r="S427" s="55"/>
      <c r="T427" s="55"/>
      <c r="U427" s="55"/>
      <c r="V427" s="55"/>
      <c r="W427" s="55"/>
      <c r="X427" s="55"/>
      <c r="Y427" s="55"/>
      <c r="Z427" s="55"/>
      <c r="AA427" s="55"/>
      <c r="AB427" s="55"/>
      <c r="AC427" s="55"/>
      <c r="AD427" s="55"/>
      <c r="AE427" s="55"/>
      <c r="AF427" s="55"/>
      <c r="AG427" s="55"/>
      <c r="AH427" s="55"/>
      <c r="AI427" s="55"/>
      <c r="AJ427" s="55"/>
      <c r="AK427" s="55"/>
      <c r="AL427" s="55"/>
      <c r="AM427" s="55"/>
      <c r="AN427" s="55"/>
      <c r="AO427" s="55"/>
      <c r="AP427" s="55"/>
      <c r="AQ427" s="55"/>
      <c r="AR427" s="55"/>
      <c r="AS427" s="55"/>
      <c r="AT427" s="55"/>
      <c r="AU427" s="55"/>
      <c r="AV427" s="55"/>
      <c r="AW427" s="55"/>
      <c r="AX427" s="55"/>
      <c r="AY427" s="55"/>
      <c r="AZ427" s="55"/>
      <c r="BA427" s="55"/>
      <c r="BB427" s="55"/>
      <c r="BC427" s="55"/>
      <c r="BD427" s="55"/>
      <c r="BE427" s="55"/>
      <c r="BF427" s="55"/>
      <c r="BG427" s="55"/>
      <c r="BH427" s="55"/>
      <c r="BI427" s="55"/>
      <c r="BJ427" s="55"/>
      <c r="BK427" s="55"/>
      <c r="BL427" s="55"/>
      <c r="BM427" s="55"/>
      <c r="BN427" s="55"/>
      <c r="BO427" s="55"/>
      <c r="BP427" s="55"/>
      <c r="BQ427" s="55"/>
      <c r="BR427" s="55"/>
      <c r="BS427" s="55"/>
      <c r="BT427" s="55"/>
      <c r="BU427" s="55"/>
      <c r="BV427" s="55"/>
      <c r="BW427" s="55"/>
      <c r="BX427" s="55"/>
      <c r="BY427" s="55"/>
      <c r="BZ427" s="55"/>
      <c r="CA427" s="55"/>
      <c r="CB427" s="55"/>
      <c r="CC427" s="55"/>
      <c r="CD427" s="55"/>
      <c r="CE427" s="55"/>
      <c r="CF427" s="55"/>
      <c r="CG427" s="55"/>
      <c r="CH427" s="55"/>
      <c r="CI427" s="55"/>
      <c r="CJ427" s="55"/>
      <c r="CK427" s="55"/>
      <c r="CL427" s="55"/>
      <c r="CM427" s="55"/>
      <c r="CN427" s="55"/>
      <c r="CO427" s="55"/>
      <c r="CP427" s="55"/>
      <c r="CQ427" s="55"/>
      <c r="CR427" s="55"/>
      <c r="CS427" s="55"/>
      <c r="CT427" s="55"/>
      <c r="CU427" s="55"/>
      <c r="CV427" s="55"/>
      <c r="CW427" s="55"/>
      <c r="CX427" s="55"/>
      <c r="CY427" s="55"/>
      <c r="CZ427" s="55"/>
      <c r="DA427" s="55"/>
      <c r="DB427" s="55"/>
      <c r="DC427" s="55"/>
      <c r="DD427" s="55"/>
      <c r="DE427" s="55"/>
      <c r="DF427" s="55"/>
      <c r="DG427" s="55"/>
      <c r="DH427" s="55"/>
      <c r="DI427" s="55"/>
    </row>
    <row r="428" spans="1:113" x14ac:dyDescent="0.25">
      <c r="A428" s="384"/>
      <c r="B428" s="394"/>
      <c r="C428" s="362"/>
      <c r="D428" s="361"/>
      <c r="E428" s="364"/>
      <c r="F428" s="361"/>
      <c r="G428" s="386"/>
      <c r="H428" s="366"/>
      <c r="I428" s="365"/>
      <c r="J428" s="365"/>
      <c r="K428" s="367"/>
      <c r="L428"/>
      <c r="M428" s="348"/>
      <c r="N428" s="310" t="s">
        <v>1076</v>
      </c>
      <c r="O428" s="349" t="s">
        <v>1002</v>
      </c>
      <c r="P428" s="349"/>
      <c r="Q428" s="349"/>
      <c r="R428" s="349"/>
      <c r="S428" s="346"/>
      <c r="T428" s="346"/>
      <c r="U428" s="346"/>
      <c r="V428" s="346"/>
      <c r="W428" s="346"/>
      <c r="X428" s="346"/>
      <c r="Y428" s="346"/>
      <c r="Z428" s="346"/>
      <c r="AA428" s="346"/>
      <c r="AB428" s="346"/>
      <c r="AC428" s="346"/>
      <c r="AD428" s="346"/>
      <c r="AE428" s="346"/>
      <c r="AF428" s="346"/>
      <c r="AG428" s="346"/>
      <c r="AH428" s="346"/>
      <c r="AI428" s="346"/>
      <c r="AJ428" s="346"/>
      <c r="AK428" s="346"/>
      <c r="AL428" s="346"/>
      <c r="AM428" s="346"/>
      <c r="AN428" s="346"/>
      <c r="AO428" s="346"/>
      <c r="AP428" s="346"/>
      <c r="AQ428" s="346"/>
      <c r="AR428" s="346"/>
      <c r="AS428" s="346"/>
      <c r="AT428" s="346"/>
      <c r="AU428" s="346"/>
      <c r="AV428" s="346"/>
      <c r="AW428" s="346"/>
      <c r="AX428" s="346"/>
      <c r="AY428" s="346"/>
      <c r="AZ428" s="346"/>
      <c r="BA428" s="346"/>
      <c r="BB428" s="346"/>
      <c r="BC428" s="346"/>
      <c r="BD428" s="346"/>
      <c r="BE428" s="346"/>
      <c r="BF428" s="346"/>
      <c r="BG428" s="346"/>
      <c r="BH428" s="346"/>
      <c r="BI428" s="346"/>
      <c r="BJ428" s="346"/>
      <c r="BK428" s="346"/>
      <c r="BL428" s="346"/>
      <c r="BM428" s="346"/>
      <c r="BN428" s="346"/>
      <c r="BO428" s="346"/>
      <c r="BP428" s="346"/>
      <c r="BQ428" s="346"/>
      <c r="BR428" s="346"/>
      <c r="BS428" s="346"/>
      <c r="BT428" s="346"/>
      <c r="BU428" s="346"/>
      <c r="BV428" s="346"/>
      <c r="BW428" s="346"/>
      <c r="BX428" s="346"/>
      <c r="BY428" s="346"/>
      <c r="BZ428" s="346"/>
      <c r="CA428" s="346"/>
      <c r="CB428" s="346"/>
      <c r="CC428" s="346"/>
      <c r="CD428" s="346"/>
      <c r="CE428" s="346"/>
      <c r="CF428" s="346"/>
      <c r="CG428" s="346"/>
      <c r="CH428" s="346"/>
      <c r="CI428" s="346"/>
      <c r="CJ428" s="346"/>
      <c r="CK428" s="346"/>
      <c r="CL428" s="346"/>
      <c r="CM428" s="346"/>
      <c r="CN428" s="346"/>
      <c r="CO428" s="346"/>
      <c r="CP428" s="346"/>
      <c r="CQ428" s="346"/>
      <c r="CR428" s="346"/>
      <c r="CS428" s="346"/>
      <c r="CT428" s="346"/>
      <c r="CU428" s="346"/>
      <c r="CV428" s="346"/>
      <c r="CW428" s="346"/>
      <c r="CX428" s="346"/>
      <c r="CY428" s="346"/>
      <c r="CZ428" s="346"/>
      <c r="DA428" s="346"/>
      <c r="DB428" s="346"/>
      <c r="DC428" s="346"/>
      <c r="DD428" s="346"/>
      <c r="DE428" s="346"/>
      <c r="DF428" s="346"/>
      <c r="DG428" s="346"/>
      <c r="DH428" s="346"/>
      <c r="DI428" s="346"/>
    </row>
    <row r="429" spans="1:113" x14ac:dyDescent="0.25">
      <c r="A429" s="384"/>
      <c r="B429" s="394" t="s">
        <v>1081</v>
      </c>
      <c r="C429" s="362">
        <v>4500</v>
      </c>
      <c r="D429" s="361"/>
      <c r="E429" s="364"/>
      <c r="F429" s="361"/>
      <c r="G429" s="386"/>
      <c r="H429" s="366"/>
      <c r="I429" s="365"/>
      <c r="J429" s="365"/>
      <c r="K429" s="367"/>
      <c r="L429"/>
      <c r="M429" s="314">
        <f t="shared" ref="M429" si="113">SUM(N429:DJ429)</f>
        <v>167</v>
      </c>
      <c r="N429" s="310">
        <v>100</v>
      </c>
      <c r="O429" s="315">
        <v>67</v>
      </c>
      <c r="P429" s="315"/>
      <c r="Q429" s="315"/>
      <c r="R429" s="315"/>
      <c r="S429" s="55"/>
      <c r="T429" s="55"/>
      <c r="U429" s="55"/>
      <c r="V429" s="55"/>
      <c r="W429" s="55"/>
      <c r="X429" s="55"/>
      <c r="Y429" s="55"/>
      <c r="Z429" s="55"/>
      <c r="AA429" s="55"/>
      <c r="AB429" s="55"/>
      <c r="AC429" s="55"/>
      <c r="AD429" s="55"/>
      <c r="AE429" s="55"/>
      <c r="AF429" s="55"/>
      <c r="AG429" s="55"/>
      <c r="AH429" s="55"/>
      <c r="AI429" s="55"/>
      <c r="AJ429" s="55"/>
      <c r="AK429" s="55"/>
      <c r="AL429" s="55"/>
      <c r="AM429" s="55"/>
      <c r="AN429" s="55"/>
      <c r="AO429" s="55"/>
      <c r="AP429" s="55"/>
      <c r="AQ429" s="55"/>
      <c r="AR429" s="55"/>
      <c r="AS429" s="55"/>
      <c r="AT429" s="55"/>
      <c r="AU429" s="55"/>
      <c r="AV429" s="55"/>
      <c r="AW429" s="55"/>
      <c r="AX429" s="55"/>
      <c r="AY429" s="55"/>
      <c r="AZ429" s="55"/>
      <c r="BA429" s="55"/>
      <c r="BB429" s="55"/>
      <c r="BC429" s="55"/>
      <c r="BD429" s="55"/>
      <c r="BE429" s="55"/>
      <c r="BF429" s="55"/>
      <c r="BG429" s="55"/>
      <c r="BH429" s="55"/>
      <c r="BI429" s="55"/>
      <c r="BJ429" s="55"/>
      <c r="BK429" s="55"/>
      <c r="BL429" s="55"/>
      <c r="BM429" s="55"/>
      <c r="BN429" s="55"/>
      <c r="BO429" s="55"/>
      <c r="BP429" s="55"/>
      <c r="BQ429" s="55"/>
      <c r="BR429" s="55"/>
      <c r="BS429" s="55"/>
      <c r="BT429" s="55"/>
      <c r="BU429" s="55"/>
      <c r="BV429" s="55"/>
      <c r="BW429" s="55"/>
      <c r="BX429" s="55"/>
      <c r="BY429" s="55"/>
      <c r="BZ429" s="55"/>
      <c r="CA429" s="55"/>
      <c r="CB429" s="55"/>
      <c r="CC429" s="55"/>
      <c r="CD429" s="55"/>
      <c r="CE429" s="55"/>
      <c r="CF429" s="55"/>
      <c r="CG429" s="55"/>
      <c r="CH429" s="55"/>
      <c r="CI429" s="55"/>
      <c r="CJ429" s="55"/>
      <c r="CK429" s="55"/>
      <c r="CL429" s="55"/>
      <c r="CM429" s="55"/>
      <c r="CN429" s="55"/>
      <c r="CO429" s="55"/>
      <c r="CP429" s="55"/>
      <c r="CQ429" s="55"/>
      <c r="CR429" s="55"/>
      <c r="CS429" s="55"/>
      <c r="CT429" s="55"/>
      <c r="CU429" s="55"/>
      <c r="CV429" s="55"/>
      <c r="CW429" s="55"/>
      <c r="CX429" s="55"/>
      <c r="CY429" s="55"/>
      <c r="CZ429" s="55"/>
      <c r="DA429" s="55"/>
      <c r="DB429" s="55"/>
      <c r="DC429" s="55"/>
      <c r="DD429" s="55"/>
      <c r="DE429" s="55"/>
      <c r="DF429" s="55"/>
      <c r="DG429" s="55"/>
      <c r="DH429" s="55"/>
      <c r="DI429" s="55"/>
    </row>
    <row r="430" spans="1:113" x14ac:dyDescent="0.25">
      <c r="A430" s="384"/>
      <c r="B430" s="394"/>
      <c r="C430" s="362"/>
      <c r="D430" s="361"/>
      <c r="E430" s="364"/>
      <c r="F430" s="361"/>
      <c r="G430" s="386"/>
      <c r="H430" s="366"/>
      <c r="I430" s="365"/>
      <c r="J430" s="365"/>
      <c r="K430" s="367"/>
      <c r="L430"/>
      <c r="M430" s="348"/>
      <c r="N430" s="310" t="s">
        <v>1062</v>
      </c>
      <c r="O430" s="349" t="s">
        <v>1076</v>
      </c>
      <c r="P430" s="349" t="s">
        <v>1002</v>
      </c>
      <c r="Q430" s="349"/>
      <c r="R430" s="349"/>
      <c r="S430" s="346"/>
      <c r="T430" s="346"/>
      <c r="U430" s="346"/>
      <c r="V430" s="346"/>
      <c r="W430" s="346"/>
      <c r="X430" s="346"/>
      <c r="Y430" s="346"/>
      <c r="Z430" s="346"/>
      <c r="AA430" s="346"/>
      <c r="AB430" s="346"/>
      <c r="AC430" s="346"/>
      <c r="AD430" s="346"/>
      <c r="AE430" s="346"/>
      <c r="AF430" s="346"/>
      <c r="AG430" s="346"/>
      <c r="AH430" s="346"/>
      <c r="AI430" s="346"/>
      <c r="AJ430" s="346"/>
      <c r="AK430" s="346"/>
      <c r="AL430" s="346"/>
      <c r="AM430" s="346"/>
      <c r="AN430" s="346"/>
      <c r="AO430" s="346"/>
      <c r="AP430" s="346"/>
      <c r="AQ430" s="346"/>
      <c r="AR430" s="346"/>
      <c r="AS430" s="346"/>
      <c r="AT430" s="346"/>
      <c r="AU430" s="346"/>
      <c r="AV430" s="346"/>
      <c r="AW430" s="346"/>
      <c r="AX430" s="346"/>
      <c r="AY430" s="346"/>
      <c r="AZ430" s="346"/>
      <c r="BA430" s="346"/>
      <c r="BB430" s="346"/>
      <c r="BC430" s="346"/>
      <c r="BD430" s="346"/>
      <c r="BE430" s="346"/>
      <c r="BF430" s="346"/>
      <c r="BG430" s="346"/>
      <c r="BH430" s="346"/>
      <c r="BI430" s="346"/>
      <c r="BJ430" s="346"/>
      <c r="BK430" s="346"/>
      <c r="BL430" s="346"/>
      <c r="BM430" s="346"/>
      <c r="BN430" s="346"/>
      <c r="BO430" s="346"/>
      <c r="BP430" s="346"/>
      <c r="BQ430" s="346"/>
      <c r="BR430" s="346"/>
      <c r="BS430" s="346"/>
      <c r="BT430" s="346"/>
      <c r="BU430" s="346"/>
      <c r="BV430" s="346"/>
      <c r="BW430" s="346"/>
      <c r="BX430" s="346"/>
      <c r="BY430" s="346"/>
      <c r="BZ430" s="346"/>
      <c r="CA430" s="346"/>
      <c r="CB430" s="346"/>
      <c r="CC430" s="346"/>
      <c r="CD430" s="346"/>
      <c r="CE430" s="346"/>
      <c r="CF430" s="346"/>
      <c r="CG430" s="346"/>
      <c r="CH430" s="346"/>
      <c r="CI430" s="346"/>
      <c r="CJ430" s="346"/>
      <c r="CK430" s="346"/>
      <c r="CL430" s="346"/>
      <c r="CM430" s="346"/>
      <c r="CN430" s="346"/>
      <c r="CO430" s="346"/>
      <c r="CP430" s="346"/>
      <c r="CQ430" s="346"/>
      <c r="CR430" s="346"/>
      <c r="CS430" s="346"/>
      <c r="CT430" s="346"/>
      <c r="CU430" s="346"/>
      <c r="CV430" s="346"/>
      <c r="CW430" s="346"/>
      <c r="CX430" s="346"/>
      <c r="CY430" s="346"/>
      <c r="CZ430" s="346"/>
      <c r="DA430" s="346"/>
      <c r="DB430" s="346"/>
      <c r="DC430" s="346"/>
      <c r="DD430" s="346"/>
      <c r="DE430" s="346"/>
      <c r="DF430" s="346"/>
      <c r="DG430" s="346"/>
      <c r="DH430" s="346"/>
      <c r="DI430" s="346"/>
    </row>
    <row r="431" spans="1:113" x14ac:dyDescent="0.25">
      <c r="A431" s="384"/>
      <c r="B431" s="394" t="s">
        <v>1080</v>
      </c>
      <c r="C431" s="362">
        <v>4500</v>
      </c>
      <c r="D431" s="361"/>
      <c r="E431" s="364"/>
      <c r="F431" s="361"/>
      <c r="G431" s="386"/>
      <c r="H431" s="366"/>
      <c r="I431" s="365"/>
      <c r="J431" s="365"/>
      <c r="K431" s="367"/>
      <c r="L431"/>
      <c r="M431" s="314">
        <f t="shared" ref="M431" si="114">SUM(N431:DJ431)</f>
        <v>807</v>
      </c>
      <c r="N431" s="310">
        <f>100+100+100+100+100+100+40</f>
        <v>640</v>
      </c>
      <c r="O431" s="315">
        <v>100</v>
      </c>
      <c r="P431" s="315">
        <v>67</v>
      </c>
      <c r="Q431" s="315"/>
      <c r="R431" s="315"/>
      <c r="S431" s="55"/>
      <c r="T431" s="55"/>
      <c r="U431" s="55"/>
      <c r="V431" s="55"/>
      <c r="W431" s="55"/>
      <c r="X431" s="55"/>
      <c r="Y431" s="55"/>
      <c r="Z431" s="55"/>
      <c r="AA431" s="55"/>
      <c r="AB431" s="55"/>
      <c r="AC431" s="55"/>
      <c r="AD431" s="55"/>
      <c r="AE431" s="55"/>
      <c r="AF431" s="55"/>
      <c r="AG431" s="55"/>
      <c r="AH431" s="55"/>
      <c r="AI431" s="55"/>
      <c r="AJ431" s="55"/>
      <c r="AK431" s="55"/>
      <c r="AL431" s="55"/>
      <c r="AM431" s="55"/>
      <c r="AN431" s="55"/>
      <c r="AO431" s="55"/>
      <c r="AP431" s="55"/>
      <c r="AQ431" s="55"/>
      <c r="AR431" s="55"/>
      <c r="AS431" s="55"/>
      <c r="AT431" s="55"/>
      <c r="AU431" s="55"/>
      <c r="AV431" s="55"/>
      <c r="AW431" s="55"/>
      <c r="AX431" s="55"/>
      <c r="AY431" s="55"/>
      <c r="AZ431" s="55"/>
      <c r="BA431" s="55"/>
      <c r="BB431" s="55"/>
      <c r="BC431" s="55"/>
      <c r="BD431" s="55"/>
      <c r="BE431" s="55"/>
      <c r="BF431" s="55"/>
      <c r="BG431" s="55"/>
      <c r="BH431" s="55"/>
      <c r="BI431" s="55"/>
      <c r="BJ431" s="55"/>
      <c r="BK431" s="55"/>
      <c r="BL431" s="55"/>
      <c r="BM431" s="55"/>
      <c r="BN431" s="55"/>
      <c r="BO431" s="55"/>
      <c r="BP431" s="55"/>
      <c r="BQ431" s="55"/>
      <c r="BR431" s="55"/>
      <c r="BS431" s="55"/>
      <c r="BT431" s="55"/>
      <c r="BU431" s="55"/>
      <c r="BV431" s="55"/>
      <c r="BW431" s="55"/>
      <c r="BX431" s="55"/>
      <c r="BY431" s="55"/>
      <c r="BZ431" s="55"/>
      <c r="CA431" s="55"/>
      <c r="CB431" s="55"/>
      <c r="CC431" s="55"/>
      <c r="CD431" s="55"/>
      <c r="CE431" s="55"/>
      <c r="CF431" s="55"/>
      <c r="CG431" s="55"/>
      <c r="CH431" s="55"/>
      <c r="CI431" s="55"/>
      <c r="CJ431" s="55"/>
      <c r="CK431" s="55"/>
      <c r="CL431" s="55"/>
      <c r="CM431" s="55"/>
      <c r="CN431" s="55"/>
      <c r="CO431" s="55"/>
      <c r="CP431" s="55"/>
      <c r="CQ431" s="55"/>
      <c r="CR431" s="55"/>
      <c r="CS431" s="55"/>
      <c r="CT431" s="55"/>
      <c r="CU431" s="55"/>
      <c r="CV431" s="55"/>
      <c r="CW431" s="55"/>
      <c r="CX431" s="55"/>
      <c r="CY431" s="55"/>
      <c r="CZ431" s="55"/>
      <c r="DA431" s="55"/>
      <c r="DB431" s="55"/>
      <c r="DC431" s="55"/>
      <c r="DD431" s="55"/>
      <c r="DE431" s="55"/>
      <c r="DF431" s="55"/>
      <c r="DG431" s="55"/>
      <c r="DH431" s="55"/>
      <c r="DI431" s="55"/>
    </row>
    <row r="432" spans="1:113" x14ac:dyDescent="0.25">
      <c r="A432" s="384"/>
      <c r="B432" s="394"/>
      <c r="C432" s="362"/>
      <c r="D432" s="361"/>
      <c r="E432" s="364"/>
      <c r="F432" s="361"/>
      <c r="G432" s="386"/>
      <c r="H432" s="366"/>
      <c r="I432" s="365"/>
      <c r="J432" s="365"/>
      <c r="K432" s="367"/>
      <c r="L432"/>
      <c r="M432" s="348"/>
      <c r="N432" s="310" t="s">
        <v>1076</v>
      </c>
      <c r="O432" s="349" t="s">
        <v>1002</v>
      </c>
      <c r="P432" s="349"/>
      <c r="Q432" s="349"/>
      <c r="R432" s="349"/>
      <c r="S432" s="346"/>
      <c r="T432" s="346"/>
      <c r="U432" s="346"/>
      <c r="V432" s="346"/>
      <c r="W432" s="346"/>
      <c r="X432" s="346"/>
      <c r="Y432" s="346"/>
      <c r="Z432" s="346"/>
      <c r="AA432" s="346"/>
      <c r="AB432" s="346"/>
      <c r="AC432" s="346"/>
      <c r="AD432" s="346"/>
      <c r="AE432" s="346"/>
      <c r="AF432" s="346"/>
      <c r="AG432" s="346"/>
      <c r="AH432" s="346"/>
      <c r="AI432" s="346"/>
      <c r="AJ432" s="346"/>
      <c r="AK432" s="346"/>
      <c r="AL432" s="346"/>
      <c r="AM432" s="346"/>
      <c r="AN432" s="346"/>
      <c r="AO432" s="346"/>
      <c r="AP432" s="346"/>
      <c r="AQ432" s="346"/>
      <c r="AR432" s="346"/>
      <c r="AS432" s="346"/>
      <c r="AT432" s="346"/>
      <c r="AU432" s="346"/>
      <c r="AV432" s="346"/>
      <c r="AW432" s="346"/>
      <c r="AX432" s="346"/>
      <c r="AY432" s="346"/>
      <c r="AZ432" s="346"/>
      <c r="BA432" s="346"/>
      <c r="BB432" s="346"/>
      <c r="BC432" s="346"/>
      <c r="BD432" s="346"/>
      <c r="BE432" s="346"/>
      <c r="BF432" s="346"/>
      <c r="BG432" s="346"/>
      <c r="BH432" s="346"/>
      <c r="BI432" s="346"/>
      <c r="BJ432" s="346"/>
      <c r="BK432" s="346"/>
      <c r="BL432" s="346"/>
      <c r="BM432" s="346"/>
      <c r="BN432" s="346"/>
      <c r="BO432" s="346"/>
      <c r="BP432" s="346"/>
      <c r="BQ432" s="346"/>
      <c r="BR432" s="346"/>
      <c r="BS432" s="346"/>
      <c r="BT432" s="346"/>
      <c r="BU432" s="346"/>
      <c r="BV432" s="346"/>
      <c r="BW432" s="346"/>
      <c r="BX432" s="346"/>
      <c r="BY432" s="346"/>
      <c r="BZ432" s="346"/>
      <c r="CA432" s="346"/>
      <c r="CB432" s="346"/>
      <c r="CC432" s="346"/>
      <c r="CD432" s="346"/>
      <c r="CE432" s="346"/>
      <c r="CF432" s="346"/>
      <c r="CG432" s="346"/>
      <c r="CH432" s="346"/>
      <c r="CI432" s="346"/>
      <c r="CJ432" s="346"/>
      <c r="CK432" s="346"/>
      <c r="CL432" s="346"/>
      <c r="CM432" s="346"/>
      <c r="CN432" s="346"/>
      <c r="CO432" s="346"/>
      <c r="CP432" s="346"/>
      <c r="CQ432" s="346"/>
      <c r="CR432" s="346"/>
      <c r="CS432" s="346"/>
      <c r="CT432" s="346"/>
      <c r="CU432" s="346"/>
      <c r="CV432" s="346"/>
      <c r="CW432" s="346"/>
      <c r="CX432" s="346"/>
      <c r="CY432" s="346"/>
      <c r="CZ432" s="346"/>
      <c r="DA432" s="346"/>
      <c r="DB432" s="346"/>
      <c r="DC432" s="346"/>
      <c r="DD432" s="346"/>
      <c r="DE432" s="346"/>
      <c r="DF432" s="346"/>
      <c r="DG432" s="346"/>
      <c r="DH432" s="346"/>
      <c r="DI432" s="346"/>
    </row>
    <row r="433" spans="1:113" x14ac:dyDescent="0.25">
      <c r="A433" s="384"/>
      <c r="B433" s="394" t="s">
        <v>1079</v>
      </c>
      <c r="C433" s="362">
        <v>4500</v>
      </c>
      <c r="D433" s="361"/>
      <c r="E433" s="364"/>
      <c r="F433" s="361"/>
      <c r="G433" s="386"/>
      <c r="H433" s="366"/>
      <c r="I433" s="365"/>
      <c r="J433" s="365"/>
      <c r="K433" s="367"/>
      <c r="L433"/>
      <c r="M433" s="314">
        <f t="shared" ref="M433" si="115">SUM(N433:DJ433)</f>
        <v>167</v>
      </c>
      <c r="N433" s="310">
        <v>100</v>
      </c>
      <c r="O433" s="315">
        <v>67</v>
      </c>
      <c r="P433" s="315"/>
      <c r="Q433" s="315"/>
      <c r="R433" s="315"/>
      <c r="S433" s="55"/>
      <c r="T433" s="55"/>
      <c r="U433" s="55"/>
      <c r="V433" s="55"/>
      <c r="W433" s="55"/>
      <c r="X433" s="55"/>
      <c r="Y433" s="55"/>
      <c r="Z433" s="55"/>
      <c r="AA433" s="55"/>
      <c r="AB433" s="55"/>
      <c r="AC433" s="55"/>
      <c r="AD433" s="55"/>
      <c r="AE433" s="55"/>
      <c r="AF433" s="55"/>
      <c r="AG433" s="55"/>
      <c r="AH433" s="55"/>
      <c r="AI433" s="55"/>
      <c r="AJ433" s="55"/>
      <c r="AK433" s="55"/>
      <c r="AL433" s="55"/>
      <c r="AM433" s="55"/>
      <c r="AN433" s="55"/>
      <c r="AO433" s="55"/>
      <c r="AP433" s="55"/>
      <c r="AQ433" s="55"/>
      <c r="AR433" s="55"/>
      <c r="AS433" s="55"/>
      <c r="AT433" s="55"/>
      <c r="AU433" s="55"/>
      <c r="AV433" s="55"/>
      <c r="AW433" s="55"/>
      <c r="AX433" s="55"/>
      <c r="AY433" s="55"/>
      <c r="AZ433" s="55"/>
      <c r="BA433" s="55"/>
      <c r="BB433" s="55"/>
      <c r="BC433" s="55"/>
      <c r="BD433" s="55"/>
      <c r="BE433" s="55"/>
      <c r="BF433" s="55"/>
      <c r="BG433" s="55"/>
      <c r="BH433" s="55"/>
      <c r="BI433" s="55"/>
      <c r="BJ433" s="55"/>
      <c r="BK433" s="55"/>
      <c r="BL433" s="55"/>
      <c r="BM433" s="55"/>
      <c r="BN433" s="55"/>
      <c r="BO433" s="55"/>
      <c r="BP433" s="55"/>
      <c r="BQ433" s="55"/>
      <c r="BR433" s="55"/>
      <c r="BS433" s="55"/>
      <c r="BT433" s="55"/>
      <c r="BU433" s="55"/>
      <c r="BV433" s="55"/>
      <c r="BW433" s="55"/>
      <c r="BX433" s="55"/>
      <c r="BY433" s="55"/>
      <c r="BZ433" s="55"/>
      <c r="CA433" s="55"/>
      <c r="CB433" s="55"/>
      <c r="CC433" s="55"/>
      <c r="CD433" s="55"/>
      <c r="CE433" s="55"/>
      <c r="CF433" s="55"/>
      <c r="CG433" s="55"/>
      <c r="CH433" s="55"/>
      <c r="CI433" s="55"/>
      <c r="CJ433" s="55"/>
      <c r="CK433" s="55"/>
      <c r="CL433" s="55"/>
      <c r="CM433" s="55"/>
      <c r="CN433" s="55"/>
      <c r="CO433" s="55"/>
      <c r="CP433" s="55"/>
      <c r="CQ433" s="55"/>
      <c r="CR433" s="55"/>
      <c r="CS433" s="55"/>
      <c r="CT433" s="55"/>
      <c r="CU433" s="55"/>
      <c r="CV433" s="55"/>
      <c r="CW433" s="55"/>
      <c r="CX433" s="55"/>
      <c r="CY433" s="55"/>
      <c r="CZ433" s="55"/>
      <c r="DA433" s="55"/>
      <c r="DB433" s="55"/>
      <c r="DC433" s="55"/>
      <c r="DD433" s="55"/>
      <c r="DE433" s="55"/>
      <c r="DF433" s="55"/>
      <c r="DG433" s="55"/>
      <c r="DH433" s="55"/>
      <c r="DI433" s="55"/>
    </row>
    <row r="434" spans="1:113" x14ac:dyDescent="0.25">
      <c r="A434" s="384"/>
      <c r="B434" s="394"/>
      <c r="C434" s="362"/>
      <c r="D434" s="361"/>
      <c r="E434" s="364"/>
      <c r="F434" s="361"/>
      <c r="G434" s="386"/>
      <c r="H434" s="366"/>
      <c r="I434" s="365"/>
      <c r="J434" s="365"/>
      <c r="K434" s="367"/>
      <c r="L434"/>
      <c r="M434" s="348"/>
      <c r="N434" s="310" t="s">
        <v>1062</v>
      </c>
      <c r="O434" s="349" t="s">
        <v>1002</v>
      </c>
      <c r="P434" s="349" t="s">
        <v>1076</v>
      </c>
      <c r="Q434" s="349"/>
      <c r="R434" s="349"/>
      <c r="S434" s="346"/>
      <c r="T434" s="346"/>
      <c r="U434" s="346"/>
      <c r="V434" s="346"/>
      <c r="W434" s="346"/>
      <c r="X434" s="346"/>
      <c r="Y434" s="346"/>
      <c r="Z434" s="346"/>
      <c r="AA434" s="346"/>
      <c r="AB434" s="346"/>
      <c r="AC434" s="346"/>
      <c r="AD434" s="346"/>
      <c r="AE434" s="346"/>
      <c r="AF434" s="346"/>
      <c r="AG434" s="346"/>
      <c r="AH434" s="346"/>
      <c r="AI434" s="346"/>
      <c r="AJ434" s="346"/>
      <c r="AK434" s="346"/>
      <c r="AL434" s="346"/>
      <c r="AM434" s="346"/>
      <c r="AN434" s="346"/>
      <c r="AO434" s="346"/>
      <c r="AP434" s="346"/>
      <c r="AQ434" s="346"/>
      <c r="AR434" s="346"/>
      <c r="AS434" s="346"/>
      <c r="AT434" s="346"/>
      <c r="AU434" s="346"/>
      <c r="AV434" s="346"/>
      <c r="AW434" s="346"/>
      <c r="AX434" s="346"/>
      <c r="AY434" s="346"/>
      <c r="AZ434" s="346"/>
      <c r="BA434" s="346"/>
      <c r="BB434" s="346"/>
      <c r="BC434" s="346"/>
      <c r="BD434" s="346"/>
      <c r="BE434" s="346"/>
      <c r="BF434" s="346"/>
      <c r="BG434" s="346"/>
      <c r="BH434" s="346"/>
      <c r="BI434" s="346"/>
      <c r="BJ434" s="346"/>
      <c r="BK434" s="346"/>
      <c r="BL434" s="346"/>
      <c r="BM434" s="346"/>
      <c r="BN434" s="346"/>
      <c r="BO434" s="346"/>
      <c r="BP434" s="346"/>
      <c r="BQ434" s="346"/>
      <c r="BR434" s="346"/>
      <c r="BS434" s="346"/>
      <c r="BT434" s="346"/>
      <c r="BU434" s="346"/>
      <c r="BV434" s="346"/>
      <c r="BW434" s="346"/>
      <c r="BX434" s="346"/>
      <c r="BY434" s="346"/>
      <c r="BZ434" s="346"/>
      <c r="CA434" s="346"/>
      <c r="CB434" s="346"/>
      <c r="CC434" s="346"/>
      <c r="CD434" s="346"/>
      <c r="CE434" s="346"/>
      <c r="CF434" s="346"/>
      <c r="CG434" s="346"/>
      <c r="CH434" s="346"/>
      <c r="CI434" s="346"/>
      <c r="CJ434" s="346"/>
      <c r="CK434" s="346"/>
      <c r="CL434" s="346"/>
      <c r="CM434" s="346"/>
      <c r="CN434" s="346"/>
      <c r="CO434" s="346"/>
      <c r="CP434" s="346"/>
      <c r="CQ434" s="346"/>
      <c r="CR434" s="346"/>
      <c r="CS434" s="346"/>
      <c r="CT434" s="346"/>
      <c r="CU434" s="346"/>
      <c r="CV434" s="346"/>
      <c r="CW434" s="346"/>
      <c r="CX434" s="346"/>
      <c r="CY434" s="346"/>
      <c r="CZ434" s="346"/>
      <c r="DA434" s="346"/>
      <c r="DB434" s="346"/>
      <c r="DC434" s="346"/>
      <c r="DD434" s="346"/>
      <c r="DE434" s="346"/>
      <c r="DF434" s="346"/>
      <c r="DG434" s="346"/>
      <c r="DH434" s="346"/>
      <c r="DI434" s="346"/>
    </row>
    <row r="435" spans="1:113" x14ac:dyDescent="0.25">
      <c r="A435" s="384"/>
      <c r="B435" s="394" t="s">
        <v>1078</v>
      </c>
      <c r="C435" s="362">
        <v>4500</v>
      </c>
      <c r="D435" s="361"/>
      <c r="E435" s="364"/>
      <c r="F435" s="361"/>
      <c r="G435" s="386"/>
      <c r="H435" s="366"/>
      <c r="I435" s="365"/>
      <c r="J435" s="365"/>
      <c r="K435" s="367"/>
      <c r="L435"/>
      <c r="M435" s="314">
        <f t="shared" ref="M435" si="116">SUM(N435:DJ435)</f>
        <v>807</v>
      </c>
      <c r="N435" s="310">
        <f>100+100+100+100+100+100+40</f>
        <v>640</v>
      </c>
      <c r="O435" s="315">
        <v>67</v>
      </c>
      <c r="P435" s="315">
        <v>100</v>
      </c>
      <c r="Q435" s="315"/>
      <c r="R435" s="315"/>
      <c r="S435" s="55"/>
      <c r="T435" s="55"/>
      <c r="U435" s="55"/>
      <c r="V435" s="55"/>
      <c r="W435" s="55"/>
      <c r="X435" s="55"/>
      <c r="Y435" s="55"/>
      <c r="Z435" s="55"/>
      <c r="AA435" s="55"/>
      <c r="AB435" s="55"/>
      <c r="AC435" s="55"/>
      <c r="AD435" s="55"/>
      <c r="AE435" s="55"/>
      <c r="AF435" s="55"/>
      <c r="AG435" s="55"/>
      <c r="AH435" s="55"/>
      <c r="AI435" s="55"/>
      <c r="AJ435" s="55"/>
      <c r="AK435" s="55"/>
      <c r="AL435" s="55"/>
      <c r="AM435" s="55"/>
      <c r="AN435" s="55"/>
      <c r="AO435" s="55"/>
      <c r="AP435" s="55"/>
      <c r="AQ435" s="55"/>
      <c r="AR435" s="55"/>
      <c r="AS435" s="55"/>
      <c r="AT435" s="55"/>
      <c r="AU435" s="55"/>
      <c r="AV435" s="55"/>
      <c r="AW435" s="55"/>
      <c r="AX435" s="55"/>
      <c r="AY435" s="55"/>
      <c r="AZ435" s="55"/>
      <c r="BA435" s="55"/>
      <c r="BB435" s="55"/>
      <c r="BC435" s="55"/>
      <c r="BD435" s="55"/>
      <c r="BE435" s="55"/>
      <c r="BF435" s="55"/>
      <c r="BG435" s="55"/>
      <c r="BH435" s="55"/>
      <c r="BI435" s="55"/>
      <c r="BJ435" s="55"/>
      <c r="BK435" s="55"/>
      <c r="BL435" s="55"/>
      <c r="BM435" s="55"/>
      <c r="BN435" s="55"/>
      <c r="BO435" s="55"/>
      <c r="BP435" s="55"/>
      <c r="BQ435" s="55"/>
      <c r="BR435" s="55"/>
      <c r="BS435" s="55"/>
      <c r="BT435" s="55"/>
      <c r="BU435" s="55"/>
      <c r="BV435" s="55"/>
      <c r="BW435" s="55"/>
      <c r="BX435" s="55"/>
      <c r="BY435" s="55"/>
      <c r="BZ435" s="55"/>
      <c r="CA435" s="55"/>
      <c r="CB435" s="55"/>
      <c r="CC435" s="55"/>
      <c r="CD435" s="55"/>
      <c r="CE435" s="55"/>
      <c r="CF435" s="55"/>
      <c r="CG435" s="55"/>
      <c r="CH435" s="55"/>
      <c r="CI435" s="55"/>
      <c r="CJ435" s="55"/>
      <c r="CK435" s="55"/>
      <c r="CL435" s="55"/>
      <c r="CM435" s="55"/>
      <c r="CN435" s="55"/>
      <c r="CO435" s="55"/>
      <c r="CP435" s="55"/>
      <c r="CQ435" s="55"/>
      <c r="CR435" s="55"/>
      <c r="CS435" s="55"/>
      <c r="CT435" s="55"/>
      <c r="CU435" s="55"/>
      <c r="CV435" s="55"/>
      <c r="CW435" s="55"/>
      <c r="CX435" s="55"/>
      <c r="CY435" s="55"/>
      <c r="CZ435" s="55"/>
      <c r="DA435" s="55"/>
      <c r="DB435" s="55"/>
      <c r="DC435" s="55"/>
      <c r="DD435" s="55"/>
      <c r="DE435" s="55"/>
      <c r="DF435" s="55"/>
      <c r="DG435" s="55"/>
      <c r="DH435" s="55"/>
      <c r="DI435" s="55"/>
    </row>
    <row r="436" spans="1:113" x14ac:dyDescent="0.25">
      <c r="A436" s="384"/>
      <c r="B436" s="394"/>
      <c r="C436" s="362"/>
      <c r="D436" s="361"/>
      <c r="E436" s="364"/>
      <c r="F436" s="361"/>
      <c r="G436" s="386"/>
      <c r="H436" s="366"/>
      <c r="I436" s="365"/>
      <c r="J436" s="365"/>
      <c r="K436" s="367"/>
      <c r="L436"/>
      <c r="M436" s="348"/>
      <c r="N436" s="310" t="s">
        <v>1075</v>
      </c>
      <c r="O436" s="349" t="s">
        <v>1075</v>
      </c>
      <c r="P436" s="349" t="s">
        <v>1075</v>
      </c>
      <c r="Q436" s="349" t="s">
        <v>1075</v>
      </c>
      <c r="R436" s="349" t="s">
        <v>1075</v>
      </c>
      <c r="S436" s="346" t="s">
        <v>1076</v>
      </c>
      <c r="T436" s="346" t="s">
        <v>1002</v>
      </c>
      <c r="U436" s="346"/>
      <c r="V436" s="346"/>
      <c r="W436" s="346"/>
      <c r="X436" s="346"/>
      <c r="Y436" s="346"/>
      <c r="Z436" s="346"/>
      <c r="AA436" s="346"/>
      <c r="AB436" s="346"/>
      <c r="AC436" s="346"/>
      <c r="AD436" s="346"/>
      <c r="AE436" s="346"/>
      <c r="AF436" s="346"/>
      <c r="AG436" s="346"/>
      <c r="AH436" s="346"/>
      <c r="AI436" s="346"/>
      <c r="AJ436" s="346"/>
      <c r="AK436" s="346"/>
      <c r="AL436" s="346"/>
      <c r="AM436" s="346"/>
      <c r="AN436" s="346"/>
      <c r="AO436" s="346"/>
      <c r="AP436" s="346"/>
      <c r="AQ436" s="346"/>
      <c r="AR436" s="346"/>
      <c r="AS436" s="346"/>
      <c r="AT436" s="346"/>
      <c r="AU436" s="346"/>
      <c r="AV436" s="346"/>
      <c r="AW436" s="346"/>
      <c r="AX436" s="346"/>
      <c r="AY436" s="346"/>
      <c r="AZ436" s="346"/>
      <c r="BA436" s="346"/>
      <c r="BB436" s="346"/>
      <c r="BC436" s="346"/>
      <c r="BD436" s="346"/>
      <c r="BE436" s="346"/>
      <c r="BF436" s="346"/>
      <c r="BG436" s="346"/>
      <c r="BH436" s="346"/>
      <c r="BI436" s="346"/>
      <c r="BJ436" s="346"/>
      <c r="BK436" s="346"/>
      <c r="BL436" s="346"/>
      <c r="BM436" s="346"/>
      <c r="BN436" s="346"/>
      <c r="BO436" s="346"/>
      <c r="BP436" s="346"/>
      <c r="BQ436" s="346"/>
      <c r="BR436" s="346"/>
      <c r="BS436" s="346"/>
      <c r="BT436" s="346"/>
      <c r="BU436" s="346"/>
      <c r="BV436" s="346"/>
      <c r="BW436" s="346"/>
      <c r="BX436" s="346"/>
      <c r="BY436" s="346"/>
      <c r="BZ436" s="346"/>
      <c r="CA436" s="346"/>
      <c r="CB436" s="346"/>
      <c r="CC436" s="346"/>
      <c r="CD436" s="346"/>
      <c r="CE436" s="346"/>
      <c r="CF436" s="346"/>
      <c r="CG436" s="346"/>
      <c r="CH436" s="346"/>
      <c r="CI436" s="346"/>
      <c r="CJ436" s="346"/>
      <c r="CK436" s="346"/>
      <c r="CL436" s="346"/>
      <c r="CM436" s="346"/>
      <c r="CN436" s="346"/>
      <c r="CO436" s="346"/>
      <c r="CP436" s="346"/>
      <c r="CQ436" s="346"/>
      <c r="CR436" s="346"/>
      <c r="CS436" s="346"/>
      <c r="CT436" s="346"/>
      <c r="CU436" s="346"/>
      <c r="CV436" s="346"/>
      <c r="CW436" s="346"/>
      <c r="CX436" s="346"/>
      <c r="CY436" s="346"/>
      <c r="CZ436" s="346"/>
      <c r="DA436" s="346"/>
      <c r="DB436" s="346"/>
      <c r="DC436" s="346"/>
      <c r="DD436" s="346"/>
      <c r="DE436" s="346"/>
      <c r="DF436" s="346"/>
      <c r="DG436" s="346"/>
      <c r="DH436" s="346"/>
      <c r="DI436" s="346"/>
    </row>
    <row r="437" spans="1:113" x14ac:dyDescent="0.25">
      <c r="A437" s="384"/>
      <c r="B437" s="394" t="s">
        <v>1077</v>
      </c>
      <c r="C437" s="362">
        <v>4500</v>
      </c>
      <c r="D437" s="361"/>
      <c r="E437" s="364"/>
      <c r="F437" s="361"/>
      <c r="G437" s="386"/>
      <c r="H437" s="366"/>
      <c r="I437" s="365"/>
      <c r="J437" s="365"/>
      <c r="K437" s="367"/>
      <c r="L437"/>
      <c r="M437" s="314">
        <f t="shared" ref="M437" si="117">SUM(N437:DJ437)</f>
        <v>807</v>
      </c>
      <c r="N437" s="310">
        <f>100+100</f>
        <v>200</v>
      </c>
      <c r="O437" s="315">
        <f>100+100</f>
        <v>200</v>
      </c>
      <c r="P437" s="315">
        <v>40</v>
      </c>
      <c r="Q437" s="315">
        <v>100</v>
      </c>
      <c r="R437" s="315">
        <v>100</v>
      </c>
      <c r="S437" s="55">
        <v>100</v>
      </c>
      <c r="T437" s="55">
        <v>67</v>
      </c>
      <c r="U437" s="55"/>
      <c r="V437" s="55"/>
      <c r="W437" s="55"/>
      <c r="X437" s="55"/>
      <c r="Y437" s="55"/>
      <c r="Z437" s="55"/>
      <c r="AA437" s="55"/>
      <c r="AB437" s="55"/>
      <c r="AC437" s="55"/>
      <c r="AD437" s="55"/>
      <c r="AE437" s="55"/>
      <c r="AF437" s="55"/>
      <c r="AG437" s="55"/>
      <c r="AH437" s="55"/>
      <c r="AI437" s="55"/>
      <c r="AJ437" s="55"/>
      <c r="AK437" s="55"/>
      <c r="AL437" s="55"/>
      <c r="AM437" s="55"/>
      <c r="AN437" s="55"/>
      <c r="AO437" s="55"/>
      <c r="AP437" s="55"/>
      <c r="AQ437" s="55"/>
      <c r="AR437" s="55"/>
      <c r="AS437" s="55"/>
      <c r="AT437" s="55"/>
      <c r="AU437" s="55"/>
      <c r="AV437" s="55"/>
      <c r="AW437" s="55"/>
      <c r="AX437" s="55"/>
      <c r="AY437" s="55"/>
      <c r="AZ437" s="55"/>
      <c r="BA437" s="55"/>
      <c r="BB437" s="55"/>
      <c r="BC437" s="55"/>
      <c r="BD437" s="55"/>
      <c r="BE437" s="55"/>
      <c r="BF437" s="55"/>
      <c r="BG437" s="55"/>
      <c r="BH437" s="55"/>
      <c r="BI437" s="55"/>
      <c r="BJ437" s="55"/>
      <c r="BK437" s="55"/>
      <c r="BL437" s="55"/>
      <c r="BM437" s="55"/>
      <c r="BN437" s="55"/>
      <c r="BO437" s="55"/>
      <c r="BP437" s="55"/>
      <c r="BQ437" s="55"/>
      <c r="BR437" s="55"/>
      <c r="BS437" s="55"/>
      <c r="BT437" s="55"/>
      <c r="BU437" s="55"/>
      <c r="BV437" s="55"/>
      <c r="BW437" s="55"/>
      <c r="BX437" s="55"/>
      <c r="BY437" s="55"/>
      <c r="BZ437" s="55"/>
      <c r="CA437" s="55"/>
      <c r="CB437" s="55"/>
      <c r="CC437" s="55"/>
      <c r="CD437" s="55"/>
      <c r="CE437" s="55"/>
      <c r="CF437" s="55"/>
      <c r="CG437" s="55"/>
      <c r="CH437" s="55"/>
      <c r="CI437" s="55"/>
      <c r="CJ437" s="55"/>
      <c r="CK437" s="55"/>
      <c r="CL437" s="55"/>
      <c r="CM437" s="55"/>
      <c r="CN437" s="55"/>
      <c r="CO437" s="55"/>
      <c r="CP437" s="55"/>
      <c r="CQ437" s="55"/>
      <c r="CR437" s="55"/>
      <c r="CS437" s="55"/>
      <c r="CT437" s="55"/>
      <c r="CU437" s="55"/>
      <c r="CV437" s="55"/>
      <c r="CW437" s="55"/>
      <c r="CX437" s="55"/>
      <c r="CY437" s="55"/>
      <c r="CZ437" s="55"/>
      <c r="DA437" s="55"/>
      <c r="DB437" s="55"/>
      <c r="DC437" s="55"/>
      <c r="DD437" s="55"/>
      <c r="DE437" s="55"/>
      <c r="DF437" s="55"/>
      <c r="DG437" s="55"/>
      <c r="DH437" s="55"/>
      <c r="DI437" s="55"/>
    </row>
    <row r="438" spans="1:113" x14ac:dyDescent="0.25">
      <c r="A438" s="384"/>
      <c r="B438" s="392"/>
      <c r="C438" s="362"/>
      <c r="D438" s="361"/>
      <c r="E438" s="364"/>
      <c r="F438" s="361"/>
      <c r="G438" s="386"/>
      <c r="H438" s="366"/>
      <c r="I438" s="365"/>
      <c r="J438" s="365"/>
      <c r="K438" s="367"/>
      <c r="L438"/>
      <c r="M438" s="348"/>
      <c r="N438" s="310" t="s">
        <v>1066</v>
      </c>
      <c r="O438" s="349" t="s">
        <v>1046</v>
      </c>
      <c r="P438" s="349" t="s">
        <v>1002</v>
      </c>
      <c r="Q438" s="349" t="s">
        <v>1002</v>
      </c>
      <c r="R438" s="349" t="s">
        <v>1002</v>
      </c>
      <c r="S438" s="346" t="s">
        <v>1059</v>
      </c>
      <c r="T438" s="346" t="s">
        <v>1044</v>
      </c>
      <c r="U438" s="346" t="s">
        <v>1062</v>
      </c>
      <c r="V438" s="346"/>
      <c r="W438" s="346"/>
      <c r="X438" s="346"/>
      <c r="Y438" s="346"/>
      <c r="Z438" s="346"/>
      <c r="AA438" s="346"/>
      <c r="AB438" s="346"/>
      <c r="AC438" s="346"/>
      <c r="AD438" s="346"/>
      <c r="AE438" s="346"/>
      <c r="AF438" s="346"/>
      <c r="AG438" s="346"/>
      <c r="AH438" s="346"/>
      <c r="AI438" s="346"/>
      <c r="AJ438" s="346"/>
      <c r="AK438" s="346"/>
      <c r="AL438" s="346"/>
      <c r="AM438" s="346"/>
      <c r="AN438" s="346"/>
      <c r="AO438" s="346"/>
      <c r="AP438" s="346"/>
      <c r="AQ438" s="346"/>
      <c r="AR438" s="346"/>
      <c r="AS438" s="346"/>
      <c r="AT438" s="346"/>
      <c r="AU438" s="346"/>
      <c r="AV438" s="346"/>
      <c r="AW438" s="346"/>
      <c r="AX438" s="346"/>
      <c r="AY438" s="346"/>
      <c r="AZ438" s="346"/>
      <c r="BA438" s="346"/>
      <c r="BB438" s="346"/>
      <c r="BC438" s="346"/>
      <c r="BD438" s="346"/>
      <c r="BE438" s="346"/>
      <c r="BF438" s="346"/>
      <c r="BG438" s="346"/>
      <c r="BH438" s="346"/>
      <c r="BI438" s="346"/>
      <c r="BJ438" s="346"/>
      <c r="BK438" s="346"/>
      <c r="BL438" s="346"/>
      <c r="BM438" s="346"/>
      <c r="BN438" s="346"/>
      <c r="BO438" s="346"/>
      <c r="BP438" s="346"/>
      <c r="BQ438" s="346"/>
      <c r="BR438" s="346"/>
      <c r="BS438" s="346"/>
      <c r="BT438" s="346"/>
      <c r="BU438" s="346"/>
      <c r="BV438" s="346"/>
      <c r="BW438" s="346"/>
      <c r="BX438" s="346"/>
      <c r="BY438" s="346"/>
      <c r="BZ438" s="346"/>
      <c r="CA438" s="346"/>
      <c r="CB438" s="346"/>
      <c r="CC438" s="346"/>
      <c r="CD438" s="346"/>
      <c r="CE438" s="346"/>
      <c r="CF438" s="346"/>
      <c r="CG438" s="346"/>
      <c r="CH438" s="346"/>
      <c r="CI438" s="346"/>
      <c r="CJ438" s="346"/>
      <c r="CK438" s="346"/>
      <c r="CL438" s="346"/>
      <c r="CM438" s="346"/>
      <c r="CN438" s="346"/>
      <c r="CO438" s="346"/>
      <c r="CP438" s="346"/>
      <c r="CQ438" s="346"/>
      <c r="CR438" s="346"/>
      <c r="CS438" s="346"/>
      <c r="CT438" s="346"/>
      <c r="CU438" s="346"/>
      <c r="CV438" s="346"/>
      <c r="CW438" s="346"/>
      <c r="CX438" s="346"/>
      <c r="CY438" s="346"/>
      <c r="CZ438" s="346"/>
      <c r="DA438" s="346"/>
      <c r="DB438" s="346"/>
      <c r="DC438" s="346"/>
      <c r="DD438" s="346"/>
      <c r="DE438" s="346"/>
      <c r="DF438" s="346"/>
      <c r="DG438" s="346"/>
      <c r="DH438" s="346"/>
      <c r="DI438" s="346"/>
    </row>
    <row r="439" spans="1:113" ht="15.75" thickBot="1" x14ac:dyDescent="0.3">
      <c r="A439" s="153"/>
      <c r="B439" s="144" t="s">
        <v>448</v>
      </c>
      <c r="C439" s="82">
        <v>7000</v>
      </c>
      <c r="D439" s="156"/>
      <c r="E439" s="154">
        <v>400</v>
      </c>
      <c r="F439" s="156"/>
      <c r="G439" s="147">
        <f t="shared" si="102"/>
        <v>400</v>
      </c>
      <c r="H439" s="58"/>
      <c r="I439" s="64">
        <f t="shared" si="103"/>
        <v>400</v>
      </c>
      <c r="J439" s="64">
        <f>I439*C439</f>
        <v>2800000</v>
      </c>
      <c r="K439" s="65">
        <f t="shared" si="105"/>
        <v>0</v>
      </c>
      <c r="L439"/>
      <c r="M439" s="314">
        <f t="shared" si="101"/>
        <v>1007</v>
      </c>
      <c r="N439" s="310">
        <f>50+50+50+40</f>
        <v>190</v>
      </c>
      <c r="O439" s="315">
        <f>100+50+50+42</f>
        <v>242</v>
      </c>
      <c r="P439" s="315">
        <v>51</v>
      </c>
      <c r="Q439" s="315">
        <v>51</v>
      </c>
      <c r="R439" s="315">
        <v>50</v>
      </c>
      <c r="S439" s="55">
        <f>100+100+100</f>
        <v>300</v>
      </c>
      <c r="T439" s="55">
        <f>50+50</f>
        <v>100</v>
      </c>
      <c r="U439" s="55">
        <v>23</v>
      </c>
      <c r="V439" s="55"/>
      <c r="W439" s="55"/>
      <c r="X439" s="55"/>
      <c r="Y439" s="55"/>
      <c r="Z439" s="55"/>
      <c r="AA439" s="55"/>
      <c r="AB439" s="55"/>
      <c r="AC439" s="55"/>
      <c r="AD439" s="55"/>
      <c r="AE439" s="55"/>
      <c r="AF439" s="55"/>
      <c r="AG439" s="55"/>
      <c r="AH439" s="55"/>
      <c r="AI439" s="55"/>
      <c r="AJ439" s="55"/>
      <c r="AK439" s="55"/>
      <c r="AL439" s="55"/>
      <c r="AM439" s="55"/>
      <c r="AN439" s="55"/>
      <c r="AO439" s="55"/>
      <c r="AP439" s="55"/>
      <c r="AQ439" s="55"/>
      <c r="AR439" s="55"/>
      <c r="AS439" s="55"/>
      <c r="AT439" s="55"/>
      <c r="AU439" s="55"/>
      <c r="AV439" s="55"/>
      <c r="AW439" s="55"/>
      <c r="AX439" s="55"/>
      <c r="AY439" s="55"/>
      <c r="AZ439" s="55"/>
      <c r="BA439" s="55"/>
      <c r="BB439" s="55"/>
      <c r="BC439" s="55"/>
      <c r="BD439" s="55"/>
      <c r="BE439" s="55"/>
      <c r="BF439" s="55"/>
      <c r="BG439" s="55"/>
      <c r="BH439" s="55"/>
      <c r="BI439" s="55"/>
      <c r="BJ439" s="55"/>
      <c r="BK439" s="55"/>
      <c r="BL439" s="55"/>
      <c r="BM439" s="55"/>
      <c r="BN439" s="55"/>
      <c r="BO439" s="55"/>
      <c r="BP439" s="55"/>
      <c r="BQ439" s="55"/>
      <c r="BR439" s="55"/>
      <c r="BS439" s="55"/>
      <c r="BT439" s="55"/>
      <c r="BU439" s="55"/>
      <c r="BV439" s="55"/>
      <c r="BW439" s="55"/>
      <c r="BX439" s="55"/>
      <c r="BY439" s="55"/>
      <c r="BZ439" s="55"/>
      <c r="CA439" s="55"/>
      <c r="CB439" s="55"/>
      <c r="CC439" s="55"/>
      <c r="CD439" s="55"/>
      <c r="CE439" s="55"/>
      <c r="CF439" s="55"/>
      <c r="CG439" s="55"/>
      <c r="CH439" s="55"/>
      <c r="CI439" s="55"/>
      <c r="CJ439" s="55"/>
      <c r="CK439" s="55"/>
      <c r="CL439" s="55"/>
      <c r="CM439" s="55"/>
      <c r="CN439" s="55"/>
      <c r="CO439" s="55"/>
      <c r="CP439" s="55"/>
      <c r="CQ439" s="55"/>
      <c r="CR439" s="55"/>
      <c r="CS439" s="55"/>
      <c r="CT439" s="55"/>
      <c r="CU439" s="55"/>
      <c r="CV439" s="55"/>
      <c r="CW439" s="55"/>
      <c r="CX439" s="55"/>
      <c r="CY439" s="55"/>
      <c r="CZ439" s="55"/>
      <c r="DA439" s="55"/>
      <c r="DB439" s="55"/>
      <c r="DC439" s="55"/>
      <c r="DD439" s="55"/>
      <c r="DE439" s="55"/>
      <c r="DF439" s="55"/>
      <c r="DG439" s="55"/>
      <c r="DH439" s="55"/>
      <c r="DI439" s="55"/>
    </row>
    <row r="440" spans="1:113" ht="15.75" thickBot="1" x14ac:dyDescent="0.3">
      <c r="A440" s="128"/>
      <c r="B440" s="119" t="s">
        <v>676</v>
      </c>
      <c r="C440" s="36"/>
      <c r="D440" s="36"/>
      <c r="E440" s="29">
        <f t="shared" ref="E440:K440" si="118">SUM(E390:E439)</f>
        <v>2405</v>
      </c>
      <c r="F440" s="29">
        <f t="shared" si="118"/>
        <v>0</v>
      </c>
      <c r="G440" s="29">
        <f t="shared" si="118"/>
        <v>2405</v>
      </c>
      <c r="H440" s="29">
        <f t="shared" si="118"/>
        <v>0</v>
      </c>
      <c r="I440" s="29">
        <f t="shared" si="118"/>
        <v>2405</v>
      </c>
      <c r="J440" s="29">
        <f t="shared" si="118"/>
        <v>30508000</v>
      </c>
      <c r="K440" s="47">
        <f t="shared" si="118"/>
        <v>3510429.76</v>
      </c>
      <c r="L440"/>
      <c r="M440" s="326">
        <f t="shared" si="101"/>
        <v>0</v>
      </c>
      <c r="N440" s="325"/>
      <c r="O440" s="325"/>
      <c r="P440" s="325"/>
      <c r="Q440" s="325"/>
      <c r="R440" s="325"/>
      <c r="S440" s="324"/>
      <c r="T440" s="324"/>
      <c r="U440" s="324"/>
      <c r="V440" s="324"/>
      <c r="W440" s="324"/>
      <c r="X440" s="324"/>
      <c r="Y440" s="324"/>
      <c r="Z440" s="324"/>
      <c r="AA440" s="324"/>
      <c r="AB440" s="324"/>
      <c r="AC440" s="324"/>
      <c r="AD440" s="324"/>
      <c r="AE440" s="324"/>
      <c r="AF440" s="324"/>
      <c r="AG440" s="324"/>
      <c r="AH440" s="324"/>
      <c r="AI440" s="324"/>
      <c r="AJ440" s="324"/>
      <c r="AK440" s="324"/>
      <c r="AL440" s="324"/>
      <c r="AM440" s="324"/>
      <c r="AN440" s="324"/>
      <c r="AO440" s="324"/>
      <c r="AP440" s="324"/>
      <c r="AQ440" s="324"/>
      <c r="AR440" s="324"/>
      <c r="AS440" s="324"/>
      <c r="AT440" s="324"/>
      <c r="AU440" s="324"/>
      <c r="AV440" s="324"/>
      <c r="AW440" s="324"/>
      <c r="AX440" s="324"/>
      <c r="AY440" s="324"/>
      <c r="AZ440" s="324"/>
      <c r="BA440" s="324"/>
      <c r="BB440" s="324"/>
      <c r="BC440" s="324"/>
      <c r="BD440" s="324"/>
      <c r="BE440" s="324"/>
      <c r="BF440" s="324"/>
      <c r="BG440" s="324"/>
      <c r="BH440" s="324"/>
      <c r="BI440" s="324"/>
      <c r="BJ440" s="324"/>
      <c r="BK440" s="324"/>
      <c r="BL440" s="324"/>
      <c r="BM440" s="324"/>
      <c r="BN440" s="324"/>
      <c r="BO440" s="324"/>
      <c r="BP440" s="324"/>
      <c r="BQ440" s="324"/>
      <c r="BR440" s="324"/>
      <c r="BS440" s="324"/>
      <c r="BT440" s="324"/>
      <c r="BU440" s="324"/>
      <c r="BV440" s="324"/>
      <c r="BW440" s="324"/>
      <c r="BX440" s="324"/>
      <c r="BY440" s="324"/>
      <c r="BZ440" s="324"/>
      <c r="CA440" s="324"/>
      <c r="CB440" s="324"/>
      <c r="CC440" s="324"/>
      <c r="CD440" s="324"/>
      <c r="CE440" s="324"/>
      <c r="CF440" s="324"/>
      <c r="CG440" s="324"/>
      <c r="CH440" s="324"/>
      <c r="CI440" s="324"/>
      <c r="CJ440" s="324"/>
      <c r="CK440" s="324"/>
      <c r="CL440" s="324"/>
      <c r="CM440" s="324"/>
      <c r="CN440" s="324"/>
      <c r="CO440" s="324"/>
      <c r="CP440" s="324"/>
      <c r="CQ440" s="324"/>
      <c r="CR440" s="324"/>
      <c r="CS440" s="324"/>
      <c r="CT440" s="324"/>
      <c r="CU440" s="324"/>
      <c r="CV440" s="324"/>
      <c r="CW440" s="324"/>
      <c r="CX440" s="324"/>
      <c r="CY440" s="324"/>
      <c r="CZ440" s="324"/>
      <c r="DA440" s="324"/>
      <c r="DB440" s="324"/>
      <c r="DC440" s="324"/>
      <c r="DD440" s="324"/>
      <c r="DE440" s="324"/>
      <c r="DF440" s="324"/>
      <c r="DG440" s="324"/>
      <c r="DH440" s="324"/>
      <c r="DI440" s="324"/>
    </row>
    <row r="441" spans="1:113" ht="15.75" thickBot="1" x14ac:dyDescent="0.3">
      <c r="B441" s="161"/>
      <c r="C441" s="162"/>
      <c r="D441" s="163"/>
      <c r="E441" s="164"/>
      <c r="F441" s="67"/>
      <c r="G441" s="164"/>
      <c r="H441" s="164"/>
      <c r="I441" s="164"/>
      <c r="J441" s="164"/>
      <c r="K441" s="163"/>
      <c r="L441"/>
      <c r="M441"/>
      <c r="N441"/>
      <c r="O441"/>
      <c r="P441"/>
      <c r="Q441"/>
      <c r="R441"/>
      <c r="S441"/>
      <c r="T441"/>
      <c r="U441"/>
      <c r="V441"/>
    </row>
    <row r="442" spans="1:113" ht="15.75" thickBot="1" x14ac:dyDescent="0.3">
      <c r="A442" s="407" t="s">
        <v>657</v>
      </c>
      <c r="B442" s="414" t="s">
        <v>708</v>
      </c>
      <c r="C442" s="414" t="s">
        <v>1</v>
      </c>
      <c r="D442" s="415" t="s">
        <v>649</v>
      </c>
      <c r="E442" s="416" t="s">
        <v>19</v>
      </c>
      <c r="F442" s="416"/>
      <c r="G442" s="416"/>
      <c r="H442" s="416"/>
      <c r="I442" s="416"/>
      <c r="J442" s="410" t="s">
        <v>21</v>
      </c>
      <c r="K442" s="417" t="s">
        <v>602</v>
      </c>
      <c r="L442"/>
      <c r="M442" s="403" t="s">
        <v>601</v>
      </c>
      <c r="N442" s="403" t="s">
        <v>924</v>
      </c>
      <c r="O442" s="403"/>
      <c r="P442" s="403"/>
      <c r="Q442" s="403"/>
      <c r="R442" s="403"/>
      <c r="S442" s="403"/>
      <c r="T442" s="403"/>
      <c r="U442" s="403"/>
      <c r="V442" s="403"/>
      <c r="W442" s="403"/>
      <c r="X442" s="403"/>
      <c r="Y442" s="403"/>
      <c r="Z442" s="403"/>
      <c r="AA442" s="403"/>
      <c r="AB442" s="403"/>
      <c r="AC442" s="403"/>
      <c r="AD442" s="403"/>
      <c r="AE442" s="403"/>
      <c r="AF442" s="403"/>
      <c r="AG442" s="403"/>
      <c r="AH442" s="403"/>
      <c r="AI442" s="403"/>
      <c r="AJ442" s="403"/>
      <c r="AK442" s="403"/>
      <c r="AL442" s="403"/>
      <c r="AM442" s="403"/>
      <c r="AN442" s="403"/>
      <c r="AO442" s="403"/>
      <c r="AP442" s="403"/>
      <c r="AQ442" s="403"/>
      <c r="AR442" s="403"/>
      <c r="AS442" s="403"/>
      <c r="AT442" s="403"/>
      <c r="AU442" s="403"/>
      <c r="AV442" s="403"/>
      <c r="AW442" s="403"/>
      <c r="AX442" s="403"/>
      <c r="AY442" s="403"/>
      <c r="AZ442" s="403"/>
      <c r="BA442" s="403"/>
      <c r="BB442" s="403"/>
      <c r="BC442" s="403"/>
      <c r="BD442" s="403"/>
      <c r="BE442" s="403"/>
      <c r="BF442" s="403"/>
      <c r="BG442" s="403"/>
      <c r="BH442" s="403"/>
      <c r="BI442" s="403"/>
      <c r="BJ442" s="403"/>
      <c r="BK442" s="403"/>
      <c r="BL442" s="403"/>
      <c r="BM442" s="403"/>
      <c r="BN442" s="403"/>
      <c r="BO442" s="403"/>
      <c r="BP442" s="403"/>
      <c r="BQ442" s="403"/>
      <c r="BR442" s="403"/>
      <c r="BS442" s="403"/>
      <c r="BT442" s="403"/>
      <c r="BU442" s="403"/>
      <c r="BV442" s="403"/>
      <c r="BW442" s="403"/>
      <c r="BX442" s="403"/>
      <c r="BY442" s="403"/>
      <c r="BZ442" s="403"/>
      <c r="CA442" s="403"/>
      <c r="CB442" s="403"/>
      <c r="CC442" s="403"/>
      <c r="CD442" s="403"/>
      <c r="CE442" s="403"/>
      <c r="CF442" s="403"/>
      <c r="CG442" s="403"/>
      <c r="CH442" s="403"/>
      <c r="CI442" s="403"/>
      <c r="CJ442" s="403"/>
      <c r="CK442" s="403"/>
      <c r="CL442" s="403"/>
      <c r="CM442" s="403"/>
      <c r="CN442" s="403"/>
      <c r="CO442" s="403"/>
      <c r="CP442" s="403"/>
      <c r="CQ442" s="403"/>
      <c r="CR442" s="403"/>
      <c r="CS442" s="403"/>
      <c r="CT442" s="403"/>
      <c r="CU442" s="403"/>
      <c r="CV442" s="403"/>
      <c r="CW442" s="403"/>
      <c r="CX442" s="403"/>
      <c r="CY442" s="403"/>
      <c r="CZ442" s="403"/>
      <c r="DA442" s="403"/>
      <c r="DB442" s="403"/>
      <c r="DC442" s="403"/>
      <c r="DD442" s="403"/>
      <c r="DE442" s="403"/>
      <c r="DF442" s="403"/>
      <c r="DG442" s="403"/>
      <c r="DH442" s="403"/>
      <c r="DI442" s="403"/>
    </row>
    <row r="443" spans="1:113" ht="30.75" thickBot="1" x14ac:dyDescent="0.3">
      <c r="A443" s="408"/>
      <c r="B443" s="414"/>
      <c r="C443" s="414"/>
      <c r="D443" s="415"/>
      <c r="E443" s="68" t="s">
        <v>22</v>
      </c>
      <c r="F443" s="68" t="s">
        <v>600</v>
      </c>
      <c r="G443" s="68" t="s">
        <v>601</v>
      </c>
      <c r="H443" s="68" t="s">
        <v>589</v>
      </c>
      <c r="I443" s="68" t="s">
        <v>601</v>
      </c>
      <c r="J443" s="411"/>
      <c r="K443" s="418"/>
      <c r="L443"/>
      <c r="M443" s="403"/>
      <c r="N443" s="400" t="s">
        <v>925</v>
      </c>
      <c r="O443" s="400" t="s">
        <v>926</v>
      </c>
      <c r="P443" s="400"/>
      <c r="Q443" s="400"/>
      <c r="R443" s="400"/>
      <c r="S443" s="398"/>
      <c r="T443" s="398"/>
      <c r="U443" s="398"/>
      <c r="V443" s="398"/>
      <c r="W443" s="398"/>
      <c r="X443" s="398"/>
      <c r="Y443" s="398"/>
      <c r="Z443" s="398"/>
      <c r="AA443" s="398"/>
      <c r="AB443" s="398"/>
      <c r="AC443" s="398"/>
      <c r="AD443" s="398"/>
      <c r="AE443" s="398"/>
      <c r="AF443" s="398"/>
      <c r="AG443" s="398"/>
      <c r="AH443" s="398"/>
      <c r="AI443" s="398"/>
      <c r="AJ443" s="398"/>
      <c r="AK443" s="398"/>
      <c r="AL443" s="398"/>
      <c r="AM443" s="398"/>
      <c r="AN443" s="398"/>
      <c r="AO443" s="398"/>
      <c r="AP443" s="398"/>
      <c r="AQ443" s="398"/>
      <c r="AR443" s="398"/>
      <c r="AS443" s="398"/>
      <c r="AT443" s="398"/>
      <c r="AU443" s="398"/>
      <c r="AV443" s="398"/>
      <c r="AW443" s="398"/>
      <c r="AX443" s="398"/>
      <c r="AY443" s="398"/>
      <c r="AZ443" s="398"/>
      <c r="BA443" s="398"/>
      <c r="BB443" s="398"/>
      <c r="BC443" s="398"/>
      <c r="BD443" s="398"/>
      <c r="BE443" s="398"/>
      <c r="BF443" s="398"/>
      <c r="BG443" s="398"/>
      <c r="BH443" s="398"/>
      <c r="BI443" s="398"/>
      <c r="BJ443" s="398"/>
      <c r="BK443" s="398"/>
      <c r="BL443" s="398"/>
      <c r="BM443" s="398"/>
      <c r="BN443" s="398"/>
      <c r="BO443" s="398"/>
      <c r="BP443" s="398"/>
      <c r="BQ443" s="398"/>
      <c r="BR443" s="398"/>
      <c r="BS443" s="398"/>
      <c r="BT443" s="398"/>
      <c r="BU443" s="398"/>
      <c r="BV443" s="398"/>
      <c r="BW443" s="398"/>
      <c r="BX443" s="398"/>
      <c r="BY443" s="398"/>
      <c r="BZ443" s="398"/>
      <c r="CA443" s="398"/>
      <c r="CB443" s="398"/>
      <c r="CC443" s="398"/>
      <c r="CD443" s="398"/>
      <c r="CE443" s="398"/>
      <c r="CF443" s="398"/>
      <c r="CG443" s="398"/>
      <c r="CH443" s="398"/>
      <c r="CI443" s="398"/>
      <c r="CJ443" s="398"/>
      <c r="CK443" s="398"/>
      <c r="CL443" s="398"/>
      <c r="CM443" s="398"/>
      <c r="CN443" s="398"/>
      <c r="CO443" s="398"/>
      <c r="CP443" s="398"/>
      <c r="CQ443" s="398"/>
      <c r="CR443" s="398"/>
      <c r="CS443" s="398"/>
      <c r="CT443" s="398"/>
      <c r="CU443" s="398"/>
      <c r="CV443" s="398"/>
      <c r="CW443" s="398"/>
      <c r="CX443" s="398"/>
      <c r="CY443" s="398"/>
      <c r="CZ443" s="398"/>
      <c r="DA443" s="398"/>
      <c r="DB443" s="398"/>
      <c r="DC443" s="398"/>
      <c r="DD443" s="398"/>
      <c r="DE443" s="398"/>
      <c r="DF443" s="398"/>
      <c r="DG443" s="398"/>
      <c r="DH443" s="398"/>
      <c r="DI443" s="398"/>
    </row>
    <row r="444" spans="1:113" ht="15.75" thickBot="1" x14ac:dyDescent="0.3">
      <c r="A444" s="409"/>
      <c r="B444" s="185">
        <v>1</v>
      </c>
      <c r="C444" s="185">
        <v>2</v>
      </c>
      <c r="D444" s="185">
        <v>3</v>
      </c>
      <c r="E444" s="70">
        <v>4</v>
      </c>
      <c r="F444" s="70">
        <f>+E444+1</f>
        <v>5</v>
      </c>
      <c r="G444" s="70" t="s">
        <v>652</v>
      </c>
      <c r="H444" s="70">
        <v>7</v>
      </c>
      <c r="I444" s="71" t="s">
        <v>651</v>
      </c>
      <c r="J444" s="42" t="s">
        <v>650</v>
      </c>
      <c r="K444" s="42" t="s">
        <v>653</v>
      </c>
      <c r="L444"/>
      <c r="M444" s="403"/>
      <c r="N444" s="402"/>
      <c r="O444" s="402"/>
      <c r="P444" s="402"/>
      <c r="Q444" s="402"/>
      <c r="R444" s="402"/>
      <c r="S444" s="399"/>
      <c r="T444" s="399"/>
      <c r="U444" s="399"/>
      <c r="V444" s="399"/>
      <c r="W444" s="399"/>
      <c r="X444" s="399"/>
      <c r="Y444" s="399"/>
      <c r="Z444" s="399"/>
      <c r="AA444" s="399"/>
      <c r="AB444" s="399"/>
      <c r="AC444" s="399"/>
      <c r="AD444" s="399"/>
      <c r="AE444" s="399"/>
      <c r="AF444" s="399"/>
      <c r="AG444" s="399"/>
      <c r="AH444" s="399"/>
      <c r="AI444" s="399"/>
      <c r="AJ444" s="399"/>
      <c r="AK444" s="399"/>
      <c r="AL444" s="399"/>
      <c r="AM444" s="399"/>
      <c r="AN444" s="399"/>
      <c r="AO444" s="399"/>
      <c r="AP444" s="399"/>
      <c r="AQ444" s="399"/>
      <c r="AR444" s="399"/>
      <c r="AS444" s="399"/>
      <c r="AT444" s="399"/>
      <c r="AU444" s="399"/>
      <c r="AV444" s="399"/>
      <c r="AW444" s="399"/>
      <c r="AX444" s="399"/>
      <c r="AY444" s="399"/>
      <c r="AZ444" s="399"/>
      <c r="BA444" s="399"/>
      <c r="BB444" s="399"/>
      <c r="BC444" s="399"/>
      <c r="BD444" s="399"/>
      <c r="BE444" s="399"/>
      <c r="BF444" s="399"/>
      <c r="BG444" s="399"/>
      <c r="BH444" s="399"/>
      <c r="BI444" s="399"/>
      <c r="BJ444" s="399"/>
      <c r="BK444" s="399"/>
      <c r="BL444" s="399"/>
      <c r="BM444" s="399"/>
      <c r="BN444" s="399"/>
      <c r="BO444" s="399"/>
      <c r="BP444" s="399"/>
      <c r="BQ444" s="399"/>
      <c r="BR444" s="399"/>
      <c r="BS444" s="399"/>
      <c r="BT444" s="399"/>
      <c r="BU444" s="399"/>
      <c r="BV444" s="399"/>
      <c r="BW444" s="399"/>
      <c r="BX444" s="399"/>
      <c r="BY444" s="399"/>
      <c r="BZ444" s="399"/>
      <c r="CA444" s="399"/>
      <c r="CB444" s="399"/>
      <c r="CC444" s="399"/>
      <c r="CD444" s="399"/>
      <c r="CE444" s="399"/>
      <c r="CF444" s="399"/>
      <c r="CG444" s="399"/>
      <c r="CH444" s="399"/>
      <c r="CI444" s="399"/>
      <c r="CJ444" s="399"/>
      <c r="CK444" s="399"/>
      <c r="CL444" s="399"/>
      <c r="CM444" s="399"/>
      <c r="CN444" s="399"/>
      <c r="CO444" s="399"/>
      <c r="CP444" s="399"/>
      <c r="CQ444" s="399"/>
      <c r="CR444" s="399"/>
      <c r="CS444" s="399"/>
      <c r="CT444" s="399"/>
      <c r="CU444" s="399"/>
      <c r="CV444" s="399"/>
      <c r="CW444" s="399"/>
      <c r="CX444" s="399"/>
      <c r="CY444" s="399"/>
      <c r="CZ444" s="399"/>
      <c r="DA444" s="399"/>
      <c r="DB444" s="399"/>
      <c r="DC444" s="399"/>
      <c r="DD444" s="399"/>
      <c r="DE444" s="399"/>
      <c r="DF444" s="399"/>
      <c r="DG444" s="399"/>
      <c r="DH444" s="399"/>
      <c r="DI444" s="399"/>
    </row>
    <row r="445" spans="1:113" x14ac:dyDescent="0.25">
      <c r="A445" s="160"/>
      <c r="B445" s="72" t="s">
        <v>711</v>
      </c>
      <c r="C445" s="54"/>
      <c r="D445" s="54"/>
      <c r="E445" s="54"/>
      <c r="F445" s="54"/>
      <c r="G445" s="54"/>
      <c r="H445" s="54"/>
      <c r="I445" s="54"/>
      <c r="J445" s="54"/>
      <c r="K445" s="54"/>
      <c r="L445"/>
      <c r="M445" s="314">
        <f t="shared" ref="M445:M492" si="119">SUM(N445:DJ445)</f>
        <v>0</v>
      </c>
      <c r="N445" s="310"/>
      <c r="O445" s="315"/>
      <c r="P445" s="315"/>
      <c r="Q445" s="315"/>
      <c r="R445" s="315"/>
      <c r="S445" s="55"/>
      <c r="T445" s="55"/>
      <c r="U445" s="55"/>
      <c r="V445" s="55"/>
      <c r="W445" s="55"/>
      <c r="X445" s="55"/>
      <c r="Y445" s="55"/>
      <c r="Z445" s="55"/>
      <c r="AA445" s="55"/>
      <c r="AB445" s="55"/>
      <c r="AC445" s="55"/>
      <c r="AD445" s="55"/>
      <c r="AE445" s="55"/>
      <c r="AF445" s="55"/>
      <c r="AG445" s="55"/>
      <c r="AH445" s="55"/>
      <c r="AI445" s="55"/>
      <c r="AJ445" s="55"/>
      <c r="AK445" s="55"/>
      <c r="AL445" s="55"/>
      <c r="AM445" s="55"/>
      <c r="AN445" s="55"/>
      <c r="AO445" s="55"/>
      <c r="AP445" s="55"/>
      <c r="AQ445" s="55"/>
      <c r="AR445" s="55"/>
      <c r="AS445" s="55"/>
      <c r="AT445" s="55"/>
      <c r="AU445" s="55"/>
      <c r="AV445" s="55"/>
      <c r="AW445" s="55"/>
      <c r="AX445" s="55"/>
      <c r="AY445" s="55"/>
      <c r="AZ445" s="55"/>
      <c r="BA445" s="55"/>
      <c r="BB445" s="55"/>
      <c r="BC445" s="55"/>
      <c r="BD445" s="55"/>
      <c r="BE445" s="55"/>
      <c r="BF445" s="55"/>
      <c r="BG445" s="55"/>
      <c r="BH445" s="55"/>
      <c r="BI445" s="55"/>
      <c r="BJ445" s="55"/>
      <c r="BK445" s="55"/>
      <c r="BL445" s="55"/>
      <c r="BM445" s="55"/>
      <c r="BN445" s="55"/>
      <c r="BO445" s="55"/>
      <c r="BP445" s="55"/>
      <c r="BQ445" s="55"/>
      <c r="BR445" s="55"/>
      <c r="BS445" s="55"/>
      <c r="BT445" s="55"/>
      <c r="BU445" s="55"/>
      <c r="BV445" s="55"/>
      <c r="BW445" s="55"/>
      <c r="BX445" s="55"/>
      <c r="BY445" s="55"/>
      <c r="BZ445" s="55"/>
      <c r="CA445" s="55"/>
      <c r="CB445" s="55"/>
      <c r="CC445" s="55"/>
      <c r="CD445" s="55"/>
      <c r="CE445" s="55"/>
      <c r="CF445" s="55"/>
      <c r="CG445" s="55"/>
      <c r="CH445" s="55"/>
      <c r="CI445" s="55"/>
      <c r="CJ445" s="55"/>
      <c r="CK445" s="55"/>
      <c r="CL445" s="55"/>
      <c r="CM445" s="55"/>
      <c r="CN445" s="55"/>
      <c r="CO445" s="55"/>
      <c r="CP445" s="55"/>
      <c r="CQ445" s="55"/>
      <c r="CR445" s="55"/>
      <c r="CS445" s="55"/>
      <c r="CT445" s="55"/>
      <c r="CU445" s="55"/>
      <c r="CV445" s="55"/>
      <c r="CW445" s="55"/>
      <c r="CX445" s="55"/>
      <c r="CY445" s="55"/>
      <c r="CZ445" s="55"/>
      <c r="DA445" s="55"/>
      <c r="DB445" s="55"/>
      <c r="DC445" s="55"/>
      <c r="DD445" s="55"/>
      <c r="DE445" s="55"/>
      <c r="DF445" s="55"/>
      <c r="DG445" s="55"/>
      <c r="DH445" s="55"/>
      <c r="DI445" s="55"/>
    </row>
    <row r="446" spans="1:113" x14ac:dyDescent="0.25">
      <c r="A446" s="317"/>
      <c r="B446" s="351"/>
      <c r="C446" s="353"/>
      <c r="D446" s="353"/>
      <c r="E446" s="353"/>
      <c r="F446" s="353"/>
      <c r="G446" s="353"/>
      <c r="H446" s="353"/>
      <c r="I446" s="353"/>
      <c r="J446" s="353"/>
      <c r="K446" s="353"/>
      <c r="L446"/>
      <c r="M446" s="348"/>
      <c r="N446" s="310" t="s">
        <v>1002</v>
      </c>
      <c r="O446" s="349" t="s">
        <v>1002</v>
      </c>
      <c r="P446" s="349" t="s">
        <v>1002</v>
      </c>
      <c r="Q446" s="349" t="s">
        <v>965</v>
      </c>
      <c r="R446" s="349" t="s">
        <v>1043</v>
      </c>
      <c r="S446" s="346" t="s">
        <v>1041</v>
      </c>
      <c r="T446" s="346" t="s">
        <v>1046</v>
      </c>
      <c r="U446" s="346" t="s">
        <v>1038</v>
      </c>
      <c r="V446" s="346" t="s">
        <v>1036</v>
      </c>
      <c r="W446" s="346"/>
      <c r="X446" s="346"/>
      <c r="Y446" s="346"/>
      <c r="Z446" s="346"/>
      <c r="AA446" s="346"/>
      <c r="AB446" s="346"/>
      <c r="AC446" s="346"/>
      <c r="AD446" s="346"/>
      <c r="AE446" s="346"/>
      <c r="AF446" s="346"/>
      <c r="AG446" s="346"/>
      <c r="AH446" s="346"/>
      <c r="AI446" s="346"/>
      <c r="AJ446" s="346"/>
      <c r="AK446" s="346"/>
      <c r="AL446" s="346"/>
      <c r="AM446" s="346"/>
      <c r="AN446" s="346"/>
      <c r="AO446" s="346"/>
      <c r="AP446" s="346"/>
      <c r="AQ446" s="346"/>
      <c r="AR446" s="346"/>
      <c r="AS446" s="346"/>
      <c r="AT446" s="346"/>
      <c r="AU446" s="346"/>
      <c r="AV446" s="346"/>
      <c r="AW446" s="346"/>
      <c r="AX446" s="346"/>
      <c r="AY446" s="346"/>
      <c r="AZ446" s="346"/>
      <c r="BA446" s="346"/>
      <c r="BB446" s="346"/>
      <c r="BC446" s="346"/>
      <c r="BD446" s="346"/>
      <c r="BE446" s="346"/>
      <c r="BF446" s="346"/>
      <c r="BG446" s="346"/>
      <c r="BH446" s="346"/>
      <c r="BI446" s="346"/>
      <c r="BJ446" s="346"/>
      <c r="BK446" s="346"/>
      <c r="BL446" s="346"/>
      <c r="BM446" s="346"/>
      <c r="BN446" s="346"/>
      <c r="BO446" s="346"/>
      <c r="BP446" s="346"/>
      <c r="BQ446" s="346"/>
      <c r="BR446" s="346"/>
      <c r="BS446" s="346"/>
      <c r="BT446" s="346"/>
      <c r="BU446" s="346"/>
      <c r="BV446" s="346"/>
      <c r="BW446" s="346"/>
      <c r="BX446" s="346"/>
      <c r="BY446" s="346"/>
      <c r="BZ446" s="346"/>
      <c r="CA446" s="346"/>
      <c r="CB446" s="346"/>
      <c r="CC446" s="346"/>
      <c r="CD446" s="346"/>
      <c r="CE446" s="346"/>
      <c r="CF446" s="346"/>
      <c r="CG446" s="346"/>
      <c r="CH446" s="346"/>
      <c r="CI446" s="346"/>
      <c r="CJ446" s="346"/>
      <c r="CK446" s="346"/>
      <c r="CL446" s="346"/>
      <c r="CM446" s="346"/>
      <c r="CN446" s="346"/>
      <c r="CO446" s="346"/>
      <c r="CP446" s="346"/>
      <c r="CQ446" s="346"/>
      <c r="CR446" s="346"/>
      <c r="CS446" s="346"/>
      <c r="CT446" s="346"/>
      <c r="CU446" s="346"/>
      <c r="CV446" s="346"/>
      <c r="CW446" s="346"/>
      <c r="CX446" s="346"/>
      <c r="CY446" s="346"/>
      <c r="CZ446" s="346"/>
      <c r="DA446" s="346"/>
      <c r="DB446" s="346"/>
      <c r="DC446" s="346"/>
      <c r="DD446" s="346"/>
      <c r="DE446" s="346"/>
      <c r="DF446" s="346"/>
      <c r="DG446" s="346"/>
      <c r="DH446" s="346"/>
      <c r="DI446" s="346"/>
    </row>
    <row r="447" spans="1:113" x14ac:dyDescent="0.25">
      <c r="A447" s="152">
        <v>1</v>
      </c>
      <c r="B447" s="79" t="s">
        <v>745</v>
      </c>
      <c r="C447" s="80">
        <f>+'[4]KEL C-2'!$GQ$4</f>
        <v>17500</v>
      </c>
      <c r="D447" s="142">
        <f>+'[2]SHP,SP'!$D$751</f>
        <v>2068</v>
      </c>
      <c r="E447" s="43">
        <v>3897</v>
      </c>
      <c r="F447" s="60"/>
      <c r="G447" s="139">
        <f t="shared" ref="G447:G479" si="120">+E447+F447</f>
        <v>3897</v>
      </c>
      <c r="H447" s="55"/>
      <c r="I447" s="56">
        <f t="shared" ref="I447:I479" si="121">+G447-H447</f>
        <v>3897</v>
      </c>
      <c r="J447" s="56">
        <f t="shared" ref="J447:J479" si="122">I447*C447</f>
        <v>68197500</v>
      </c>
      <c r="K447" s="57">
        <f t="shared" ref="K447:K479" si="123">+D447*I447</f>
        <v>8058996</v>
      </c>
      <c r="L447"/>
      <c r="M447" s="314">
        <f t="shared" si="119"/>
        <v>506</v>
      </c>
      <c r="N447" s="310">
        <v>50</v>
      </c>
      <c r="O447" s="315">
        <v>50</v>
      </c>
      <c r="P447" s="315">
        <v>21</v>
      </c>
      <c r="Q447" s="315">
        <v>24</v>
      </c>
      <c r="R447" s="315">
        <f>50+50</f>
        <v>100</v>
      </c>
      <c r="S447" s="55">
        <v>16</v>
      </c>
      <c r="T447" s="55">
        <f>100+100+10</f>
        <v>210</v>
      </c>
      <c r="U447" s="55">
        <v>14</v>
      </c>
      <c r="V447" s="55">
        <v>21</v>
      </c>
      <c r="W447" s="55"/>
      <c r="X447" s="55"/>
      <c r="Y447" s="55"/>
      <c r="Z447" s="55"/>
      <c r="AA447" s="55"/>
      <c r="AB447" s="55"/>
      <c r="AC447" s="55"/>
      <c r="AD447" s="55"/>
      <c r="AE447" s="55"/>
      <c r="AF447" s="55"/>
      <c r="AG447" s="55"/>
      <c r="AH447" s="55"/>
      <c r="AI447" s="55"/>
      <c r="AJ447" s="55"/>
      <c r="AK447" s="55"/>
      <c r="AL447" s="55"/>
      <c r="AM447" s="55"/>
      <c r="AN447" s="55"/>
      <c r="AO447" s="55"/>
      <c r="AP447" s="55"/>
      <c r="AQ447" s="55"/>
      <c r="AR447" s="55"/>
      <c r="AS447" s="55"/>
      <c r="AT447" s="55"/>
      <c r="AU447" s="55"/>
      <c r="AV447" s="55"/>
      <c r="AW447" s="55"/>
      <c r="AX447" s="55"/>
      <c r="AY447" s="55"/>
      <c r="AZ447" s="55"/>
      <c r="BA447" s="55"/>
      <c r="BB447" s="55"/>
      <c r="BC447" s="55"/>
      <c r="BD447" s="55"/>
      <c r="BE447" s="55"/>
      <c r="BF447" s="55"/>
      <c r="BG447" s="55"/>
      <c r="BH447" s="55"/>
      <c r="BI447" s="55"/>
      <c r="BJ447" s="55"/>
      <c r="BK447" s="55"/>
      <c r="BL447" s="55"/>
      <c r="BM447" s="55"/>
      <c r="BN447" s="55"/>
      <c r="BO447" s="55"/>
      <c r="BP447" s="55"/>
      <c r="BQ447" s="55"/>
      <c r="BR447" s="55"/>
      <c r="BS447" s="55"/>
      <c r="BT447" s="55"/>
      <c r="BU447" s="55"/>
      <c r="BV447" s="55"/>
      <c r="BW447" s="55"/>
      <c r="BX447" s="55"/>
      <c r="BY447" s="55"/>
      <c r="BZ447" s="55"/>
      <c r="CA447" s="55"/>
      <c r="CB447" s="55"/>
      <c r="CC447" s="55"/>
      <c r="CD447" s="55"/>
      <c r="CE447" s="55"/>
      <c r="CF447" s="55"/>
      <c r="CG447" s="55"/>
      <c r="CH447" s="55"/>
      <c r="CI447" s="55"/>
      <c r="CJ447" s="55"/>
      <c r="CK447" s="55"/>
      <c r="CL447" s="55"/>
      <c r="CM447" s="55"/>
      <c r="CN447" s="55"/>
      <c r="CO447" s="55"/>
      <c r="CP447" s="55"/>
      <c r="CQ447" s="55"/>
      <c r="CR447" s="55"/>
      <c r="CS447" s="55"/>
      <c r="CT447" s="55"/>
      <c r="CU447" s="55"/>
      <c r="CV447" s="55"/>
      <c r="CW447" s="55"/>
      <c r="CX447" s="55"/>
      <c r="CY447" s="55"/>
      <c r="CZ447" s="55"/>
      <c r="DA447" s="55"/>
      <c r="DB447" s="55"/>
      <c r="DC447" s="55"/>
      <c r="DD447" s="55"/>
      <c r="DE447" s="55"/>
      <c r="DF447" s="55"/>
      <c r="DG447" s="55"/>
      <c r="DH447" s="55"/>
      <c r="DI447" s="55"/>
    </row>
    <row r="448" spans="1:113" x14ac:dyDescent="0.25">
      <c r="A448" s="380"/>
      <c r="B448" s="340"/>
      <c r="C448" s="341"/>
      <c r="D448" s="381"/>
      <c r="E448" s="344"/>
      <c r="F448" s="350"/>
      <c r="G448" s="356"/>
      <c r="H448" s="346"/>
      <c r="I448" s="345"/>
      <c r="J448" s="345"/>
      <c r="K448" s="347"/>
      <c r="L448"/>
      <c r="M448" s="348"/>
      <c r="N448" s="310" t="s">
        <v>965</v>
      </c>
      <c r="O448" s="349" t="s">
        <v>1040</v>
      </c>
      <c r="P448" s="349" t="s">
        <v>1043</v>
      </c>
      <c r="Q448" s="349" t="s">
        <v>1045</v>
      </c>
      <c r="R448" s="349" t="s">
        <v>1041</v>
      </c>
      <c r="S448" s="349"/>
      <c r="T448" s="349"/>
      <c r="U448" s="349"/>
      <c r="V448" s="349"/>
      <c r="W448" s="346"/>
      <c r="X448" s="346"/>
      <c r="Y448" s="346"/>
      <c r="Z448" s="346"/>
      <c r="AA448" s="346"/>
      <c r="AB448" s="346"/>
      <c r="AC448" s="346"/>
      <c r="AD448" s="346"/>
      <c r="AE448" s="346"/>
      <c r="AF448" s="346"/>
      <c r="AG448" s="346"/>
      <c r="AH448" s="346"/>
      <c r="AI448" s="346"/>
      <c r="AJ448" s="346"/>
      <c r="AK448" s="346"/>
      <c r="AL448" s="346"/>
      <c r="AM448" s="346"/>
      <c r="AN448" s="346"/>
      <c r="AO448" s="346"/>
      <c r="AP448" s="346"/>
      <c r="AQ448" s="346"/>
      <c r="AR448" s="346"/>
      <c r="AS448" s="346"/>
      <c r="AT448" s="346"/>
      <c r="AU448" s="346"/>
      <c r="AV448" s="346"/>
      <c r="AW448" s="346"/>
      <c r="AX448" s="346"/>
      <c r="AY448" s="346"/>
      <c r="AZ448" s="346"/>
      <c r="BA448" s="346"/>
      <c r="BB448" s="346"/>
      <c r="BC448" s="346"/>
      <c r="BD448" s="346"/>
      <c r="BE448" s="346"/>
      <c r="BF448" s="346"/>
      <c r="BG448" s="346"/>
      <c r="BH448" s="346"/>
      <c r="BI448" s="346"/>
      <c r="BJ448" s="346"/>
      <c r="BK448" s="346"/>
      <c r="BL448" s="346"/>
      <c r="BM448" s="346"/>
      <c r="BN448" s="346"/>
      <c r="BO448" s="346"/>
      <c r="BP448" s="346"/>
      <c r="BQ448" s="346"/>
      <c r="BR448" s="346"/>
      <c r="BS448" s="346"/>
      <c r="BT448" s="346"/>
      <c r="BU448" s="346"/>
      <c r="BV448" s="346"/>
      <c r="BW448" s="346"/>
      <c r="BX448" s="346"/>
      <c r="BY448" s="346"/>
      <c r="BZ448" s="346"/>
      <c r="CA448" s="346"/>
      <c r="CB448" s="346"/>
      <c r="CC448" s="346"/>
      <c r="CD448" s="346"/>
      <c r="CE448" s="346"/>
      <c r="CF448" s="346"/>
      <c r="CG448" s="346"/>
      <c r="CH448" s="346"/>
      <c r="CI448" s="346"/>
      <c r="CJ448" s="346"/>
      <c r="CK448" s="346"/>
      <c r="CL448" s="346"/>
      <c r="CM448" s="346"/>
      <c r="CN448" s="346"/>
      <c r="CO448" s="346"/>
      <c r="CP448" s="346"/>
      <c r="CQ448" s="346"/>
      <c r="CR448" s="346"/>
      <c r="CS448" s="346"/>
      <c r="CT448" s="346"/>
      <c r="CU448" s="346"/>
      <c r="CV448" s="346"/>
      <c r="CW448" s="346"/>
      <c r="CX448" s="346"/>
      <c r="CY448" s="346"/>
      <c r="CZ448" s="346"/>
      <c r="DA448" s="346"/>
      <c r="DB448" s="346"/>
      <c r="DC448" s="346"/>
      <c r="DD448" s="346"/>
      <c r="DE448" s="346"/>
      <c r="DF448" s="346"/>
      <c r="DG448" s="346"/>
      <c r="DH448" s="346"/>
      <c r="DI448" s="346"/>
    </row>
    <row r="449" spans="1:113" x14ac:dyDescent="0.25">
      <c r="A449" s="152">
        <v>2</v>
      </c>
      <c r="B449" s="79" t="s">
        <v>746</v>
      </c>
      <c r="C449" s="80">
        <v>12500</v>
      </c>
      <c r="D449" s="142">
        <f>+'[2]SHP,SP'!$D$752</f>
        <v>2628</v>
      </c>
      <c r="E449" s="43">
        <v>3897</v>
      </c>
      <c r="F449" s="60"/>
      <c r="G449" s="139">
        <f t="shared" si="120"/>
        <v>3897</v>
      </c>
      <c r="H449" s="55"/>
      <c r="I449" s="56">
        <f t="shared" si="121"/>
        <v>3897</v>
      </c>
      <c r="J449" s="56">
        <f t="shared" si="122"/>
        <v>48712500</v>
      </c>
      <c r="K449" s="57">
        <f t="shared" si="123"/>
        <v>10241316</v>
      </c>
      <c r="L449"/>
      <c r="M449" s="314">
        <f t="shared" si="119"/>
        <v>725</v>
      </c>
      <c r="N449" s="310">
        <v>24</v>
      </c>
      <c r="O449" s="315">
        <f>100+75+25</f>
        <v>200</v>
      </c>
      <c r="P449" s="315">
        <f>50+50+50+50+50+50+50+50+50+20</f>
        <v>470</v>
      </c>
      <c r="Q449" s="315">
        <v>15</v>
      </c>
      <c r="R449" s="315">
        <v>16</v>
      </c>
      <c r="S449" s="315"/>
      <c r="T449" s="315"/>
      <c r="U449" s="315"/>
      <c r="V449" s="315"/>
      <c r="W449" s="55"/>
      <c r="X449" s="55"/>
      <c r="Y449" s="55"/>
      <c r="Z449" s="55"/>
      <c r="AA449" s="55"/>
      <c r="AB449" s="55"/>
      <c r="AC449" s="55"/>
      <c r="AD449" s="55"/>
      <c r="AE449" s="55"/>
      <c r="AF449" s="55"/>
      <c r="AG449" s="55"/>
      <c r="AH449" s="55"/>
      <c r="AI449" s="55"/>
      <c r="AJ449" s="55"/>
      <c r="AK449" s="55"/>
      <c r="AL449" s="55"/>
      <c r="AM449" s="55"/>
      <c r="AN449" s="55"/>
      <c r="AO449" s="55"/>
      <c r="AP449" s="55"/>
      <c r="AQ449" s="55"/>
      <c r="AR449" s="55"/>
      <c r="AS449" s="55"/>
      <c r="AT449" s="55"/>
      <c r="AU449" s="55"/>
      <c r="AV449" s="55"/>
      <c r="AW449" s="55"/>
      <c r="AX449" s="55"/>
      <c r="AY449" s="55"/>
      <c r="AZ449" s="55"/>
      <c r="BA449" s="55"/>
      <c r="BB449" s="55"/>
      <c r="BC449" s="55"/>
      <c r="BD449" s="55"/>
      <c r="BE449" s="55"/>
      <c r="BF449" s="55"/>
      <c r="BG449" s="55"/>
      <c r="BH449" s="55"/>
      <c r="BI449" s="55"/>
      <c r="BJ449" s="55"/>
      <c r="BK449" s="55"/>
      <c r="BL449" s="55"/>
      <c r="BM449" s="55"/>
      <c r="BN449" s="55"/>
      <c r="BO449" s="55"/>
      <c r="BP449" s="55"/>
      <c r="BQ449" s="55"/>
      <c r="BR449" s="55"/>
      <c r="BS449" s="55"/>
      <c r="BT449" s="55"/>
      <c r="BU449" s="55"/>
      <c r="BV449" s="55"/>
      <c r="BW449" s="55"/>
      <c r="BX449" s="55"/>
      <c r="BY449" s="55"/>
      <c r="BZ449" s="55"/>
      <c r="CA449" s="55"/>
      <c r="CB449" s="55"/>
      <c r="CC449" s="55"/>
      <c r="CD449" s="55"/>
      <c r="CE449" s="55"/>
      <c r="CF449" s="55"/>
      <c r="CG449" s="55"/>
      <c r="CH449" s="55"/>
      <c r="CI449" s="55"/>
      <c r="CJ449" s="55"/>
      <c r="CK449" s="55"/>
      <c r="CL449" s="55"/>
      <c r="CM449" s="55"/>
      <c r="CN449" s="55"/>
      <c r="CO449" s="55"/>
      <c r="CP449" s="55"/>
      <c r="CQ449" s="55"/>
      <c r="CR449" s="55"/>
      <c r="CS449" s="55"/>
      <c r="CT449" s="55"/>
      <c r="CU449" s="55"/>
      <c r="CV449" s="55"/>
      <c r="CW449" s="55"/>
      <c r="CX449" s="55"/>
      <c r="CY449" s="55"/>
      <c r="CZ449" s="55"/>
      <c r="DA449" s="55"/>
      <c r="DB449" s="55"/>
      <c r="DC449" s="55"/>
      <c r="DD449" s="55"/>
      <c r="DE449" s="55"/>
      <c r="DF449" s="55"/>
      <c r="DG449" s="55"/>
      <c r="DH449" s="55"/>
      <c r="DI449" s="55"/>
    </row>
    <row r="450" spans="1:113" x14ac:dyDescent="0.25">
      <c r="A450" s="380"/>
      <c r="B450" s="340"/>
      <c r="C450" s="341"/>
      <c r="D450" s="381"/>
      <c r="E450" s="344"/>
      <c r="F450" s="350"/>
      <c r="G450" s="356"/>
      <c r="H450" s="346"/>
      <c r="I450" s="345"/>
      <c r="J450" s="345"/>
      <c r="K450" s="347"/>
      <c r="L450"/>
      <c r="M450" s="348"/>
      <c r="N450" s="310" t="s">
        <v>1039</v>
      </c>
      <c r="O450" s="349" t="s">
        <v>1002</v>
      </c>
      <c r="P450" s="349" t="s">
        <v>1036</v>
      </c>
      <c r="Q450" s="349" t="s">
        <v>1040</v>
      </c>
      <c r="R450" s="349" t="s">
        <v>1041</v>
      </c>
      <c r="S450" s="346" t="s">
        <v>1038</v>
      </c>
      <c r="T450" s="346" t="s">
        <v>1040</v>
      </c>
      <c r="U450" s="346"/>
      <c r="V450" s="346"/>
      <c r="W450" s="346"/>
      <c r="X450" s="346"/>
      <c r="Y450" s="346"/>
      <c r="Z450" s="346"/>
      <c r="AA450" s="346"/>
      <c r="AB450" s="346"/>
      <c r="AC450" s="346"/>
      <c r="AD450" s="346"/>
      <c r="AE450" s="346"/>
      <c r="AF450" s="346"/>
      <c r="AG450" s="346"/>
      <c r="AH450" s="346"/>
      <c r="AI450" s="346"/>
      <c r="AJ450" s="346"/>
      <c r="AK450" s="346"/>
      <c r="AL450" s="346"/>
      <c r="AM450" s="346"/>
      <c r="AN450" s="346"/>
      <c r="AO450" s="346"/>
      <c r="AP450" s="346"/>
      <c r="AQ450" s="346"/>
      <c r="AR450" s="346"/>
      <c r="AS450" s="346"/>
      <c r="AT450" s="346"/>
      <c r="AU450" s="346"/>
      <c r="AV450" s="346"/>
      <c r="AW450" s="346"/>
      <c r="AX450" s="346"/>
      <c r="AY450" s="346"/>
      <c r="AZ450" s="346"/>
      <c r="BA450" s="346"/>
      <c r="BB450" s="346"/>
      <c r="BC450" s="346"/>
      <c r="BD450" s="346"/>
      <c r="BE450" s="346"/>
      <c r="BF450" s="346"/>
      <c r="BG450" s="346"/>
      <c r="BH450" s="346"/>
      <c r="BI450" s="346"/>
      <c r="BJ450" s="346"/>
      <c r="BK450" s="346"/>
      <c r="BL450" s="346"/>
      <c r="BM450" s="346"/>
      <c r="BN450" s="346"/>
      <c r="BO450" s="346"/>
      <c r="BP450" s="346"/>
      <c r="BQ450" s="346"/>
      <c r="BR450" s="346"/>
      <c r="BS450" s="346"/>
      <c r="BT450" s="346"/>
      <c r="BU450" s="346"/>
      <c r="BV450" s="346"/>
      <c r="BW450" s="346"/>
      <c r="BX450" s="346"/>
      <c r="BY450" s="346"/>
      <c r="BZ450" s="346"/>
      <c r="CA450" s="346"/>
      <c r="CB450" s="346"/>
      <c r="CC450" s="346"/>
      <c r="CD450" s="346"/>
      <c r="CE450" s="346"/>
      <c r="CF450" s="346"/>
      <c r="CG450" s="346"/>
      <c r="CH450" s="346"/>
      <c r="CI450" s="346"/>
      <c r="CJ450" s="346"/>
      <c r="CK450" s="346"/>
      <c r="CL450" s="346"/>
      <c r="CM450" s="346"/>
      <c r="CN450" s="346"/>
      <c r="CO450" s="346"/>
      <c r="CP450" s="346"/>
      <c r="CQ450" s="346"/>
      <c r="CR450" s="346"/>
      <c r="CS450" s="346"/>
      <c r="CT450" s="346"/>
      <c r="CU450" s="346"/>
      <c r="CV450" s="346"/>
      <c r="CW450" s="346"/>
      <c r="CX450" s="346"/>
      <c r="CY450" s="346"/>
      <c r="CZ450" s="346"/>
      <c r="DA450" s="346"/>
      <c r="DB450" s="346"/>
      <c r="DC450" s="346"/>
      <c r="DD450" s="346"/>
      <c r="DE450" s="346"/>
      <c r="DF450" s="346"/>
      <c r="DG450" s="346"/>
      <c r="DH450" s="346"/>
      <c r="DI450" s="346"/>
    </row>
    <row r="451" spans="1:113" x14ac:dyDescent="0.25">
      <c r="A451" s="152">
        <v>3</v>
      </c>
      <c r="B451" s="79" t="s">
        <v>747</v>
      </c>
      <c r="C451" s="80">
        <f>+'[1]KEL C-2'!$GS$4</f>
        <v>7500</v>
      </c>
      <c r="D451" s="142">
        <f>+'[2]SHP,SP'!$D$753</f>
        <v>2103</v>
      </c>
      <c r="E451" s="43">
        <v>624</v>
      </c>
      <c r="F451" s="60"/>
      <c r="G451" s="139">
        <f t="shared" si="120"/>
        <v>624</v>
      </c>
      <c r="H451" s="55"/>
      <c r="I451" s="56">
        <f t="shared" si="121"/>
        <v>624</v>
      </c>
      <c r="J451" s="56">
        <f t="shared" si="122"/>
        <v>4680000</v>
      </c>
      <c r="K451" s="57">
        <f t="shared" si="123"/>
        <v>1312272</v>
      </c>
      <c r="L451"/>
      <c r="M451" s="314">
        <f t="shared" si="119"/>
        <v>359</v>
      </c>
      <c r="N451" s="310">
        <f>50+24</f>
        <v>74</v>
      </c>
      <c r="O451" s="315">
        <v>33</v>
      </c>
      <c r="P451" s="315">
        <v>21</v>
      </c>
      <c r="Q451" s="315">
        <f>100+12</f>
        <v>112</v>
      </c>
      <c r="R451" s="315">
        <v>16</v>
      </c>
      <c r="S451" s="55">
        <v>3</v>
      </c>
      <c r="T451" s="55">
        <v>100</v>
      </c>
      <c r="U451" s="55"/>
      <c r="V451" s="55"/>
      <c r="W451" s="55"/>
      <c r="X451" s="55"/>
      <c r="Y451" s="55"/>
      <c r="Z451" s="55"/>
      <c r="AA451" s="55"/>
      <c r="AB451" s="55"/>
      <c r="AC451" s="55"/>
      <c r="AD451" s="55"/>
      <c r="AE451" s="55"/>
      <c r="AF451" s="55"/>
      <c r="AG451" s="55"/>
      <c r="AH451" s="55"/>
      <c r="AI451" s="55"/>
      <c r="AJ451" s="55"/>
      <c r="AK451" s="55"/>
      <c r="AL451" s="55"/>
      <c r="AM451" s="55"/>
      <c r="AN451" s="55"/>
      <c r="AO451" s="55"/>
      <c r="AP451" s="55"/>
      <c r="AQ451" s="55"/>
      <c r="AR451" s="55"/>
      <c r="AS451" s="55"/>
      <c r="AT451" s="55"/>
      <c r="AU451" s="55"/>
      <c r="AV451" s="55"/>
      <c r="AW451" s="55"/>
      <c r="AX451" s="55"/>
      <c r="AY451" s="55"/>
      <c r="AZ451" s="55"/>
      <c r="BA451" s="55"/>
      <c r="BB451" s="55"/>
      <c r="BC451" s="55"/>
      <c r="BD451" s="55"/>
      <c r="BE451" s="55"/>
      <c r="BF451" s="55"/>
      <c r="BG451" s="55"/>
      <c r="BH451" s="55"/>
      <c r="BI451" s="55"/>
      <c r="BJ451" s="55"/>
      <c r="BK451" s="55"/>
      <c r="BL451" s="55"/>
      <c r="BM451" s="55"/>
      <c r="BN451" s="55"/>
      <c r="BO451" s="55"/>
      <c r="BP451" s="55"/>
      <c r="BQ451" s="55"/>
      <c r="BR451" s="55"/>
      <c r="BS451" s="55"/>
      <c r="BT451" s="55"/>
      <c r="BU451" s="55"/>
      <c r="BV451" s="55"/>
      <c r="BW451" s="55"/>
      <c r="BX451" s="55"/>
      <c r="BY451" s="55"/>
      <c r="BZ451" s="55"/>
      <c r="CA451" s="55"/>
      <c r="CB451" s="55"/>
      <c r="CC451" s="55"/>
      <c r="CD451" s="55"/>
      <c r="CE451" s="55"/>
      <c r="CF451" s="55"/>
      <c r="CG451" s="55"/>
      <c r="CH451" s="55"/>
      <c r="CI451" s="55"/>
      <c r="CJ451" s="55"/>
      <c r="CK451" s="55"/>
      <c r="CL451" s="55"/>
      <c r="CM451" s="55"/>
      <c r="CN451" s="55"/>
      <c r="CO451" s="55"/>
      <c r="CP451" s="55"/>
      <c r="CQ451" s="55"/>
      <c r="CR451" s="55"/>
      <c r="CS451" s="55"/>
      <c r="CT451" s="55"/>
      <c r="CU451" s="55"/>
      <c r="CV451" s="55"/>
      <c r="CW451" s="55"/>
      <c r="CX451" s="55"/>
      <c r="CY451" s="55"/>
      <c r="CZ451" s="55"/>
      <c r="DA451" s="55"/>
      <c r="DB451" s="55"/>
      <c r="DC451" s="55"/>
      <c r="DD451" s="55"/>
      <c r="DE451" s="55"/>
      <c r="DF451" s="55"/>
      <c r="DG451" s="55"/>
      <c r="DH451" s="55"/>
      <c r="DI451" s="55"/>
    </row>
    <row r="452" spans="1:113" x14ac:dyDescent="0.25">
      <c r="A452" s="152">
        <v>4</v>
      </c>
      <c r="B452" s="223" t="s">
        <v>748</v>
      </c>
      <c r="C452" s="80">
        <f>+'[1]KEL C-2'!$GT$4</f>
        <v>12500</v>
      </c>
      <c r="D452" s="142">
        <f>+'[2]SHP,SP'!$D$755</f>
        <v>1850</v>
      </c>
      <c r="E452" s="43">
        <v>0</v>
      </c>
      <c r="F452" s="60"/>
      <c r="G452" s="139">
        <f t="shared" si="120"/>
        <v>0</v>
      </c>
      <c r="H452" s="55"/>
      <c r="I452" s="56">
        <f t="shared" si="121"/>
        <v>0</v>
      </c>
      <c r="J452" s="56">
        <f t="shared" si="122"/>
        <v>0</v>
      </c>
      <c r="K452" s="57">
        <f t="shared" si="123"/>
        <v>0</v>
      </c>
      <c r="L452"/>
      <c r="M452" s="314">
        <f t="shared" si="119"/>
        <v>0</v>
      </c>
      <c r="N452" s="310"/>
      <c r="O452" s="315"/>
      <c r="P452" s="315"/>
      <c r="Q452" s="315"/>
      <c r="R452" s="315"/>
      <c r="S452" s="55"/>
      <c r="T452" s="55"/>
      <c r="U452" s="55"/>
      <c r="V452" s="55"/>
      <c r="W452" s="55"/>
      <c r="X452" s="55"/>
      <c r="Y452" s="55"/>
      <c r="Z452" s="55"/>
      <c r="AA452" s="55"/>
      <c r="AB452" s="55"/>
      <c r="AC452" s="55"/>
      <c r="AD452" s="55"/>
      <c r="AE452" s="55"/>
      <c r="AF452" s="55"/>
      <c r="AG452" s="55"/>
      <c r="AH452" s="55"/>
      <c r="AI452" s="55"/>
      <c r="AJ452" s="55"/>
      <c r="AK452" s="55"/>
      <c r="AL452" s="55"/>
      <c r="AM452" s="55"/>
      <c r="AN452" s="55"/>
      <c r="AO452" s="55"/>
      <c r="AP452" s="55"/>
      <c r="AQ452" s="55"/>
      <c r="AR452" s="55"/>
      <c r="AS452" s="55"/>
      <c r="AT452" s="55"/>
      <c r="AU452" s="55"/>
      <c r="AV452" s="55"/>
      <c r="AW452" s="55"/>
      <c r="AX452" s="55"/>
      <c r="AY452" s="55"/>
      <c r="AZ452" s="55"/>
      <c r="BA452" s="55"/>
      <c r="BB452" s="55"/>
      <c r="BC452" s="55"/>
      <c r="BD452" s="55"/>
      <c r="BE452" s="55"/>
      <c r="BF452" s="55"/>
      <c r="BG452" s="55"/>
      <c r="BH452" s="55"/>
      <c r="BI452" s="55"/>
      <c r="BJ452" s="55"/>
      <c r="BK452" s="55"/>
      <c r="BL452" s="55"/>
      <c r="BM452" s="55"/>
      <c r="BN452" s="55"/>
      <c r="BO452" s="55"/>
      <c r="BP452" s="55"/>
      <c r="BQ452" s="55"/>
      <c r="BR452" s="55"/>
      <c r="BS452" s="55"/>
      <c r="BT452" s="55"/>
      <c r="BU452" s="55"/>
      <c r="BV452" s="55"/>
      <c r="BW452" s="55"/>
      <c r="BX452" s="55"/>
      <c r="BY452" s="55"/>
      <c r="BZ452" s="55"/>
      <c r="CA452" s="55"/>
      <c r="CB452" s="55"/>
      <c r="CC452" s="55"/>
      <c r="CD452" s="55"/>
      <c r="CE452" s="55"/>
      <c r="CF452" s="55"/>
      <c r="CG452" s="55"/>
      <c r="CH452" s="55"/>
      <c r="CI452" s="55"/>
      <c r="CJ452" s="55"/>
      <c r="CK452" s="55"/>
      <c r="CL452" s="55"/>
      <c r="CM452" s="55"/>
      <c r="CN452" s="55"/>
      <c r="CO452" s="55"/>
      <c r="CP452" s="55"/>
      <c r="CQ452" s="55"/>
      <c r="CR452" s="55"/>
      <c r="CS452" s="55"/>
      <c r="CT452" s="55"/>
      <c r="CU452" s="55"/>
      <c r="CV452" s="55"/>
      <c r="CW452" s="55"/>
      <c r="CX452" s="55"/>
      <c r="CY452" s="55"/>
      <c r="CZ452" s="55"/>
      <c r="DA452" s="55"/>
      <c r="DB452" s="55"/>
      <c r="DC452" s="55"/>
      <c r="DD452" s="55"/>
      <c r="DE452" s="55"/>
      <c r="DF452" s="55"/>
      <c r="DG452" s="55"/>
      <c r="DH452" s="55"/>
      <c r="DI452" s="55"/>
    </row>
    <row r="453" spans="1:113" x14ac:dyDescent="0.25">
      <c r="A453" s="380"/>
      <c r="B453" s="382"/>
      <c r="C453" s="341"/>
      <c r="D453" s="381"/>
      <c r="E453" s="344"/>
      <c r="F453" s="350"/>
      <c r="G453" s="356"/>
      <c r="H453" s="346"/>
      <c r="I453" s="345"/>
      <c r="J453" s="345"/>
      <c r="K453" s="347"/>
      <c r="L453"/>
      <c r="M453" s="348"/>
      <c r="N453" s="310" t="s">
        <v>1043</v>
      </c>
      <c r="O453" s="349"/>
      <c r="P453" s="349"/>
      <c r="Q453" s="349"/>
      <c r="R453" s="349"/>
      <c r="S453" s="346"/>
      <c r="T453" s="346"/>
      <c r="U453" s="346"/>
      <c r="V453" s="346"/>
      <c r="W453" s="346"/>
      <c r="X453" s="346"/>
      <c r="Y453" s="346"/>
      <c r="Z453" s="346"/>
      <c r="AA453" s="346"/>
      <c r="AB453" s="346"/>
      <c r="AC453" s="346"/>
      <c r="AD453" s="346"/>
      <c r="AE453" s="346"/>
      <c r="AF453" s="346"/>
      <c r="AG453" s="346"/>
      <c r="AH453" s="346"/>
      <c r="AI453" s="346"/>
      <c r="AJ453" s="346"/>
      <c r="AK453" s="346"/>
      <c r="AL453" s="346"/>
      <c r="AM453" s="346"/>
      <c r="AN453" s="346"/>
      <c r="AO453" s="346"/>
      <c r="AP453" s="346"/>
      <c r="AQ453" s="346"/>
      <c r="AR453" s="346"/>
      <c r="AS453" s="346"/>
      <c r="AT453" s="346"/>
      <c r="AU453" s="346"/>
      <c r="AV453" s="346"/>
      <c r="AW453" s="346"/>
      <c r="AX453" s="346"/>
      <c r="AY453" s="346"/>
      <c r="AZ453" s="346"/>
      <c r="BA453" s="346"/>
      <c r="BB453" s="346"/>
      <c r="BC453" s="346"/>
      <c r="BD453" s="346"/>
      <c r="BE453" s="346"/>
      <c r="BF453" s="346"/>
      <c r="BG453" s="346"/>
      <c r="BH453" s="346"/>
      <c r="BI453" s="346"/>
      <c r="BJ453" s="346"/>
      <c r="BK453" s="346"/>
      <c r="BL453" s="346"/>
      <c r="BM453" s="346"/>
      <c r="BN453" s="346"/>
      <c r="BO453" s="346"/>
      <c r="BP453" s="346"/>
      <c r="BQ453" s="346"/>
      <c r="BR453" s="346"/>
      <c r="BS453" s="346"/>
      <c r="BT453" s="346"/>
      <c r="BU453" s="346"/>
      <c r="BV453" s="346"/>
      <c r="BW453" s="346"/>
      <c r="BX453" s="346"/>
      <c r="BY453" s="346"/>
      <c r="BZ453" s="346"/>
      <c r="CA453" s="346"/>
      <c r="CB453" s="346"/>
      <c r="CC453" s="346"/>
      <c r="CD453" s="346"/>
      <c r="CE453" s="346"/>
      <c r="CF453" s="346"/>
      <c r="CG453" s="346"/>
      <c r="CH453" s="346"/>
      <c r="CI453" s="346"/>
      <c r="CJ453" s="346"/>
      <c r="CK453" s="346"/>
      <c r="CL453" s="346"/>
      <c r="CM453" s="346"/>
      <c r="CN453" s="346"/>
      <c r="CO453" s="346"/>
      <c r="CP453" s="346"/>
      <c r="CQ453" s="346"/>
      <c r="CR453" s="346"/>
      <c r="CS453" s="346"/>
      <c r="CT453" s="346"/>
      <c r="CU453" s="346"/>
      <c r="CV453" s="346"/>
      <c r="CW453" s="346"/>
      <c r="CX453" s="346"/>
      <c r="CY453" s="346"/>
      <c r="CZ453" s="346"/>
      <c r="DA453" s="346"/>
      <c r="DB453" s="346"/>
      <c r="DC453" s="346"/>
      <c r="DD453" s="346"/>
      <c r="DE453" s="346"/>
      <c r="DF453" s="346"/>
      <c r="DG453" s="346"/>
      <c r="DH453" s="346"/>
      <c r="DI453" s="346"/>
    </row>
    <row r="454" spans="1:113" x14ac:dyDescent="0.25">
      <c r="A454" s="152">
        <v>5</v>
      </c>
      <c r="B454" s="79" t="s">
        <v>749</v>
      </c>
      <c r="C454" s="80">
        <f>+'[1]KEL C-2'!$GU$4</f>
        <v>5000</v>
      </c>
      <c r="D454" s="142">
        <f>+'[2]SHP,SP'!$D$756</f>
        <v>1850</v>
      </c>
      <c r="E454" s="43">
        <v>0</v>
      </c>
      <c r="F454" s="60"/>
      <c r="G454" s="139">
        <f t="shared" si="120"/>
        <v>0</v>
      </c>
      <c r="H454" s="55"/>
      <c r="I454" s="56">
        <f t="shared" si="121"/>
        <v>0</v>
      </c>
      <c r="J454" s="56">
        <f t="shared" si="122"/>
        <v>0</v>
      </c>
      <c r="K454" s="57">
        <f t="shared" si="123"/>
        <v>0</v>
      </c>
      <c r="L454"/>
      <c r="M454" s="314">
        <f t="shared" si="119"/>
        <v>80</v>
      </c>
      <c r="N454" s="310">
        <v>80</v>
      </c>
      <c r="O454" s="315"/>
      <c r="P454" s="315"/>
      <c r="Q454" s="315"/>
      <c r="R454" s="315"/>
      <c r="S454" s="55"/>
      <c r="T454" s="55"/>
      <c r="U454" s="55"/>
      <c r="V454" s="55"/>
      <c r="W454" s="55"/>
      <c r="X454" s="55"/>
      <c r="Y454" s="55"/>
      <c r="Z454" s="55"/>
      <c r="AA454" s="55"/>
      <c r="AB454" s="55"/>
      <c r="AC454" s="55"/>
      <c r="AD454" s="55"/>
      <c r="AE454" s="55"/>
      <c r="AF454" s="55"/>
      <c r="AG454" s="55"/>
      <c r="AH454" s="55"/>
      <c r="AI454" s="55"/>
      <c r="AJ454" s="55"/>
      <c r="AK454" s="55"/>
      <c r="AL454" s="55"/>
      <c r="AM454" s="55"/>
      <c r="AN454" s="55"/>
      <c r="AO454" s="55"/>
      <c r="AP454" s="55"/>
      <c r="AQ454" s="55"/>
      <c r="AR454" s="55"/>
      <c r="AS454" s="55"/>
      <c r="AT454" s="55"/>
      <c r="AU454" s="55"/>
      <c r="AV454" s="55"/>
      <c r="AW454" s="55"/>
      <c r="AX454" s="55"/>
      <c r="AY454" s="55"/>
      <c r="AZ454" s="55"/>
      <c r="BA454" s="55"/>
      <c r="BB454" s="55"/>
      <c r="BC454" s="55"/>
      <c r="BD454" s="55"/>
      <c r="BE454" s="55"/>
      <c r="BF454" s="55"/>
      <c r="BG454" s="55"/>
      <c r="BH454" s="55"/>
      <c r="BI454" s="55"/>
      <c r="BJ454" s="55"/>
      <c r="BK454" s="55"/>
      <c r="BL454" s="55"/>
      <c r="BM454" s="55"/>
      <c r="BN454" s="55"/>
      <c r="BO454" s="55"/>
      <c r="BP454" s="55"/>
      <c r="BQ454" s="55"/>
      <c r="BR454" s="55"/>
      <c r="BS454" s="55"/>
      <c r="BT454" s="55"/>
      <c r="BU454" s="55"/>
      <c r="BV454" s="55"/>
      <c r="BW454" s="55"/>
      <c r="BX454" s="55"/>
      <c r="BY454" s="55"/>
      <c r="BZ454" s="55"/>
      <c r="CA454" s="55"/>
      <c r="CB454" s="55"/>
      <c r="CC454" s="55"/>
      <c r="CD454" s="55"/>
      <c r="CE454" s="55"/>
      <c r="CF454" s="55"/>
      <c r="CG454" s="55"/>
      <c r="CH454" s="55"/>
      <c r="CI454" s="55"/>
      <c r="CJ454" s="55"/>
      <c r="CK454" s="55"/>
      <c r="CL454" s="55"/>
      <c r="CM454" s="55"/>
      <c r="CN454" s="55"/>
      <c r="CO454" s="55"/>
      <c r="CP454" s="55"/>
      <c r="CQ454" s="55"/>
      <c r="CR454" s="55"/>
      <c r="CS454" s="55"/>
      <c r="CT454" s="55"/>
      <c r="CU454" s="55"/>
      <c r="CV454" s="55"/>
      <c r="CW454" s="55"/>
      <c r="CX454" s="55"/>
      <c r="CY454" s="55"/>
      <c r="CZ454" s="55"/>
      <c r="DA454" s="55"/>
      <c r="DB454" s="55"/>
      <c r="DC454" s="55"/>
      <c r="DD454" s="55"/>
      <c r="DE454" s="55"/>
      <c r="DF454" s="55"/>
      <c r="DG454" s="55"/>
      <c r="DH454" s="55"/>
      <c r="DI454" s="55"/>
    </row>
    <row r="455" spans="1:113" x14ac:dyDescent="0.25">
      <c r="A455" s="380"/>
      <c r="B455" s="340"/>
      <c r="C455" s="341"/>
      <c r="D455" s="381"/>
      <c r="E455" s="344"/>
      <c r="F455" s="350"/>
      <c r="G455" s="356"/>
      <c r="H455" s="346"/>
      <c r="I455" s="345"/>
      <c r="J455" s="345"/>
      <c r="K455" s="347"/>
      <c r="L455"/>
      <c r="M455" s="348"/>
      <c r="N455" s="310" t="s">
        <v>1043</v>
      </c>
      <c r="O455" s="349" t="s">
        <v>1002</v>
      </c>
      <c r="P455" s="349" t="s">
        <v>1002</v>
      </c>
      <c r="Q455" s="349" t="s">
        <v>1040</v>
      </c>
      <c r="R455" s="349" t="s">
        <v>1040</v>
      </c>
      <c r="S455" s="346" t="s">
        <v>1040</v>
      </c>
      <c r="T455" s="346" t="s">
        <v>1038</v>
      </c>
      <c r="U455" s="346" t="s">
        <v>1036</v>
      </c>
      <c r="V455" s="346" t="s">
        <v>1045</v>
      </c>
      <c r="W455" s="346"/>
      <c r="X455" s="346"/>
      <c r="Y455" s="346"/>
      <c r="Z455" s="346"/>
      <c r="AA455" s="346"/>
      <c r="AB455" s="346"/>
      <c r="AC455" s="346"/>
      <c r="AD455" s="346"/>
      <c r="AE455" s="346"/>
      <c r="AF455" s="346"/>
      <c r="AG455" s="346"/>
      <c r="AH455" s="346"/>
      <c r="AI455" s="346"/>
      <c r="AJ455" s="346"/>
      <c r="AK455" s="346"/>
      <c r="AL455" s="346"/>
      <c r="AM455" s="346"/>
      <c r="AN455" s="346"/>
      <c r="AO455" s="346"/>
      <c r="AP455" s="346"/>
      <c r="AQ455" s="346"/>
      <c r="AR455" s="346"/>
      <c r="AS455" s="346"/>
      <c r="AT455" s="346"/>
      <c r="AU455" s="346"/>
      <c r="AV455" s="346"/>
      <c r="AW455" s="346"/>
      <c r="AX455" s="346"/>
      <c r="AY455" s="346"/>
      <c r="AZ455" s="346"/>
      <c r="BA455" s="346"/>
      <c r="BB455" s="346"/>
      <c r="BC455" s="346"/>
      <c r="BD455" s="346"/>
      <c r="BE455" s="346"/>
      <c r="BF455" s="346"/>
      <c r="BG455" s="346"/>
      <c r="BH455" s="346"/>
      <c r="BI455" s="346"/>
      <c r="BJ455" s="346"/>
      <c r="BK455" s="346"/>
      <c r="BL455" s="346"/>
      <c r="BM455" s="346"/>
      <c r="BN455" s="346"/>
      <c r="BO455" s="346"/>
      <c r="BP455" s="346"/>
      <c r="BQ455" s="346"/>
      <c r="BR455" s="346"/>
      <c r="BS455" s="346"/>
      <c r="BT455" s="346"/>
      <c r="BU455" s="346"/>
      <c r="BV455" s="346"/>
      <c r="BW455" s="346"/>
      <c r="BX455" s="346"/>
      <c r="BY455" s="346"/>
      <c r="BZ455" s="346"/>
      <c r="CA455" s="346"/>
      <c r="CB455" s="346"/>
      <c r="CC455" s="346"/>
      <c r="CD455" s="346"/>
      <c r="CE455" s="346"/>
      <c r="CF455" s="346"/>
      <c r="CG455" s="346"/>
      <c r="CH455" s="346"/>
      <c r="CI455" s="346"/>
      <c r="CJ455" s="346"/>
      <c r="CK455" s="346"/>
      <c r="CL455" s="346"/>
      <c r="CM455" s="346"/>
      <c r="CN455" s="346"/>
      <c r="CO455" s="346"/>
      <c r="CP455" s="346"/>
      <c r="CQ455" s="346"/>
      <c r="CR455" s="346"/>
      <c r="CS455" s="346"/>
      <c r="CT455" s="346"/>
      <c r="CU455" s="346"/>
      <c r="CV455" s="346"/>
      <c r="CW455" s="346"/>
      <c r="CX455" s="346"/>
      <c r="CY455" s="346"/>
      <c r="CZ455" s="346"/>
      <c r="DA455" s="346"/>
      <c r="DB455" s="346"/>
      <c r="DC455" s="346"/>
      <c r="DD455" s="346"/>
      <c r="DE455" s="346"/>
      <c r="DF455" s="346"/>
      <c r="DG455" s="346"/>
      <c r="DH455" s="346"/>
      <c r="DI455" s="346"/>
    </row>
    <row r="456" spans="1:113" x14ac:dyDescent="0.25">
      <c r="A456" s="152">
        <v>6</v>
      </c>
      <c r="B456" s="79" t="s">
        <v>750</v>
      </c>
      <c r="C456" s="80">
        <f>+'[3]KEL C-2'!$GV$4</f>
        <v>37500</v>
      </c>
      <c r="D456" s="142">
        <f>+'[2]SHP,SP'!$D$754</f>
        <v>5291</v>
      </c>
      <c r="E456" s="43">
        <v>200</v>
      </c>
      <c r="F456" s="60"/>
      <c r="G456" s="139">
        <f t="shared" si="120"/>
        <v>200</v>
      </c>
      <c r="H456" s="55"/>
      <c r="I456" s="56">
        <f t="shared" si="121"/>
        <v>200</v>
      </c>
      <c r="J456" s="56">
        <f t="shared" si="122"/>
        <v>7500000</v>
      </c>
      <c r="K456" s="57">
        <f t="shared" si="123"/>
        <v>1058200</v>
      </c>
      <c r="L456"/>
      <c r="M456" s="314">
        <f t="shared" si="119"/>
        <v>571</v>
      </c>
      <c r="N456" s="310">
        <f>30*3</f>
        <v>90</v>
      </c>
      <c r="O456" s="315">
        <f>50*3</f>
        <v>150</v>
      </c>
      <c r="P456" s="315">
        <v>21</v>
      </c>
      <c r="Q456" s="315">
        <f>50+50+34+29</f>
        <v>163</v>
      </c>
      <c r="R456" s="315">
        <v>50</v>
      </c>
      <c r="S456" s="55">
        <v>40</v>
      </c>
      <c r="T456" s="55">
        <v>15</v>
      </c>
      <c r="U456" s="55">
        <v>22</v>
      </c>
      <c r="V456" s="55">
        <v>20</v>
      </c>
      <c r="W456" s="55"/>
      <c r="X456" s="55"/>
      <c r="Y456" s="55"/>
      <c r="Z456" s="55"/>
      <c r="AA456" s="55"/>
      <c r="AB456" s="55"/>
      <c r="AC456" s="55"/>
      <c r="AD456" s="55"/>
      <c r="AE456" s="55"/>
      <c r="AF456" s="55"/>
      <c r="AG456" s="55"/>
      <c r="AH456" s="55"/>
      <c r="AI456" s="55"/>
      <c r="AJ456" s="55"/>
      <c r="AK456" s="55"/>
      <c r="AL456" s="55"/>
      <c r="AM456" s="55"/>
      <c r="AN456" s="55"/>
      <c r="AO456" s="55"/>
      <c r="AP456" s="55"/>
      <c r="AQ456" s="55"/>
      <c r="AR456" s="55"/>
      <c r="AS456" s="55"/>
      <c r="AT456" s="55"/>
      <c r="AU456" s="55"/>
      <c r="AV456" s="55"/>
      <c r="AW456" s="55"/>
      <c r="AX456" s="55"/>
      <c r="AY456" s="55"/>
      <c r="AZ456" s="55"/>
      <c r="BA456" s="55"/>
      <c r="BB456" s="55"/>
      <c r="BC456" s="55"/>
      <c r="BD456" s="55"/>
      <c r="BE456" s="55"/>
      <c r="BF456" s="55"/>
      <c r="BG456" s="55"/>
      <c r="BH456" s="55"/>
      <c r="BI456" s="55"/>
      <c r="BJ456" s="55"/>
      <c r="BK456" s="55"/>
      <c r="BL456" s="55"/>
      <c r="BM456" s="55"/>
      <c r="BN456" s="55"/>
      <c r="BO456" s="55"/>
      <c r="BP456" s="55"/>
      <c r="BQ456" s="55"/>
      <c r="BR456" s="55"/>
      <c r="BS456" s="55"/>
      <c r="BT456" s="55"/>
      <c r="BU456" s="55"/>
      <c r="BV456" s="55"/>
      <c r="BW456" s="55"/>
      <c r="BX456" s="55"/>
      <c r="BY456" s="55"/>
      <c r="BZ456" s="55"/>
      <c r="CA456" s="55"/>
      <c r="CB456" s="55"/>
      <c r="CC456" s="55"/>
      <c r="CD456" s="55"/>
      <c r="CE456" s="55"/>
      <c r="CF456" s="55"/>
      <c r="CG456" s="55"/>
      <c r="CH456" s="55"/>
      <c r="CI456" s="55"/>
      <c r="CJ456" s="55"/>
      <c r="CK456" s="55"/>
      <c r="CL456" s="55"/>
      <c r="CM456" s="55"/>
      <c r="CN456" s="55"/>
      <c r="CO456" s="55"/>
      <c r="CP456" s="55"/>
      <c r="CQ456" s="55"/>
      <c r="CR456" s="55"/>
      <c r="CS456" s="55"/>
      <c r="CT456" s="55"/>
      <c r="CU456" s="55"/>
      <c r="CV456" s="55"/>
      <c r="CW456" s="55"/>
      <c r="CX456" s="55"/>
      <c r="CY456" s="55"/>
      <c r="CZ456" s="55"/>
      <c r="DA456" s="55"/>
      <c r="DB456" s="55"/>
      <c r="DC456" s="55"/>
      <c r="DD456" s="55"/>
      <c r="DE456" s="55"/>
      <c r="DF456" s="55"/>
      <c r="DG456" s="55"/>
      <c r="DH456" s="55"/>
      <c r="DI456" s="55"/>
    </row>
    <row r="457" spans="1:113" x14ac:dyDescent="0.25">
      <c r="A457" s="380"/>
      <c r="B457" s="340"/>
      <c r="C457" s="341"/>
      <c r="D457" s="381"/>
      <c r="E457" s="344"/>
      <c r="F457" s="350"/>
      <c r="G457" s="356"/>
      <c r="H457" s="346"/>
      <c r="I457" s="345"/>
      <c r="J457" s="345"/>
      <c r="K457" s="347"/>
      <c r="L457"/>
      <c r="M457" s="348"/>
      <c r="N457" s="310" t="s">
        <v>1040</v>
      </c>
      <c r="O457" s="349" t="s">
        <v>1043</v>
      </c>
      <c r="P457" s="349" t="s">
        <v>1043</v>
      </c>
      <c r="Q457" s="349" t="s">
        <v>1002</v>
      </c>
      <c r="R457" s="349" t="s">
        <v>1002</v>
      </c>
      <c r="S457" s="346" t="s">
        <v>1043</v>
      </c>
      <c r="T457" s="346" t="s">
        <v>1045</v>
      </c>
      <c r="U457" s="346" t="s">
        <v>1036</v>
      </c>
      <c r="V457" s="346" t="s">
        <v>1038</v>
      </c>
      <c r="W457" s="346"/>
      <c r="X457" s="346"/>
      <c r="Y457" s="346"/>
      <c r="Z457" s="346"/>
      <c r="AA457" s="346"/>
      <c r="AB457" s="346"/>
      <c r="AC457" s="346"/>
      <c r="AD457" s="346"/>
      <c r="AE457" s="346"/>
      <c r="AF457" s="346"/>
      <c r="AG457" s="346"/>
      <c r="AH457" s="346"/>
      <c r="AI457" s="346"/>
      <c r="AJ457" s="346"/>
      <c r="AK457" s="346"/>
      <c r="AL457" s="346"/>
      <c r="AM457" s="346"/>
      <c r="AN457" s="346"/>
      <c r="AO457" s="346"/>
      <c r="AP457" s="346"/>
      <c r="AQ457" s="346"/>
      <c r="AR457" s="346"/>
      <c r="AS457" s="346"/>
      <c r="AT457" s="346"/>
      <c r="AU457" s="346"/>
      <c r="AV457" s="346"/>
      <c r="AW457" s="346"/>
      <c r="AX457" s="346"/>
      <c r="AY457" s="346"/>
      <c r="AZ457" s="346"/>
      <c r="BA457" s="346"/>
      <c r="BB457" s="346"/>
      <c r="BC457" s="346"/>
      <c r="BD457" s="346"/>
      <c r="BE457" s="346"/>
      <c r="BF457" s="346"/>
      <c r="BG457" s="346"/>
      <c r="BH457" s="346"/>
      <c r="BI457" s="346"/>
      <c r="BJ457" s="346"/>
      <c r="BK457" s="346"/>
      <c r="BL457" s="346"/>
      <c r="BM457" s="346"/>
      <c r="BN457" s="346"/>
      <c r="BO457" s="346"/>
      <c r="BP457" s="346"/>
      <c r="BQ457" s="346"/>
      <c r="BR457" s="346"/>
      <c r="BS457" s="346"/>
      <c r="BT457" s="346"/>
      <c r="BU457" s="346"/>
      <c r="BV457" s="346"/>
      <c r="BW457" s="346"/>
      <c r="BX457" s="346"/>
      <c r="BY457" s="346"/>
      <c r="BZ457" s="346"/>
      <c r="CA457" s="346"/>
      <c r="CB457" s="346"/>
      <c r="CC457" s="346"/>
      <c r="CD457" s="346"/>
      <c r="CE457" s="346"/>
      <c r="CF457" s="346"/>
      <c r="CG457" s="346"/>
      <c r="CH457" s="346"/>
      <c r="CI457" s="346"/>
      <c r="CJ457" s="346"/>
      <c r="CK457" s="346"/>
      <c r="CL457" s="346"/>
      <c r="CM457" s="346"/>
      <c r="CN457" s="346"/>
      <c r="CO457" s="346"/>
      <c r="CP457" s="346"/>
      <c r="CQ457" s="346"/>
      <c r="CR457" s="346"/>
      <c r="CS457" s="346"/>
      <c r="CT457" s="346"/>
      <c r="CU457" s="346"/>
      <c r="CV457" s="346"/>
      <c r="CW457" s="346"/>
      <c r="CX457" s="346"/>
      <c r="CY457" s="346"/>
      <c r="CZ457" s="346"/>
      <c r="DA457" s="346"/>
      <c r="DB457" s="346"/>
      <c r="DC457" s="346"/>
      <c r="DD457" s="346"/>
      <c r="DE457" s="346"/>
      <c r="DF457" s="346"/>
      <c r="DG457" s="346"/>
      <c r="DH457" s="346"/>
      <c r="DI457" s="346"/>
    </row>
    <row r="458" spans="1:113" x14ac:dyDescent="0.25">
      <c r="A458" s="152">
        <v>7</v>
      </c>
      <c r="B458" s="79" t="s">
        <v>751</v>
      </c>
      <c r="C458" s="80">
        <f>+'[9]KEL C-2'!$GW$4</f>
        <v>18500</v>
      </c>
      <c r="D458" s="142">
        <v>2323.2399999999998</v>
      </c>
      <c r="E458" s="43">
        <v>125</v>
      </c>
      <c r="F458" s="60"/>
      <c r="G458" s="139">
        <f t="shared" si="120"/>
        <v>125</v>
      </c>
      <c r="H458" s="55"/>
      <c r="I458" s="56">
        <f t="shared" si="121"/>
        <v>125</v>
      </c>
      <c r="J458" s="56">
        <f t="shared" si="122"/>
        <v>2312500</v>
      </c>
      <c r="K458" s="57">
        <f t="shared" si="123"/>
        <v>290405</v>
      </c>
      <c r="L458"/>
      <c r="M458" s="314">
        <f t="shared" si="119"/>
        <v>650</v>
      </c>
      <c r="N458" s="310">
        <f>100+80+55</f>
        <v>235</v>
      </c>
      <c r="O458" s="315">
        <v>56</v>
      </c>
      <c r="P458" s="315">
        <v>100</v>
      </c>
      <c r="Q458" s="315">
        <v>24</v>
      </c>
      <c r="R458" s="315">
        <v>100</v>
      </c>
      <c r="S458" s="55">
        <v>100</v>
      </c>
      <c r="T458" s="55">
        <v>6</v>
      </c>
      <c r="U458" s="55">
        <v>15</v>
      </c>
      <c r="V458" s="55">
        <v>14</v>
      </c>
      <c r="W458" s="55"/>
      <c r="X458" s="55"/>
      <c r="Y458" s="55"/>
      <c r="Z458" s="55"/>
      <c r="AA458" s="55"/>
      <c r="AB458" s="55"/>
      <c r="AC458" s="55"/>
      <c r="AD458" s="55"/>
      <c r="AE458" s="55"/>
      <c r="AF458" s="55"/>
      <c r="AG458" s="55"/>
      <c r="AH458" s="55"/>
      <c r="AI458" s="55"/>
      <c r="AJ458" s="55"/>
      <c r="AK458" s="55"/>
      <c r="AL458" s="55"/>
      <c r="AM458" s="55"/>
      <c r="AN458" s="55"/>
      <c r="AO458" s="55"/>
      <c r="AP458" s="55"/>
      <c r="AQ458" s="55"/>
      <c r="AR458" s="55"/>
      <c r="AS458" s="55"/>
      <c r="AT458" s="55"/>
      <c r="AU458" s="55"/>
      <c r="AV458" s="55"/>
      <c r="AW458" s="55"/>
      <c r="AX458" s="55"/>
      <c r="AY458" s="55"/>
      <c r="AZ458" s="55"/>
      <c r="BA458" s="55"/>
      <c r="BB458" s="55"/>
      <c r="BC458" s="55"/>
      <c r="BD458" s="55"/>
      <c r="BE458" s="55"/>
      <c r="BF458" s="55"/>
      <c r="BG458" s="55"/>
      <c r="BH458" s="55"/>
      <c r="BI458" s="55"/>
      <c r="BJ458" s="55"/>
      <c r="BK458" s="55"/>
      <c r="BL458" s="55"/>
      <c r="BM458" s="55"/>
      <c r="BN458" s="55"/>
      <c r="BO458" s="55"/>
      <c r="BP458" s="55"/>
      <c r="BQ458" s="55"/>
      <c r="BR458" s="55"/>
      <c r="BS458" s="55"/>
      <c r="BT458" s="55"/>
      <c r="BU458" s="55"/>
      <c r="BV458" s="55"/>
      <c r="BW458" s="55"/>
      <c r="BX458" s="55"/>
      <c r="BY458" s="55"/>
      <c r="BZ458" s="55"/>
      <c r="CA458" s="55"/>
      <c r="CB458" s="55"/>
      <c r="CC458" s="55"/>
      <c r="CD458" s="55"/>
      <c r="CE458" s="55"/>
      <c r="CF458" s="55"/>
      <c r="CG458" s="55"/>
      <c r="CH458" s="55"/>
      <c r="CI458" s="55"/>
      <c r="CJ458" s="55"/>
      <c r="CK458" s="55"/>
      <c r="CL458" s="55"/>
      <c r="CM458" s="55"/>
      <c r="CN458" s="55"/>
      <c r="CO458" s="55"/>
      <c r="CP458" s="55"/>
      <c r="CQ458" s="55"/>
      <c r="CR458" s="55"/>
      <c r="CS458" s="55"/>
      <c r="CT458" s="55"/>
      <c r="CU458" s="55"/>
      <c r="CV458" s="55"/>
      <c r="CW458" s="55"/>
      <c r="CX458" s="55"/>
      <c r="CY458" s="55"/>
      <c r="CZ458" s="55"/>
      <c r="DA458" s="55"/>
      <c r="DB458" s="55"/>
      <c r="DC458" s="55"/>
      <c r="DD458" s="55"/>
      <c r="DE458" s="55"/>
      <c r="DF458" s="55"/>
      <c r="DG458" s="55"/>
      <c r="DH458" s="55"/>
      <c r="DI458" s="55"/>
    </row>
    <row r="459" spans="1:113" x14ac:dyDescent="0.25">
      <c r="A459" s="380"/>
      <c r="B459" s="340"/>
      <c r="C459" s="341"/>
      <c r="D459" s="381"/>
      <c r="E459" s="344"/>
      <c r="F459" s="350"/>
      <c r="G459" s="356"/>
      <c r="H459" s="346"/>
      <c r="I459" s="345"/>
      <c r="J459" s="345"/>
      <c r="K459" s="347"/>
      <c r="L459"/>
      <c r="M459" s="348"/>
      <c r="N459" s="310" t="s">
        <v>1002</v>
      </c>
      <c r="O459" s="349" t="s">
        <v>1042</v>
      </c>
      <c r="P459" s="349" t="s">
        <v>1036</v>
      </c>
      <c r="Q459" s="349" t="s">
        <v>1042</v>
      </c>
      <c r="R459" s="349" t="s">
        <v>1042</v>
      </c>
      <c r="S459" s="349" t="s">
        <v>1042</v>
      </c>
      <c r="T459" s="346" t="s">
        <v>1002</v>
      </c>
      <c r="U459" s="346" t="s">
        <v>1044</v>
      </c>
      <c r="V459" s="346" t="s">
        <v>1038</v>
      </c>
      <c r="W459" s="346"/>
      <c r="X459" s="346"/>
      <c r="Y459" s="346"/>
      <c r="Z459" s="346"/>
      <c r="AA459" s="346"/>
      <c r="AB459" s="346"/>
      <c r="AC459" s="346"/>
      <c r="AD459" s="346"/>
      <c r="AE459" s="346"/>
      <c r="AF459" s="346"/>
      <c r="AG459" s="346"/>
      <c r="AH459" s="346"/>
      <c r="AI459" s="346"/>
      <c r="AJ459" s="346"/>
      <c r="AK459" s="346"/>
      <c r="AL459" s="346"/>
      <c r="AM459" s="346"/>
      <c r="AN459" s="346"/>
      <c r="AO459" s="346"/>
      <c r="AP459" s="346"/>
      <c r="AQ459" s="346"/>
      <c r="AR459" s="346"/>
      <c r="AS459" s="346"/>
      <c r="AT459" s="346"/>
      <c r="AU459" s="346"/>
      <c r="AV459" s="346"/>
      <c r="AW459" s="346"/>
      <c r="AX459" s="346"/>
      <c r="AY459" s="346"/>
      <c r="AZ459" s="346"/>
      <c r="BA459" s="346"/>
      <c r="BB459" s="346"/>
      <c r="BC459" s="346"/>
      <c r="BD459" s="346"/>
      <c r="BE459" s="346"/>
      <c r="BF459" s="346"/>
      <c r="BG459" s="346"/>
      <c r="BH459" s="346"/>
      <c r="BI459" s="346"/>
      <c r="BJ459" s="346"/>
      <c r="BK459" s="346"/>
      <c r="BL459" s="346"/>
      <c r="BM459" s="346"/>
      <c r="BN459" s="346"/>
      <c r="BO459" s="346"/>
      <c r="BP459" s="346"/>
      <c r="BQ459" s="346"/>
      <c r="BR459" s="346"/>
      <c r="BS459" s="346"/>
      <c r="BT459" s="346"/>
      <c r="BU459" s="346"/>
      <c r="BV459" s="346"/>
      <c r="BW459" s="346"/>
      <c r="BX459" s="346"/>
      <c r="BY459" s="346"/>
      <c r="BZ459" s="346"/>
      <c r="CA459" s="346"/>
      <c r="CB459" s="346"/>
      <c r="CC459" s="346"/>
      <c r="CD459" s="346"/>
      <c r="CE459" s="346"/>
      <c r="CF459" s="346"/>
      <c r="CG459" s="346"/>
      <c r="CH459" s="346"/>
      <c r="CI459" s="346"/>
      <c r="CJ459" s="346"/>
      <c r="CK459" s="346"/>
      <c r="CL459" s="346"/>
      <c r="CM459" s="346"/>
      <c r="CN459" s="346"/>
      <c r="CO459" s="346"/>
      <c r="CP459" s="346"/>
      <c r="CQ459" s="346"/>
      <c r="CR459" s="346"/>
      <c r="CS459" s="346"/>
      <c r="CT459" s="346"/>
      <c r="CU459" s="346"/>
      <c r="CV459" s="346"/>
      <c r="CW459" s="346"/>
      <c r="CX459" s="346"/>
      <c r="CY459" s="346"/>
      <c r="CZ459" s="346"/>
      <c r="DA459" s="346"/>
      <c r="DB459" s="346"/>
      <c r="DC459" s="346"/>
      <c r="DD459" s="346"/>
      <c r="DE459" s="346"/>
      <c r="DF459" s="346"/>
      <c r="DG459" s="346"/>
      <c r="DH459" s="346"/>
      <c r="DI459" s="346"/>
    </row>
    <row r="460" spans="1:113" x14ac:dyDescent="0.25">
      <c r="A460" s="152">
        <v>8</v>
      </c>
      <c r="B460" s="79" t="s">
        <v>752</v>
      </c>
      <c r="C460" s="80">
        <f>+'[5]KEL C-2'!$GX$4</f>
        <v>7500</v>
      </c>
      <c r="D460" s="142">
        <v>2103</v>
      </c>
      <c r="E460" s="43">
        <v>100</v>
      </c>
      <c r="F460" s="60"/>
      <c r="G460" s="139">
        <f t="shared" si="120"/>
        <v>100</v>
      </c>
      <c r="H460" s="55"/>
      <c r="I460" s="56">
        <f t="shared" si="121"/>
        <v>100</v>
      </c>
      <c r="J460" s="56">
        <f t="shared" si="122"/>
        <v>750000</v>
      </c>
      <c r="K460" s="57">
        <f t="shared" si="123"/>
        <v>210300</v>
      </c>
      <c r="L460"/>
      <c r="M460" s="314">
        <f t="shared" si="119"/>
        <v>484</v>
      </c>
      <c r="N460" s="310">
        <v>100</v>
      </c>
      <c r="O460" s="315">
        <v>50</v>
      </c>
      <c r="P460" s="315">
        <v>21</v>
      </c>
      <c r="Q460" s="315">
        <f>50+30</f>
        <v>80</v>
      </c>
      <c r="R460" s="315">
        <v>50</v>
      </c>
      <c r="S460" s="315">
        <v>50</v>
      </c>
      <c r="T460" s="55">
        <v>74</v>
      </c>
      <c r="U460" s="55">
        <v>50</v>
      </c>
      <c r="V460" s="55">
        <v>9</v>
      </c>
      <c r="W460" s="55"/>
      <c r="X460" s="55"/>
      <c r="Y460" s="55"/>
      <c r="Z460" s="55"/>
      <c r="AA460" s="55"/>
      <c r="AB460" s="55"/>
      <c r="AC460" s="55"/>
      <c r="AD460" s="55"/>
      <c r="AE460" s="55"/>
      <c r="AF460" s="55"/>
      <c r="AG460" s="55"/>
      <c r="AH460" s="55"/>
      <c r="AI460" s="55"/>
      <c r="AJ460" s="55"/>
      <c r="AK460" s="55"/>
      <c r="AL460" s="55"/>
      <c r="AM460" s="55"/>
      <c r="AN460" s="55"/>
      <c r="AO460" s="55"/>
      <c r="AP460" s="55"/>
      <c r="AQ460" s="55"/>
      <c r="AR460" s="55"/>
      <c r="AS460" s="55"/>
      <c r="AT460" s="55"/>
      <c r="AU460" s="55"/>
      <c r="AV460" s="55"/>
      <c r="AW460" s="55"/>
      <c r="AX460" s="55"/>
      <c r="AY460" s="55"/>
      <c r="AZ460" s="55"/>
      <c r="BA460" s="55"/>
      <c r="BB460" s="55"/>
      <c r="BC460" s="55"/>
      <c r="BD460" s="55"/>
      <c r="BE460" s="55"/>
      <c r="BF460" s="55"/>
      <c r="BG460" s="55"/>
      <c r="BH460" s="55"/>
      <c r="BI460" s="55"/>
      <c r="BJ460" s="55"/>
      <c r="BK460" s="55"/>
      <c r="BL460" s="55"/>
      <c r="BM460" s="55"/>
      <c r="BN460" s="55"/>
      <c r="BO460" s="55"/>
      <c r="BP460" s="55"/>
      <c r="BQ460" s="55"/>
      <c r="BR460" s="55"/>
      <c r="BS460" s="55"/>
      <c r="BT460" s="55"/>
      <c r="BU460" s="55"/>
      <c r="BV460" s="55"/>
      <c r="BW460" s="55"/>
      <c r="BX460" s="55"/>
      <c r="BY460" s="55"/>
      <c r="BZ460" s="55"/>
      <c r="CA460" s="55"/>
      <c r="CB460" s="55"/>
      <c r="CC460" s="55"/>
      <c r="CD460" s="55"/>
      <c r="CE460" s="55"/>
      <c r="CF460" s="55"/>
      <c r="CG460" s="55"/>
      <c r="CH460" s="55"/>
      <c r="CI460" s="55"/>
      <c r="CJ460" s="55"/>
      <c r="CK460" s="55"/>
      <c r="CL460" s="55"/>
      <c r="CM460" s="55"/>
      <c r="CN460" s="55"/>
      <c r="CO460" s="55"/>
      <c r="CP460" s="55"/>
      <c r="CQ460" s="55"/>
      <c r="CR460" s="55"/>
      <c r="CS460" s="55"/>
      <c r="CT460" s="55"/>
      <c r="CU460" s="55"/>
      <c r="CV460" s="55"/>
      <c r="CW460" s="55"/>
      <c r="CX460" s="55"/>
      <c r="CY460" s="55"/>
      <c r="CZ460" s="55"/>
      <c r="DA460" s="55"/>
      <c r="DB460" s="55"/>
      <c r="DC460" s="55"/>
      <c r="DD460" s="55"/>
      <c r="DE460" s="55"/>
      <c r="DF460" s="55"/>
      <c r="DG460" s="55"/>
      <c r="DH460" s="55"/>
      <c r="DI460" s="55"/>
    </row>
    <row r="461" spans="1:113" x14ac:dyDescent="0.25">
      <c r="A461" s="380"/>
      <c r="B461" s="340"/>
      <c r="C461" s="341"/>
      <c r="D461" s="381"/>
      <c r="E461" s="344"/>
      <c r="F461" s="350"/>
      <c r="G461" s="356"/>
      <c r="H461" s="346"/>
      <c r="I461" s="345"/>
      <c r="J461" s="345"/>
      <c r="K461" s="347"/>
      <c r="L461"/>
      <c r="M461" s="348"/>
      <c r="N461" s="310" t="s">
        <v>965</v>
      </c>
      <c r="O461" s="349" t="s">
        <v>1002</v>
      </c>
      <c r="P461" s="349" t="s">
        <v>1002</v>
      </c>
      <c r="Q461" s="349" t="s">
        <v>1036</v>
      </c>
      <c r="R461" s="349" t="s">
        <v>1037</v>
      </c>
      <c r="S461" s="346" t="s">
        <v>1037</v>
      </c>
      <c r="T461" s="346" t="s">
        <v>1038</v>
      </c>
      <c r="U461" s="346"/>
      <c r="V461" s="346"/>
      <c r="W461" s="346"/>
      <c r="X461" s="346"/>
      <c r="Y461" s="346"/>
      <c r="Z461" s="346"/>
      <c r="AA461" s="346"/>
      <c r="AB461" s="346"/>
      <c r="AC461" s="346"/>
      <c r="AD461" s="346"/>
      <c r="AE461" s="346"/>
      <c r="AF461" s="346"/>
      <c r="AG461" s="346"/>
      <c r="AH461" s="346"/>
      <c r="AI461" s="346"/>
      <c r="AJ461" s="346"/>
      <c r="AK461" s="346"/>
      <c r="AL461" s="346"/>
      <c r="AM461" s="346"/>
      <c r="AN461" s="346"/>
      <c r="AO461" s="346"/>
      <c r="AP461" s="346"/>
      <c r="AQ461" s="346"/>
      <c r="AR461" s="346"/>
      <c r="AS461" s="346"/>
      <c r="AT461" s="346"/>
      <c r="AU461" s="346"/>
      <c r="AV461" s="346"/>
      <c r="AW461" s="346"/>
      <c r="AX461" s="346"/>
      <c r="AY461" s="346"/>
      <c r="AZ461" s="346"/>
      <c r="BA461" s="346"/>
      <c r="BB461" s="346"/>
      <c r="BC461" s="346"/>
      <c r="BD461" s="346"/>
      <c r="BE461" s="346"/>
      <c r="BF461" s="346"/>
      <c r="BG461" s="346"/>
      <c r="BH461" s="346"/>
      <c r="BI461" s="346"/>
      <c r="BJ461" s="346"/>
      <c r="BK461" s="346"/>
      <c r="BL461" s="346"/>
      <c r="BM461" s="346"/>
      <c r="BN461" s="346"/>
      <c r="BO461" s="346"/>
      <c r="BP461" s="346"/>
      <c r="BQ461" s="346"/>
      <c r="BR461" s="346"/>
      <c r="BS461" s="346"/>
      <c r="BT461" s="346"/>
      <c r="BU461" s="346"/>
      <c r="BV461" s="346"/>
      <c r="BW461" s="346"/>
      <c r="BX461" s="346"/>
      <c r="BY461" s="346"/>
      <c r="BZ461" s="346"/>
      <c r="CA461" s="346"/>
      <c r="CB461" s="346"/>
      <c r="CC461" s="346"/>
      <c r="CD461" s="346"/>
      <c r="CE461" s="346"/>
      <c r="CF461" s="346"/>
      <c r="CG461" s="346"/>
      <c r="CH461" s="346"/>
      <c r="CI461" s="346"/>
      <c r="CJ461" s="346"/>
      <c r="CK461" s="346"/>
      <c r="CL461" s="346"/>
      <c r="CM461" s="346"/>
      <c r="CN461" s="346"/>
      <c r="CO461" s="346"/>
      <c r="CP461" s="346"/>
      <c r="CQ461" s="346"/>
      <c r="CR461" s="346"/>
      <c r="CS461" s="346"/>
      <c r="CT461" s="346"/>
      <c r="CU461" s="346"/>
      <c r="CV461" s="346"/>
      <c r="CW461" s="346"/>
      <c r="CX461" s="346"/>
      <c r="CY461" s="346"/>
      <c r="CZ461" s="346"/>
      <c r="DA461" s="346"/>
      <c r="DB461" s="346"/>
      <c r="DC461" s="346"/>
      <c r="DD461" s="346"/>
      <c r="DE461" s="346"/>
      <c r="DF461" s="346"/>
      <c r="DG461" s="346"/>
      <c r="DH461" s="346"/>
      <c r="DI461" s="346"/>
    </row>
    <row r="462" spans="1:113" x14ac:dyDescent="0.25">
      <c r="A462" s="152">
        <v>9</v>
      </c>
      <c r="B462" s="79" t="s">
        <v>753</v>
      </c>
      <c r="C462" s="80">
        <f>+'[5]KEL C-2'!$GY$4</f>
        <v>7500</v>
      </c>
      <c r="D462" s="142">
        <v>2103</v>
      </c>
      <c r="E462" s="43">
        <v>200</v>
      </c>
      <c r="F462" s="60"/>
      <c r="G462" s="139">
        <f t="shared" si="120"/>
        <v>200</v>
      </c>
      <c r="H462" s="55"/>
      <c r="I462" s="56">
        <f t="shared" si="121"/>
        <v>200</v>
      </c>
      <c r="J462" s="56">
        <f t="shared" si="122"/>
        <v>1500000</v>
      </c>
      <c r="K462" s="57">
        <f t="shared" si="123"/>
        <v>420600</v>
      </c>
      <c r="L462"/>
      <c r="M462" s="314">
        <f t="shared" si="119"/>
        <v>421</v>
      </c>
      <c r="N462" s="310">
        <v>20</v>
      </c>
      <c r="O462" s="315">
        <v>77</v>
      </c>
      <c r="P462" s="315">
        <v>100</v>
      </c>
      <c r="Q462" s="315">
        <v>22</v>
      </c>
      <c r="R462" s="315">
        <v>100</v>
      </c>
      <c r="S462" s="55">
        <v>93</v>
      </c>
      <c r="T462" s="55">
        <v>9</v>
      </c>
      <c r="U462" s="55"/>
      <c r="V462" s="55"/>
      <c r="W462" s="55"/>
      <c r="X462" s="55"/>
      <c r="Y462" s="55"/>
      <c r="Z462" s="55"/>
      <c r="AA462" s="55"/>
      <c r="AB462" s="55"/>
      <c r="AC462" s="55"/>
      <c r="AD462" s="55"/>
      <c r="AE462" s="55"/>
      <c r="AF462" s="55"/>
      <c r="AG462" s="55"/>
      <c r="AH462" s="55"/>
      <c r="AI462" s="55"/>
      <c r="AJ462" s="55"/>
      <c r="AK462" s="55"/>
      <c r="AL462" s="55"/>
      <c r="AM462" s="55"/>
      <c r="AN462" s="55"/>
      <c r="AO462" s="55"/>
      <c r="AP462" s="55"/>
      <c r="AQ462" s="55"/>
      <c r="AR462" s="55"/>
      <c r="AS462" s="55"/>
      <c r="AT462" s="55"/>
      <c r="AU462" s="55"/>
      <c r="AV462" s="55"/>
      <c r="AW462" s="55"/>
      <c r="AX462" s="55"/>
      <c r="AY462" s="55"/>
      <c r="AZ462" s="55"/>
      <c r="BA462" s="55"/>
      <c r="BB462" s="55"/>
      <c r="BC462" s="55"/>
      <c r="BD462" s="55"/>
      <c r="BE462" s="55"/>
      <c r="BF462" s="55"/>
      <c r="BG462" s="55"/>
      <c r="BH462" s="55"/>
      <c r="BI462" s="55"/>
      <c r="BJ462" s="55"/>
      <c r="BK462" s="55"/>
      <c r="BL462" s="55"/>
      <c r="BM462" s="55"/>
      <c r="BN462" s="55"/>
      <c r="BO462" s="55"/>
      <c r="BP462" s="55"/>
      <c r="BQ462" s="55"/>
      <c r="BR462" s="55"/>
      <c r="BS462" s="55"/>
      <c r="BT462" s="55"/>
      <c r="BU462" s="55"/>
      <c r="BV462" s="55"/>
      <c r="BW462" s="55"/>
      <c r="BX462" s="55"/>
      <c r="BY462" s="55"/>
      <c r="BZ462" s="55"/>
      <c r="CA462" s="55"/>
      <c r="CB462" s="55"/>
      <c r="CC462" s="55"/>
      <c r="CD462" s="55"/>
      <c r="CE462" s="55"/>
      <c r="CF462" s="55"/>
      <c r="CG462" s="55"/>
      <c r="CH462" s="55"/>
      <c r="CI462" s="55"/>
      <c r="CJ462" s="55"/>
      <c r="CK462" s="55"/>
      <c r="CL462" s="55"/>
      <c r="CM462" s="55"/>
      <c r="CN462" s="55"/>
      <c r="CO462" s="55"/>
      <c r="CP462" s="55"/>
      <c r="CQ462" s="55"/>
      <c r="CR462" s="55"/>
      <c r="CS462" s="55"/>
      <c r="CT462" s="55"/>
      <c r="CU462" s="55"/>
      <c r="CV462" s="55"/>
      <c r="CW462" s="55"/>
      <c r="CX462" s="55"/>
      <c r="CY462" s="55"/>
      <c r="CZ462" s="55"/>
      <c r="DA462" s="55"/>
      <c r="DB462" s="55"/>
      <c r="DC462" s="55"/>
      <c r="DD462" s="55"/>
      <c r="DE462" s="55"/>
      <c r="DF462" s="55"/>
      <c r="DG462" s="55"/>
      <c r="DH462" s="55"/>
      <c r="DI462" s="55"/>
    </row>
    <row r="463" spans="1:113" x14ac:dyDescent="0.25">
      <c r="A463" s="380"/>
      <c r="B463" s="340"/>
      <c r="C463" s="341"/>
      <c r="D463" s="381"/>
      <c r="E463" s="344"/>
      <c r="F463" s="350"/>
      <c r="G463" s="356"/>
      <c r="H463" s="346"/>
      <c r="I463" s="345"/>
      <c r="J463" s="345"/>
      <c r="K463" s="347"/>
      <c r="L463"/>
      <c r="M463" s="348"/>
      <c r="N463" s="310" t="s">
        <v>1002</v>
      </c>
      <c r="O463" s="349" t="s">
        <v>1002</v>
      </c>
      <c r="P463" s="349" t="s">
        <v>1002</v>
      </c>
      <c r="Q463" s="349" t="s">
        <v>1042</v>
      </c>
      <c r="R463" s="349" t="s">
        <v>1002</v>
      </c>
      <c r="S463" s="346" t="s">
        <v>1041</v>
      </c>
      <c r="T463" s="346" t="s">
        <v>1038</v>
      </c>
      <c r="U463" s="346"/>
      <c r="V463" s="346"/>
      <c r="W463" s="346"/>
      <c r="X463" s="346"/>
      <c r="Y463" s="346"/>
      <c r="Z463" s="346"/>
      <c r="AA463" s="346"/>
      <c r="AB463" s="346"/>
      <c r="AC463" s="346"/>
      <c r="AD463" s="346"/>
      <c r="AE463" s="346"/>
      <c r="AF463" s="346"/>
      <c r="AG463" s="346"/>
      <c r="AH463" s="346"/>
      <c r="AI463" s="346"/>
      <c r="AJ463" s="346"/>
      <c r="AK463" s="346"/>
      <c r="AL463" s="346"/>
      <c r="AM463" s="346"/>
      <c r="AN463" s="346"/>
      <c r="AO463" s="346"/>
      <c r="AP463" s="346"/>
      <c r="AQ463" s="346"/>
      <c r="AR463" s="346"/>
      <c r="AS463" s="346"/>
      <c r="AT463" s="346"/>
      <c r="AU463" s="346"/>
      <c r="AV463" s="346"/>
      <c r="AW463" s="346"/>
      <c r="AX463" s="346"/>
      <c r="AY463" s="346"/>
      <c r="AZ463" s="346"/>
      <c r="BA463" s="346"/>
      <c r="BB463" s="346"/>
      <c r="BC463" s="346"/>
      <c r="BD463" s="346"/>
      <c r="BE463" s="346"/>
      <c r="BF463" s="346"/>
      <c r="BG463" s="346"/>
      <c r="BH463" s="346"/>
      <c r="BI463" s="346"/>
      <c r="BJ463" s="346"/>
      <c r="BK463" s="346"/>
      <c r="BL463" s="346"/>
      <c r="BM463" s="346"/>
      <c r="BN463" s="346"/>
      <c r="BO463" s="346"/>
      <c r="BP463" s="346"/>
      <c r="BQ463" s="346"/>
      <c r="BR463" s="346"/>
      <c r="BS463" s="346"/>
      <c r="BT463" s="346"/>
      <c r="BU463" s="346"/>
      <c r="BV463" s="346"/>
      <c r="BW463" s="346"/>
      <c r="BX463" s="346"/>
      <c r="BY463" s="346"/>
      <c r="BZ463" s="346"/>
      <c r="CA463" s="346"/>
      <c r="CB463" s="346"/>
      <c r="CC463" s="346"/>
      <c r="CD463" s="346"/>
      <c r="CE463" s="346"/>
      <c r="CF463" s="346"/>
      <c r="CG463" s="346"/>
      <c r="CH463" s="346"/>
      <c r="CI463" s="346"/>
      <c r="CJ463" s="346"/>
      <c r="CK463" s="346"/>
      <c r="CL463" s="346"/>
      <c r="CM463" s="346"/>
      <c r="CN463" s="346"/>
      <c r="CO463" s="346"/>
      <c r="CP463" s="346"/>
      <c r="CQ463" s="346"/>
      <c r="CR463" s="346"/>
      <c r="CS463" s="346"/>
      <c r="CT463" s="346"/>
      <c r="CU463" s="346"/>
      <c r="CV463" s="346"/>
      <c r="CW463" s="346"/>
      <c r="CX463" s="346"/>
      <c r="CY463" s="346"/>
      <c r="CZ463" s="346"/>
      <c r="DA463" s="346"/>
      <c r="DB463" s="346"/>
      <c r="DC463" s="346"/>
      <c r="DD463" s="346"/>
      <c r="DE463" s="346"/>
      <c r="DF463" s="346"/>
      <c r="DG463" s="346"/>
      <c r="DH463" s="346"/>
      <c r="DI463" s="346"/>
    </row>
    <row r="464" spans="1:113" x14ac:dyDescent="0.25">
      <c r="A464" s="152">
        <v>10</v>
      </c>
      <c r="B464" s="79" t="s">
        <v>754</v>
      </c>
      <c r="C464" s="80">
        <f>+'[5]KEL C-2'!$GZ$4</f>
        <v>12500</v>
      </c>
      <c r="D464" s="142">
        <v>2612</v>
      </c>
      <c r="E464" s="43">
        <v>100</v>
      </c>
      <c r="F464" s="60"/>
      <c r="G464" s="139">
        <f t="shared" si="120"/>
        <v>100</v>
      </c>
      <c r="H464" s="55"/>
      <c r="I464" s="56">
        <f t="shared" si="121"/>
        <v>100</v>
      </c>
      <c r="J464" s="56">
        <f t="shared" si="122"/>
        <v>1250000</v>
      </c>
      <c r="K464" s="57">
        <f t="shared" si="123"/>
        <v>261200</v>
      </c>
      <c r="L464"/>
      <c r="M464" s="314">
        <f t="shared" si="119"/>
        <v>445</v>
      </c>
      <c r="N464" s="310">
        <v>50</v>
      </c>
      <c r="O464" s="315">
        <v>50</v>
      </c>
      <c r="P464" s="315">
        <v>23</v>
      </c>
      <c r="Q464" s="315">
        <f>50+50+50+50+44</f>
        <v>244</v>
      </c>
      <c r="R464" s="315">
        <v>50</v>
      </c>
      <c r="S464" s="55">
        <v>14</v>
      </c>
      <c r="T464" s="55">
        <v>14</v>
      </c>
      <c r="U464" s="55"/>
      <c r="V464" s="55"/>
      <c r="W464" s="55"/>
      <c r="X464" s="55"/>
      <c r="Y464" s="55"/>
      <c r="Z464" s="55"/>
      <c r="AA464" s="55"/>
      <c r="AB464" s="55"/>
      <c r="AC464" s="55"/>
      <c r="AD464" s="55"/>
      <c r="AE464" s="55"/>
      <c r="AF464" s="55"/>
      <c r="AG464" s="55"/>
      <c r="AH464" s="55"/>
      <c r="AI464" s="55"/>
      <c r="AJ464" s="55"/>
      <c r="AK464" s="55"/>
      <c r="AL464" s="55"/>
      <c r="AM464" s="55"/>
      <c r="AN464" s="55"/>
      <c r="AO464" s="55"/>
      <c r="AP464" s="55"/>
      <c r="AQ464" s="55"/>
      <c r="AR464" s="55"/>
      <c r="AS464" s="55"/>
      <c r="AT464" s="55"/>
      <c r="AU464" s="55"/>
      <c r="AV464" s="55"/>
      <c r="AW464" s="55"/>
      <c r="AX464" s="55"/>
      <c r="AY464" s="55"/>
      <c r="AZ464" s="55"/>
      <c r="BA464" s="55"/>
      <c r="BB464" s="55"/>
      <c r="BC464" s="55"/>
      <c r="BD464" s="55"/>
      <c r="BE464" s="55"/>
      <c r="BF464" s="55"/>
      <c r="BG464" s="55"/>
      <c r="BH464" s="55"/>
      <c r="BI464" s="55"/>
      <c r="BJ464" s="55"/>
      <c r="BK464" s="55"/>
      <c r="BL464" s="55"/>
      <c r="BM464" s="55"/>
      <c r="BN464" s="55"/>
      <c r="BO464" s="55"/>
      <c r="BP464" s="55"/>
      <c r="BQ464" s="55"/>
      <c r="BR464" s="55"/>
      <c r="BS464" s="55"/>
      <c r="BT464" s="55"/>
      <c r="BU464" s="55"/>
      <c r="BV464" s="55"/>
      <c r="BW464" s="55"/>
      <c r="BX464" s="55"/>
      <c r="BY464" s="55"/>
      <c r="BZ464" s="55"/>
      <c r="CA464" s="55"/>
      <c r="CB464" s="55"/>
      <c r="CC464" s="55"/>
      <c r="CD464" s="55"/>
      <c r="CE464" s="55"/>
      <c r="CF464" s="55"/>
      <c r="CG464" s="55"/>
      <c r="CH464" s="55"/>
      <c r="CI464" s="55"/>
      <c r="CJ464" s="55"/>
      <c r="CK464" s="55"/>
      <c r="CL464" s="55"/>
      <c r="CM464" s="55"/>
      <c r="CN464" s="55"/>
      <c r="CO464" s="55"/>
      <c r="CP464" s="55"/>
      <c r="CQ464" s="55"/>
      <c r="CR464" s="55"/>
      <c r="CS464" s="55"/>
      <c r="CT464" s="55"/>
      <c r="CU464" s="55"/>
      <c r="CV464" s="55"/>
      <c r="CW464" s="55"/>
      <c r="CX464" s="55"/>
      <c r="CY464" s="55"/>
      <c r="CZ464" s="55"/>
      <c r="DA464" s="55"/>
      <c r="DB464" s="55"/>
      <c r="DC464" s="55"/>
      <c r="DD464" s="55"/>
      <c r="DE464" s="55"/>
      <c r="DF464" s="55"/>
      <c r="DG464" s="55"/>
      <c r="DH464" s="55"/>
      <c r="DI464" s="55"/>
    </row>
    <row r="465" spans="1:113" x14ac:dyDescent="0.25">
      <c r="A465" s="380"/>
      <c r="B465" s="340"/>
      <c r="C465" s="341"/>
      <c r="D465" s="381"/>
      <c r="E465" s="344"/>
      <c r="F465" s="350"/>
      <c r="G465" s="356"/>
      <c r="H465" s="346"/>
      <c r="I465" s="345"/>
      <c r="J465" s="345"/>
      <c r="K465" s="347"/>
      <c r="L465"/>
      <c r="M465" s="348"/>
      <c r="N465" s="310" t="s">
        <v>965</v>
      </c>
      <c r="O465" s="349" t="s">
        <v>1043</v>
      </c>
      <c r="P465" s="349" t="s">
        <v>1002</v>
      </c>
      <c r="Q465" s="349" t="s">
        <v>1036</v>
      </c>
      <c r="R465" s="349" t="s">
        <v>1043</v>
      </c>
      <c r="S465" s="346" t="s">
        <v>1038</v>
      </c>
      <c r="T465" s="346"/>
      <c r="U465" s="346"/>
      <c r="V465" s="346"/>
      <c r="W465" s="346"/>
      <c r="X465" s="346"/>
      <c r="Y465" s="346"/>
      <c r="Z465" s="346"/>
      <c r="AA465" s="346"/>
      <c r="AB465" s="346"/>
      <c r="AC465" s="346"/>
      <c r="AD465" s="346"/>
      <c r="AE465" s="346"/>
      <c r="AF465" s="346"/>
      <c r="AG465" s="346"/>
      <c r="AH465" s="346"/>
      <c r="AI465" s="346"/>
      <c r="AJ465" s="346"/>
      <c r="AK465" s="346"/>
      <c r="AL465" s="346"/>
      <c r="AM465" s="346"/>
      <c r="AN465" s="346"/>
      <c r="AO465" s="346"/>
      <c r="AP465" s="346"/>
      <c r="AQ465" s="346"/>
      <c r="AR465" s="346"/>
      <c r="AS465" s="346"/>
      <c r="AT465" s="346"/>
      <c r="AU465" s="346"/>
      <c r="AV465" s="346"/>
      <c r="AW465" s="346"/>
      <c r="AX465" s="346"/>
      <c r="AY465" s="346"/>
      <c r="AZ465" s="346"/>
      <c r="BA465" s="346"/>
      <c r="BB465" s="346"/>
      <c r="BC465" s="346"/>
      <c r="BD465" s="346"/>
      <c r="BE465" s="346"/>
      <c r="BF465" s="346"/>
      <c r="BG465" s="346"/>
      <c r="BH465" s="346"/>
      <c r="BI465" s="346"/>
      <c r="BJ465" s="346"/>
      <c r="BK465" s="346"/>
      <c r="BL465" s="346"/>
      <c r="BM465" s="346"/>
      <c r="BN465" s="346"/>
      <c r="BO465" s="346"/>
      <c r="BP465" s="346"/>
      <c r="BQ465" s="346"/>
      <c r="BR465" s="346"/>
      <c r="BS465" s="346"/>
      <c r="BT465" s="346"/>
      <c r="BU465" s="346"/>
      <c r="BV465" s="346"/>
      <c r="BW465" s="346"/>
      <c r="BX465" s="346"/>
      <c r="BY465" s="346"/>
      <c r="BZ465" s="346"/>
      <c r="CA465" s="346"/>
      <c r="CB465" s="346"/>
      <c r="CC465" s="346"/>
      <c r="CD465" s="346"/>
      <c r="CE465" s="346"/>
      <c r="CF465" s="346"/>
      <c r="CG465" s="346"/>
      <c r="CH465" s="346"/>
      <c r="CI465" s="346"/>
      <c r="CJ465" s="346"/>
      <c r="CK465" s="346"/>
      <c r="CL465" s="346"/>
      <c r="CM465" s="346"/>
      <c r="CN465" s="346"/>
      <c r="CO465" s="346"/>
      <c r="CP465" s="346"/>
      <c r="CQ465" s="346"/>
      <c r="CR465" s="346"/>
      <c r="CS465" s="346"/>
      <c r="CT465" s="346"/>
      <c r="CU465" s="346"/>
      <c r="CV465" s="346"/>
      <c r="CW465" s="346"/>
      <c r="CX465" s="346"/>
      <c r="CY465" s="346"/>
      <c r="CZ465" s="346"/>
      <c r="DA465" s="346"/>
      <c r="DB465" s="346"/>
      <c r="DC465" s="346"/>
      <c r="DD465" s="346"/>
      <c r="DE465" s="346"/>
      <c r="DF465" s="346"/>
      <c r="DG465" s="346"/>
      <c r="DH465" s="346"/>
      <c r="DI465" s="346"/>
    </row>
    <row r="466" spans="1:113" x14ac:dyDescent="0.25">
      <c r="A466" s="152">
        <v>11</v>
      </c>
      <c r="B466" s="215" t="s">
        <v>755</v>
      </c>
      <c r="C466" s="80">
        <f>+'[5]KEL C-2'!$HA$4</f>
        <v>5000</v>
      </c>
      <c r="D466" s="142">
        <v>1979.83</v>
      </c>
      <c r="E466" s="43">
        <v>75</v>
      </c>
      <c r="F466" s="60"/>
      <c r="G466" s="139">
        <f t="shared" si="120"/>
        <v>75</v>
      </c>
      <c r="H466" s="55">
        <f>100-100</f>
        <v>0</v>
      </c>
      <c r="I466" s="56">
        <f t="shared" si="121"/>
        <v>75</v>
      </c>
      <c r="J466" s="56">
        <f t="shared" si="122"/>
        <v>375000</v>
      </c>
      <c r="K466" s="57">
        <f t="shared" si="123"/>
        <v>148487.25</v>
      </c>
      <c r="L466"/>
      <c r="M466" s="314">
        <f t="shared" si="119"/>
        <v>290</v>
      </c>
      <c r="N466" s="310">
        <v>25</v>
      </c>
      <c r="O466" s="315">
        <v>100</v>
      </c>
      <c r="P466" s="315">
        <v>96</v>
      </c>
      <c r="Q466" s="315">
        <v>20</v>
      </c>
      <c r="R466" s="315">
        <v>40</v>
      </c>
      <c r="S466" s="55">
        <v>9</v>
      </c>
      <c r="T466" s="55"/>
      <c r="U466" s="55"/>
      <c r="V466" s="55"/>
      <c r="W466" s="55"/>
      <c r="X466" s="55"/>
      <c r="Y466" s="55"/>
      <c r="Z466" s="55"/>
      <c r="AA466" s="55"/>
      <c r="AB466" s="55"/>
      <c r="AC466" s="55"/>
      <c r="AD466" s="55"/>
      <c r="AE466" s="55"/>
      <c r="AF466" s="55"/>
      <c r="AG466" s="55"/>
      <c r="AH466" s="55"/>
      <c r="AI466" s="55"/>
      <c r="AJ466" s="55"/>
      <c r="AK466" s="55"/>
      <c r="AL466" s="55"/>
      <c r="AM466" s="55"/>
      <c r="AN466" s="55"/>
      <c r="AO466" s="55"/>
      <c r="AP466" s="55"/>
      <c r="AQ466" s="55"/>
      <c r="AR466" s="55"/>
      <c r="AS466" s="55"/>
      <c r="AT466" s="55"/>
      <c r="AU466" s="55"/>
      <c r="AV466" s="55"/>
      <c r="AW466" s="55"/>
      <c r="AX466" s="55"/>
      <c r="AY466" s="55"/>
      <c r="AZ466" s="55"/>
      <c r="BA466" s="55"/>
      <c r="BB466" s="55"/>
      <c r="BC466" s="55"/>
      <c r="BD466" s="55"/>
      <c r="BE466" s="55"/>
      <c r="BF466" s="55"/>
      <c r="BG466" s="55"/>
      <c r="BH466" s="55"/>
      <c r="BI466" s="55"/>
      <c r="BJ466" s="55"/>
      <c r="BK466" s="55"/>
      <c r="BL466" s="55"/>
      <c r="BM466" s="55"/>
      <c r="BN466" s="55"/>
      <c r="BO466" s="55"/>
      <c r="BP466" s="55"/>
      <c r="BQ466" s="55"/>
      <c r="BR466" s="55"/>
      <c r="BS466" s="55"/>
      <c r="BT466" s="55"/>
      <c r="BU466" s="55"/>
      <c r="BV466" s="55"/>
      <c r="BW466" s="55"/>
      <c r="BX466" s="55"/>
      <c r="BY466" s="55"/>
      <c r="BZ466" s="55"/>
      <c r="CA466" s="55"/>
      <c r="CB466" s="55"/>
      <c r="CC466" s="55"/>
      <c r="CD466" s="55"/>
      <c r="CE466" s="55"/>
      <c r="CF466" s="55"/>
      <c r="CG466" s="55"/>
      <c r="CH466" s="55"/>
      <c r="CI466" s="55"/>
      <c r="CJ466" s="55"/>
      <c r="CK466" s="55"/>
      <c r="CL466" s="55"/>
      <c r="CM466" s="55"/>
      <c r="CN466" s="55"/>
      <c r="CO466" s="55"/>
      <c r="CP466" s="55"/>
      <c r="CQ466" s="55"/>
      <c r="CR466" s="55"/>
      <c r="CS466" s="55"/>
      <c r="CT466" s="55"/>
      <c r="CU466" s="55"/>
      <c r="CV466" s="55"/>
      <c r="CW466" s="55"/>
      <c r="CX466" s="55"/>
      <c r="CY466" s="55"/>
      <c r="CZ466" s="55"/>
      <c r="DA466" s="55"/>
      <c r="DB466" s="55"/>
      <c r="DC466" s="55"/>
      <c r="DD466" s="55"/>
      <c r="DE466" s="55"/>
      <c r="DF466" s="55"/>
      <c r="DG466" s="55"/>
      <c r="DH466" s="55"/>
      <c r="DI466" s="55"/>
    </row>
    <row r="467" spans="1:113" x14ac:dyDescent="0.25">
      <c r="A467" s="380"/>
      <c r="B467" s="371"/>
      <c r="C467" s="341"/>
      <c r="D467" s="381"/>
      <c r="E467" s="344"/>
      <c r="F467" s="350"/>
      <c r="G467" s="356"/>
      <c r="H467" s="346"/>
      <c r="I467" s="345"/>
      <c r="J467" s="345"/>
      <c r="K467" s="347"/>
      <c r="L467"/>
      <c r="M467" s="348"/>
      <c r="N467" s="310" t="s">
        <v>1002</v>
      </c>
      <c r="O467" s="349" t="s">
        <v>1002</v>
      </c>
      <c r="P467" s="349" t="s">
        <v>1002</v>
      </c>
      <c r="Q467" s="349" t="s">
        <v>1002</v>
      </c>
      <c r="R467" s="349" t="s">
        <v>1043</v>
      </c>
      <c r="S467" s="346" t="s">
        <v>1043</v>
      </c>
      <c r="T467" s="346" t="s">
        <v>1040</v>
      </c>
      <c r="U467" s="346" t="s">
        <v>1043</v>
      </c>
      <c r="V467" s="346" t="s">
        <v>1040</v>
      </c>
      <c r="W467" s="346" t="s">
        <v>1043</v>
      </c>
      <c r="X467" s="346" t="s">
        <v>1038</v>
      </c>
      <c r="Y467" s="346" t="s">
        <v>1036</v>
      </c>
      <c r="Z467" s="346"/>
      <c r="AA467" s="346"/>
      <c r="AB467" s="346"/>
      <c r="AC467" s="346"/>
      <c r="AD467" s="346"/>
      <c r="AE467" s="346"/>
      <c r="AF467" s="346"/>
      <c r="AG467" s="346"/>
      <c r="AH467" s="346"/>
      <c r="AI467" s="346"/>
      <c r="AJ467" s="346"/>
      <c r="AK467" s="346"/>
      <c r="AL467" s="346"/>
      <c r="AM467" s="346"/>
      <c r="AN467" s="346"/>
      <c r="AO467" s="346"/>
      <c r="AP467" s="346"/>
      <c r="AQ467" s="346"/>
      <c r="AR467" s="346"/>
      <c r="AS467" s="346"/>
      <c r="AT467" s="346"/>
      <c r="AU467" s="346"/>
      <c r="AV467" s="346"/>
      <c r="AW467" s="346"/>
      <c r="AX467" s="346"/>
      <c r="AY467" s="346"/>
      <c r="AZ467" s="346"/>
      <c r="BA467" s="346"/>
      <c r="BB467" s="346"/>
      <c r="BC467" s="346"/>
      <c r="BD467" s="346"/>
      <c r="BE467" s="346"/>
      <c r="BF467" s="346"/>
      <c r="BG467" s="346"/>
      <c r="BH467" s="346"/>
      <c r="BI467" s="346"/>
      <c r="BJ467" s="346"/>
      <c r="BK467" s="346"/>
      <c r="BL467" s="346"/>
      <c r="BM467" s="346"/>
      <c r="BN467" s="346"/>
      <c r="BO467" s="346"/>
      <c r="BP467" s="346"/>
      <c r="BQ467" s="346"/>
      <c r="BR467" s="346"/>
      <c r="BS467" s="346"/>
      <c r="BT467" s="346"/>
      <c r="BU467" s="346"/>
      <c r="BV467" s="346"/>
      <c r="BW467" s="346"/>
      <c r="BX467" s="346"/>
      <c r="BY467" s="346"/>
      <c r="BZ467" s="346"/>
      <c r="CA467" s="346"/>
      <c r="CB467" s="346"/>
      <c r="CC467" s="346"/>
      <c r="CD467" s="346"/>
      <c r="CE467" s="346"/>
      <c r="CF467" s="346"/>
      <c r="CG467" s="346"/>
      <c r="CH467" s="346"/>
      <c r="CI467" s="346"/>
      <c r="CJ467" s="346"/>
      <c r="CK467" s="346"/>
      <c r="CL467" s="346"/>
      <c r="CM467" s="346"/>
      <c r="CN467" s="346"/>
      <c r="CO467" s="346"/>
      <c r="CP467" s="346"/>
      <c r="CQ467" s="346"/>
      <c r="CR467" s="346"/>
      <c r="CS467" s="346"/>
      <c r="CT467" s="346"/>
      <c r="CU467" s="346"/>
      <c r="CV467" s="346"/>
      <c r="CW467" s="346"/>
      <c r="CX467" s="346"/>
      <c r="CY467" s="346"/>
      <c r="CZ467" s="346"/>
      <c r="DA467" s="346"/>
      <c r="DB467" s="346"/>
      <c r="DC467" s="346"/>
      <c r="DD467" s="346"/>
      <c r="DE467" s="346"/>
      <c r="DF467" s="346"/>
      <c r="DG467" s="346"/>
      <c r="DH467" s="346"/>
      <c r="DI467" s="346"/>
    </row>
    <row r="468" spans="1:113" x14ac:dyDescent="0.25">
      <c r="A468" s="152">
        <v>12</v>
      </c>
      <c r="B468" s="79" t="s">
        <v>756</v>
      </c>
      <c r="C468" s="80">
        <f>+'[5]KEL C-2'!$HB$4</f>
        <v>10000</v>
      </c>
      <c r="D468" s="142">
        <v>2474.4899999999998</v>
      </c>
      <c r="E468" s="43">
        <v>175</v>
      </c>
      <c r="F468" s="60"/>
      <c r="G468" s="139">
        <f t="shared" si="120"/>
        <v>175</v>
      </c>
      <c r="H468" s="55"/>
      <c r="I468" s="56">
        <f t="shared" si="121"/>
        <v>175</v>
      </c>
      <c r="J468" s="56">
        <f t="shared" si="122"/>
        <v>1750000</v>
      </c>
      <c r="K468" s="57">
        <f t="shared" si="123"/>
        <v>433035.74999999994</v>
      </c>
      <c r="L468"/>
      <c r="M468" s="314">
        <f t="shared" si="119"/>
        <v>665</v>
      </c>
      <c r="N468" s="310">
        <v>50</v>
      </c>
      <c r="O468" s="315">
        <v>50</v>
      </c>
      <c r="P468" s="315">
        <v>50</v>
      </c>
      <c r="Q468" s="315">
        <v>27</v>
      </c>
      <c r="R468" s="315">
        <v>50</v>
      </c>
      <c r="S468" s="55">
        <v>100</v>
      </c>
      <c r="T468" s="55">
        <v>94</v>
      </c>
      <c r="U468" s="55">
        <v>100</v>
      </c>
      <c r="V468" s="55">
        <v>100</v>
      </c>
      <c r="W468" s="55">
        <v>8</v>
      </c>
      <c r="X468" s="55">
        <v>15</v>
      </c>
      <c r="Y468" s="55">
        <v>21</v>
      </c>
      <c r="Z468" s="55"/>
      <c r="AA468" s="55"/>
      <c r="AB468" s="55"/>
      <c r="AC468" s="55"/>
      <c r="AD468" s="55"/>
      <c r="AE468" s="55"/>
      <c r="AF468" s="55"/>
      <c r="AG468" s="55"/>
      <c r="AH468" s="55"/>
      <c r="AI468" s="55"/>
      <c r="AJ468" s="55"/>
      <c r="AK468" s="55"/>
      <c r="AL468" s="55"/>
      <c r="AM468" s="55"/>
      <c r="AN468" s="55"/>
      <c r="AO468" s="55"/>
      <c r="AP468" s="55"/>
      <c r="AQ468" s="55"/>
      <c r="AR468" s="55"/>
      <c r="AS468" s="55"/>
      <c r="AT468" s="55"/>
      <c r="AU468" s="55"/>
      <c r="AV468" s="55"/>
      <c r="AW468" s="55"/>
      <c r="AX468" s="55"/>
      <c r="AY468" s="55"/>
      <c r="AZ468" s="55"/>
      <c r="BA468" s="55"/>
      <c r="BB468" s="55"/>
      <c r="BC468" s="55"/>
      <c r="BD468" s="55"/>
      <c r="BE468" s="55"/>
      <c r="BF468" s="55"/>
      <c r="BG468" s="55"/>
      <c r="BH468" s="55"/>
      <c r="BI468" s="55"/>
      <c r="BJ468" s="55"/>
      <c r="BK468" s="55"/>
      <c r="BL468" s="55"/>
      <c r="BM468" s="55"/>
      <c r="BN468" s="55"/>
      <c r="BO468" s="55"/>
      <c r="BP468" s="55"/>
      <c r="BQ468" s="55"/>
      <c r="BR468" s="55"/>
      <c r="BS468" s="55"/>
      <c r="BT468" s="55"/>
      <c r="BU468" s="55"/>
      <c r="BV468" s="55"/>
      <c r="BW468" s="55"/>
      <c r="BX468" s="55"/>
      <c r="BY468" s="55"/>
      <c r="BZ468" s="55"/>
      <c r="CA468" s="55"/>
      <c r="CB468" s="55"/>
      <c r="CC468" s="55"/>
      <c r="CD468" s="55"/>
      <c r="CE468" s="55"/>
      <c r="CF468" s="55"/>
      <c r="CG468" s="55"/>
      <c r="CH468" s="55"/>
      <c r="CI468" s="55"/>
      <c r="CJ468" s="55"/>
      <c r="CK468" s="55"/>
      <c r="CL468" s="55"/>
      <c r="CM468" s="55"/>
      <c r="CN468" s="55"/>
      <c r="CO468" s="55"/>
      <c r="CP468" s="55"/>
      <c r="CQ468" s="55"/>
      <c r="CR468" s="55"/>
      <c r="CS468" s="55"/>
      <c r="CT468" s="55"/>
      <c r="CU468" s="55"/>
      <c r="CV468" s="55"/>
      <c r="CW468" s="55"/>
      <c r="CX468" s="55"/>
      <c r="CY468" s="55"/>
      <c r="CZ468" s="55"/>
      <c r="DA468" s="55"/>
      <c r="DB468" s="55"/>
      <c r="DC468" s="55"/>
      <c r="DD468" s="55"/>
      <c r="DE468" s="55"/>
      <c r="DF468" s="55"/>
      <c r="DG468" s="55"/>
      <c r="DH468" s="55"/>
      <c r="DI468" s="55"/>
    </row>
    <row r="469" spans="1:113" x14ac:dyDescent="0.25">
      <c r="A469" s="380"/>
      <c r="B469" s="340"/>
      <c r="C469" s="341"/>
      <c r="D469" s="381"/>
      <c r="E469" s="344"/>
      <c r="F469" s="350"/>
      <c r="G469" s="356"/>
      <c r="H469" s="346"/>
      <c r="I469" s="345"/>
      <c r="J469" s="345"/>
      <c r="K469" s="347"/>
      <c r="L469" s="388"/>
      <c r="M469" s="389"/>
      <c r="N469" s="390" t="s">
        <v>1036</v>
      </c>
      <c r="O469" s="350" t="s">
        <v>1056</v>
      </c>
      <c r="P469" s="350" t="s">
        <v>1057</v>
      </c>
      <c r="Q469" s="349" t="s">
        <v>1050</v>
      </c>
      <c r="R469" s="349" t="s">
        <v>1002</v>
      </c>
      <c r="S469" s="346"/>
      <c r="T469" s="346"/>
      <c r="U469" s="346"/>
      <c r="V469" s="346"/>
      <c r="W469" s="346"/>
      <c r="X469" s="346"/>
      <c r="Y469" s="346"/>
      <c r="Z469" s="346"/>
      <c r="AA469" s="346"/>
      <c r="AB469" s="346"/>
      <c r="AC469" s="346"/>
      <c r="AD469" s="346"/>
      <c r="AE469" s="346"/>
      <c r="AF469" s="346"/>
      <c r="AG469" s="346"/>
      <c r="AH469" s="346"/>
      <c r="AI469" s="346"/>
      <c r="AJ469" s="346"/>
      <c r="AK469" s="346"/>
      <c r="AL469" s="346"/>
      <c r="AM469" s="346"/>
      <c r="AN469" s="346"/>
      <c r="AO469" s="346"/>
      <c r="AP469" s="346"/>
      <c r="AQ469" s="346"/>
      <c r="AR469" s="346"/>
      <c r="AS469" s="346"/>
      <c r="AT469" s="346"/>
      <c r="AU469" s="346"/>
      <c r="AV469" s="346"/>
      <c r="AW469" s="346"/>
      <c r="AX469" s="346"/>
      <c r="AY469" s="346"/>
      <c r="AZ469" s="346"/>
      <c r="BA469" s="346"/>
      <c r="BB469" s="346"/>
      <c r="BC469" s="346"/>
      <c r="BD469" s="346"/>
      <c r="BE469" s="346"/>
      <c r="BF469" s="346"/>
      <c r="BG469" s="346"/>
      <c r="BH469" s="346"/>
      <c r="BI469" s="346"/>
      <c r="BJ469" s="346"/>
      <c r="BK469" s="346"/>
      <c r="BL469" s="346"/>
      <c r="BM469" s="346"/>
      <c r="BN469" s="346"/>
      <c r="BO469" s="346"/>
      <c r="BP469" s="346"/>
      <c r="BQ469" s="346"/>
      <c r="BR469" s="346"/>
      <c r="BS469" s="346"/>
      <c r="BT469" s="346"/>
      <c r="BU469" s="346"/>
      <c r="BV469" s="346"/>
      <c r="BW469" s="346"/>
      <c r="BX469" s="346"/>
      <c r="BY469" s="346"/>
      <c r="BZ469" s="346"/>
      <c r="CA469" s="346"/>
      <c r="CB469" s="346"/>
      <c r="CC469" s="346"/>
      <c r="CD469" s="346"/>
      <c r="CE469" s="346"/>
      <c r="CF469" s="346"/>
      <c r="CG469" s="346"/>
      <c r="CH469" s="346"/>
      <c r="CI469" s="346"/>
      <c r="CJ469" s="346"/>
      <c r="CK469" s="346"/>
      <c r="CL469" s="346"/>
      <c r="CM469" s="346"/>
      <c r="CN469" s="346"/>
      <c r="CO469" s="346"/>
      <c r="CP469" s="346"/>
      <c r="CQ469" s="346"/>
      <c r="CR469" s="346"/>
      <c r="CS469" s="346"/>
      <c r="CT469" s="346"/>
      <c r="CU469" s="346"/>
      <c r="CV469" s="346"/>
      <c r="CW469" s="346"/>
      <c r="CX469" s="346"/>
      <c r="CY469" s="346"/>
      <c r="CZ469" s="346"/>
      <c r="DA469" s="346"/>
      <c r="DB469" s="346"/>
      <c r="DC469" s="346"/>
      <c r="DD469" s="346"/>
      <c r="DE469" s="346"/>
      <c r="DF469" s="346"/>
      <c r="DG469" s="346"/>
      <c r="DH469" s="346"/>
      <c r="DI469" s="346"/>
    </row>
    <row r="470" spans="1:113" x14ac:dyDescent="0.25">
      <c r="A470" s="152">
        <v>13</v>
      </c>
      <c r="B470" s="79" t="s">
        <v>757</v>
      </c>
      <c r="C470" s="80">
        <f>+'[5]KEL C-2'!$HC$4</f>
        <v>8500</v>
      </c>
      <c r="D470" s="142">
        <v>1770</v>
      </c>
      <c r="E470" s="43">
        <v>75</v>
      </c>
      <c r="F470" s="60"/>
      <c r="G470" s="139">
        <f t="shared" si="120"/>
        <v>75</v>
      </c>
      <c r="H470" s="55"/>
      <c r="I470" s="56">
        <f t="shared" si="121"/>
        <v>75</v>
      </c>
      <c r="J470" s="56">
        <f t="shared" si="122"/>
        <v>637500</v>
      </c>
      <c r="K470" s="57">
        <f t="shared" si="123"/>
        <v>132750</v>
      </c>
      <c r="L470" s="388"/>
      <c r="M470" s="391">
        <f t="shared" si="119"/>
        <v>288</v>
      </c>
      <c r="N470" s="390">
        <v>21</v>
      </c>
      <c r="O470" s="60">
        <v>50</v>
      </c>
      <c r="P470" s="60">
        <v>50</v>
      </c>
      <c r="Q470" s="315">
        <v>90</v>
      </c>
      <c r="R470" s="315">
        <v>77</v>
      </c>
      <c r="S470" s="55"/>
      <c r="T470" s="55"/>
      <c r="U470" s="55"/>
      <c r="V470" s="55"/>
      <c r="W470" s="55"/>
      <c r="X470" s="55"/>
      <c r="Y470" s="55"/>
      <c r="Z470" s="55"/>
      <c r="AA470" s="55"/>
      <c r="AB470" s="55"/>
      <c r="AC470" s="55"/>
      <c r="AD470" s="55"/>
      <c r="AE470" s="55"/>
      <c r="AF470" s="55"/>
      <c r="AG470" s="55"/>
      <c r="AH470" s="55"/>
      <c r="AI470" s="55"/>
      <c r="AJ470" s="55"/>
      <c r="AK470" s="55"/>
      <c r="AL470" s="55"/>
      <c r="AM470" s="55"/>
      <c r="AN470" s="55"/>
      <c r="AO470" s="55"/>
      <c r="AP470" s="55"/>
      <c r="AQ470" s="55"/>
      <c r="AR470" s="55"/>
      <c r="AS470" s="55"/>
      <c r="AT470" s="55"/>
      <c r="AU470" s="55"/>
      <c r="AV470" s="55"/>
      <c r="AW470" s="55"/>
      <c r="AX470" s="55"/>
      <c r="AY470" s="55"/>
      <c r="AZ470" s="55"/>
      <c r="BA470" s="55"/>
      <c r="BB470" s="55"/>
      <c r="BC470" s="55"/>
      <c r="BD470" s="55"/>
      <c r="BE470" s="55"/>
      <c r="BF470" s="55"/>
      <c r="BG470" s="55"/>
      <c r="BH470" s="55"/>
      <c r="BI470" s="55"/>
      <c r="BJ470" s="55"/>
      <c r="BK470" s="55"/>
      <c r="BL470" s="55"/>
      <c r="BM470" s="55"/>
      <c r="BN470" s="55"/>
      <c r="BO470" s="55"/>
      <c r="BP470" s="55"/>
      <c r="BQ470" s="55"/>
      <c r="BR470" s="55"/>
      <c r="BS470" s="55"/>
      <c r="BT470" s="55"/>
      <c r="BU470" s="55"/>
      <c r="BV470" s="55"/>
      <c r="BW470" s="55"/>
      <c r="BX470" s="55"/>
      <c r="BY470" s="55"/>
      <c r="BZ470" s="55"/>
      <c r="CA470" s="55"/>
      <c r="CB470" s="55"/>
      <c r="CC470" s="55"/>
      <c r="CD470" s="55"/>
      <c r="CE470" s="55"/>
      <c r="CF470" s="55"/>
      <c r="CG470" s="55"/>
      <c r="CH470" s="55"/>
      <c r="CI470" s="55"/>
      <c r="CJ470" s="55"/>
      <c r="CK470" s="55"/>
      <c r="CL470" s="55"/>
      <c r="CM470" s="55"/>
      <c r="CN470" s="55"/>
      <c r="CO470" s="55"/>
      <c r="CP470" s="55"/>
      <c r="CQ470" s="55"/>
      <c r="CR470" s="55"/>
      <c r="CS470" s="55"/>
      <c r="CT470" s="55"/>
      <c r="CU470" s="55"/>
      <c r="CV470" s="55"/>
      <c r="CW470" s="55"/>
      <c r="CX470" s="55"/>
      <c r="CY470" s="55"/>
      <c r="CZ470" s="55"/>
      <c r="DA470" s="55"/>
      <c r="DB470" s="55"/>
      <c r="DC470" s="55"/>
      <c r="DD470" s="55"/>
      <c r="DE470" s="55"/>
      <c r="DF470" s="55"/>
      <c r="DG470" s="55"/>
      <c r="DH470" s="55"/>
      <c r="DI470" s="55"/>
    </row>
    <row r="471" spans="1:113" x14ac:dyDescent="0.25">
      <c r="A471" s="380"/>
      <c r="B471" s="340"/>
      <c r="C471" s="341"/>
      <c r="D471" s="381"/>
      <c r="E471" s="344"/>
      <c r="F471" s="350"/>
      <c r="G471" s="356"/>
      <c r="H471" s="346"/>
      <c r="I471" s="345"/>
      <c r="J471" s="345"/>
      <c r="K471" s="347"/>
      <c r="L471" s="388"/>
      <c r="M471" s="389"/>
      <c r="N471" s="390" t="s">
        <v>1054</v>
      </c>
      <c r="O471" s="350" t="s">
        <v>1002</v>
      </c>
      <c r="P471" s="350" t="s">
        <v>1002</v>
      </c>
      <c r="Q471" s="349" t="s">
        <v>1044</v>
      </c>
      <c r="R471" s="349"/>
      <c r="S471" s="346"/>
      <c r="T471" s="346"/>
      <c r="U471" s="346"/>
      <c r="V471" s="346"/>
      <c r="W471" s="346"/>
      <c r="X471" s="346"/>
      <c r="Y471" s="346"/>
      <c r="Z471" s="346"/>
      <c r="AA471" s="346"/>
      <c r="AB471" s="346"/>
      <c r="AC471" s="346"/>
      <c r="AD471" s="346"/>
      <c r="AE471" s="346"/>
      <c r="AF471" s="346"/>
      <c r="AG471" s="346"/>
      <c r="AH471" s="346"/>
      <c r="AI471" s="346"/>
      <c r="AJ471" s="346"/>
      <c r="AK471" s="346"/>
      <c r="AL471" s="346"/>
      <c r="AM471" s="346"/>
      <c r="AN471" s="346"/>
      <c r="AO471" s="346"/>
      <c r="AP471" s="346"/>
      <c r="AQ471" s="346"/>
      <c r="AR471" s="346"/>
      <c r="AS471" s="346"/>
      <c r="AT471" s="346"/>
      <c r="AU471" s="346"/>
      <c r="AV471" s="346"/>
      <c r="AW471" s="346"/>
      <c r="AX471" s="346"/>
      <c r="AY471" s="346"/>
      <c r="AZ471" s="346"/>
      <c r="BA471" s="346"/>
      <c r="BB471" s="346"/>
      <c r="BC471" s="346"/>
      <c r="BD471" s="346"/>
      <c r="BE471" s="346"/>
      <c r="BF471" s="346"/>
      <c r="BG471" s="346"/>
      <c r="BH471" s="346"/>
      <c r="BI471" s="346"/>
      <c r="BJ471" s="346"/>
      <c r="BK471" s="346"/>
      <c r="BL471" s="346"/>
      <c r="BM471" s="346"/>
      <c r="BN471" s="346"/>
      <c r="BO471" s="346"/>
      <c r="BP471" s="346"/>
      <c r="BQ471" s="346"/>
      <c r="BR471" s="346"/>
      <c r="BS471" s="346"/>
      <c r="BT471" s="346"/>
      <c r="BU471" s="346"/>
      <c r="BV471" s="346"/>
      <c r="BW471" s="346"/>
      <c r="BX471" s="346"/>
      <c r="BY471" s="346"/>
      <c r="BZ471" s="346"/>
      <c r="CA471" s="346"/>
      <c r="CB471" s="346"/>
      <c r="CC471" s="346"/>
      <c r="CD471" s="346"/>
      <c r="CE471" s="346"/>
      <c r="CF471" s="346"/>
      <c r="CG471" s="346"/>
      <c r="CH471" s="346"/>
      <c r="CI471" s="346"/>
      <c r="CJ471" s="346"/>
      <c r="CK471" s="346"/>
      <c r="CL471" s="346"/>
      <c r="CM471" s="346"/>
      <c r="CN471" s="346"/>
      <c r="CO471" s="346"/>
      <c r="CP471" s="346"/>
      <c r="CQ471" s="346"/>
      <c r="CR471" s="346"/>
      <c r="CS471" s="346"/>
      <c r="CT471" s="346"/>
      <c r="CU471" s="346"/>
      <c r="CV471" s="346"/>
      <c r="CW471" s="346"/>
      <c r="CX471" s="346"/>
      <c r="CY471" s="346"/>
      <c r="CZ471" s="346"/>
      <c r="DA471" s="346"/>
      <c r="DB471" s="346"/>
      <c r="DC471" s="346"/>
      <c r="DD471" s="346"/>
      <c r="DE471" s="346"/>
      <c r="DF471" s="346"/>
      <c r="DG471" s="346"/>
      <c r="DH471" s="346"/>
      <c r="DI471" s="346"/>
    </row>
    <row r="472" spans="1:113" x14ac:dyDescent="0.25">
      <c r="A472" s="152">
        <v>14</v>
      </c>
      <c r="B472" s="79" t="s">
        <v>758</v>
      </c>
      <c r="C472" s="80">
        <v>17500</v>
      </c>
      <c r="D472" s="34">
        <v>2323.2399999999998</v>
      </c>
      <c r="E472" s="80">
        <v>200</v>
      </c>
      <c r="F472" s="60"/>
      <c r="G472" s="139">
        <f t="shared" si="120"/>
        <v>200</v>
      </c>
      <c r="H472" s="55"/>
      <c r="I472" s="56">
        <f t="shared" si="121"/>
        <v>200</v>
      </c>
      <c r="J472" s="56">
        <f t="shared" si="122"/>
        <v>3500000</v>
      </c>
      <c r="K472" s="57">
        <f t="shared" si="123"/>
        <v>464647.99999999994</v>
      </c>
      <c r="L472" s="388"/>
      <c r="M472" s="391">
        <f t="shared" si="119"/>
        <v>917</v>
      </c>
      <c r="N472" s="390">
        <f>100*8</f>
        <v>800</v>
      </c>
      <c r="O472" s="60">
        <v>40</v>
      </c>
      <c r="P472" s="60">
        <v>27</v>
      </c>
      <c r="Q472" s="315">
        <v>50</v>
      </c>
      <c r="R472" s="315"/>
      <c r="S472" s="55"/>
      <c r="T472" s="55"/>
      <c r="U472" s="55"/>
      <c r="V472" s="55"/>
      <c r="W472" s="55"/>
      <c r="X472" s="55"/>
      <c r="Y472" s="55"/>
      <c r="Z472" s="55"/>
      <c r="AA472" s="55"/>
      <c r="AB472" s="55"/>
      <c r="AC472" s="55"/>
      <c r="AD472" s="55"/>
      <c r="AE472" s="55"/>
      <c r="AF472" s="55"/>
      <c r="AG472" s="55"/>
      <c r="AH472" s="55"/>
      <c r="AI472" s="55"/>
      <c r="AJ472" s="55"/>
      <c r="AK472" s="55"/>
      <c r="AL472" s="55"/>
      <c r="AM472" s="55"/>
      <c r="AN472" s="55"/>
      <c r="AO472" s="55"/>
      <c r="AP472" s="55"/>
      <c r="AQ472" s="55"/>
      <c r="AR472" s="55"/>
      <c r="AS472" s="55"/>
      <c r="AT472" s="55"/>
      <c r="AU472" s="55"/>
      <c r="AV472" s="55"/>
      <c r="AW472" s="55"/>
      <c r="AX472" s="55"/>
      <c r="AY472" s="55"/>
      <c r="AZ472" s="55"/>
      <c r="BA472" s="55"/>
      <c r="BB472" s="55"/>
      <c r="BC472" s="55"/>
      <c r="BD472" s="55"/>
      <c r="BE472" s="55"/>
      <c r="BF472" s="55"/>
      <c r="BG472" s="55"/>
      <c r="BH472" s="55"/>
      <c r="BI472" s="55"/>
      <c r="BJ472" s="55"/>
      <c r="BK472" s="55"/>
      <c r="BL472" s="55"/>
      <c r="BM472" s="55"/>
      <c r="BN472" s="55"/>
      <c r="BO472" s="55"/>
      <c r="BP472" s="55"/>
      <c r="BQ472" s="55"/>
      <c r="BR472" s="55"/>
      <c r="BS472" s="55"/>
      <c r="BT472" s="55"/>
      <c r="BU472" s="55"/>
      <c r="BV472" s="55"/>
      <c r="BW472" s="55"/>
      <c r="BX472" s="55"/>
      <c r="BY472" s="55"/>
      <c r="BZ472" s="55"/>
      <c r="CA472" s="55"/>
      <c r="CB472" s="55"/>
      <c r="CC472" s="55"/>
      <c r="CD472" s="55"/>
      <c r="CE472" s="55"/>
      <c r="CF472" s="55"/>
      <c r="CG472" s="55"/>
      <c r="CH472" s="55"/>
      <c r="CI472" s="55"/>
      <c r="CJ472" s="55"/>
      <c r="CK472" s="55"/>
      <c r="CL472" s="55"/>
      <c r="CM472" s="55"/>
      <c r="CN472" s="55"/>
      <c r="CO472" s="55"/>
      <c r="CP472" s="55"/>
      <c r="CQ472" s="55"/>
      <c r="CR472" s="55"/>
      <c r="CS472" s="55"/>
      <c r="CT472" s="55"/>
      <c r="CU472" s="55"/>
      <c r="CV472" s="55"/>
      <c r="CW472" s="55"/>
      <c r="CX472" s="55"/>
      <c r="CY472" s="55"/>
      <c r="CZ472" s="55"/>
      <c r="DA472" s="55"/>
      <c r="DB472" s="55"/>
      <c r="DC472" s="55"/>
      <c r="DD472" s="55"/>
      <c r="DE472" s="55"/>
      <c r="DF472" s="55"/>
      <c r="DG472" s="55"/>
      <c r="DH472" s="55"/>
      <c r="DI472" s="55"/>
    </row>
    <row r="473" spans="1:113" x14ac:dyDescent="0.25">
      <c r="A473" s="152">
        <v>15</v>
      </c>
      <c r="B473" s="79" t="s">
        <v>634</v>
      </c>
      <c r="C473" s="80">
        <v>7500</v>
      </c>
      <c r="D473" s="142">
        <f>+'[2]SHP,SP'!$D$762</f>
        <v>2103</v>
      </c>
      <c r="E473" s="80">
        <v>500</v>
      </c>
      <c r="F473" s="60"/>
      <c r="G473" s="139">
        <f t="shared" si="120"/>
        <v>500</v>
      </c>
      <c r="H473" s="55"/>
      <c r="I473" s="56">
        <f t="shared" si="121"/>
        <v>500</v>
      </c>
      <c r="J473" s="56">
        <f t="shared" si="122"/>
        <v>3750000</v>
      </c>
      <c r="K473" s="57">
        <f t="shared" si="123"/>
        <v>1051500</v>
      </c>
      <c r="L473"/>
      <c r="M473" s="314">
        <f t="shared" si="119"/>
        <v>0</v>
      </c>
      <c r="N473" s="310"/>
      <c r="O473" s="315"/>
      <c r="P473" s="315"/>
      <c r="Q473" s="315"/>
      <c r="R473" s="315"/>
      <c r="S473" s="55"/>
      <c r="T473" s="55"/>
      <c r="U473" s="55"/>
      <c r="V473" s="55"/>
      <c r="W473" s="55"/>
      <c r="X473" s="55"/>
      <c r="Y473" s="55"/>
      <c r="Z473" s="55"/>
      <c r="AA473" s="55"/>
      <c r="AB473" s="55"/>
      <c r="AC473" s="55"/>
      <c r="AD473" s="55"/>
      <c r="AE473" s="55"/>
      <c r="AF473" s="55"/>
      <c r="AG473" s="55"/>
      <c r="AH473" s="55"/>
      <c r="AI473" s="55"/>
      <c r="AJ473" s="55"/>
      <c r="AK473" s="55"/>
      <c r="AL473" s="55"/>
      <c r="AM473" s="55"/>
      <c r="AN473" s="55"/>
      <c r="AO473" s="55"/>
      <c r="AP473" s="55"/>
      <c r="AQ473" s="55"/>
      <c r="AR473" s="55"/>
      <c r="AS473" s="55"/>
      <c r="AT473" s="55"/>
      <c r="AU473" s="55"/>
      <c r="AV473" s="55"/>
      <c r="AW473" s="55"/>
      <c r="AX473" s="55"/>
      <c r="AY473" s="55"/>
      <c r="AZ473" s="55"/>
      <c r="BA473" s="55"/>
      <c r="BB473" s="55"/>
      <c r="BC473" s="55"/>
      <c r="BD473" s="55"/>
      <c r="BE473" s="55"/>
      <c r="BF473" s="55"/>
      <c r="BG473" s="55"/>
      <c r="BH473" s="55"/>
      <c r="BI473" s="55"/>
      <c r="BJ473" s="55"/>
      <c r="BK473" s="55"/>
      <c r="BL473" s="55"/>
      <c r="BM473" s="55"/>
      <c r="BN473" s="55"/>
      <c r="BO473" s="55"/>
      <c r="BP473" s="55"/>
      <c r="BQ473" s="55"/>
      <c r="BR473" s="55"/>
      <c r="BS473" s="55"/>
      <c r="BT473" s="55"/>
      <c r="BU473" s="55"/>
      <c r="BV473" s="55"/>
      <c r="BW473" s="55"/>
      <c r="BX473" s="55"/>
      <c r="BY473" s="55"/>
      <c r="BZ473" s="55"/>
      <c r="CA473" s="55"/>
      <c r="CB473" s="55"/>
      <c r="CC473" s="55"/>
      <c r="CD473" s="55"/>
      <c r="CE473" s="55"/>
      <c r="CF473" s="55"/>
      <c r="CG473" s="55"/>
      <c r="CH473" s="55"/>
      <c r="CI473" s="55"/>
      <c r="CJ473" s="55"/>
      <c r="CK473" s="55"/>
      <c r="CL473" s="55"/>
      <c r="CM473" s="55"/>
      <c r="CN473" s="55"/>
      <c r="CO473" s="55"/>
      <c r="CP473" s="55"/>
      <c r="CQ473" s="55"/>
      <c r="CR473" s="55"/>
      <c r="CS473" s="55"/>
      <c r="CT473" s="55"/>
      <c r="CU473" s="55"/>
      <c r="CV473" s="55"/>
      <c r="CW473" s="55"/>
      <c r="CX473" s="55"/>
      <c r="CY473" s="55"/>
      <c r="CZ473" s="55"/>
      <c r="DA473" s="55"/>
      <c r="DB473" s="55"/>
      <c r="DC473" s="55"/>
      <c r="DD473" s="55"/>
      <c r="DE473" s="55"/>
      <c r="DF473" s="55"/>
      <c r="DG473" s="55"/>
      <c r="DH473" s="55"/>
      <c r="DI473" s="55"/>
    </row>
    <row r="474" spans="1:113" x14ac:dyDescent="0.25">
      <c r="A474" s="152">
        <v>16</v>
      </c>
      <c r="B474" s="79" t="s">
        <v>449</v>
      </c>
      <c r="C474" s="80">
        <v>6000</v>
      </c>
      <c r="D474" s="191">
        <v>2422.6999999999998</v>
      </c>
      <c r="E474" s="80">
        <v>1000</v>
      </c>
      <c r="F474" s="60"/>
      <c r="G474" s="139">
        <f t="shared" si="120"/>
        <v>1000</v>
      </c>
      <c r="H474" s="55"/>
      <c r="I474" s="56">
        <f t="shared" si="121"/>
        <v>1000</v>
      </c>
      <c r="J474" s="56">
        <f t="shared" si="122"/>
        <v>6000000</v>
      </c>
      <c r="K474" s="57">
        <f t="shared" si="123"/>
        <v>2422700</v>
      </c>
      <c r="L474"/>
      <c r="M474" s="314">
        <f t="shared" si="119"/>
        <v>0</v>
      </c>
      <c r="N474" s="310"/>
      <c r="O474" s="315"/>
      <c r="P474" s="315"/>
      <c r="Q474" s="315"/>
      <c r="R474" s="315"/>
      <c r="S474" s="55"/>
      <c r="T474" s="55"/>
      <c r="U474" s="55"/>
      <c r="V474" s="55"/>
      <c r="W474" s="55"/>
      <c r="X474" s="55"/>
      <c r="Y474" s="55"/>
      <c r="Z474" s="55"/>
      <c r="AA474" s="55"/>
      <c r="AB474" s="55"/>
      <c r="AC474" s="55"/>
      <c r="AD474" s="55"/>
      <c r="AE474" s="55"/>
      <c r="AF474" s="55"/>
      <c r="AG474" s="55"/>
      <c r="AH474" s="55"/>
      <c r="AI474" s="55"/>
      <c r="AJ474" s="55"/>
      <c r="AK474" s="55"/>
      <c r="AL474" s="55"/>
      <c r="AM474" s="55"/>
      <c r="AN474" s="55"/>
      <c r="AO474" s="55"/>
      <c r="AP474" s="55"/>
      <c r="AQ474" s="55"/>
      <c r="AR474" s="55"/>
      <c r="AS474" s="55"/>
      <c r="AT474" s="55"/>
      <c r="AU474" s="55"/>
      <c r="AV474" s="55"/>
      <c r="AW474" s="55"/>
      <c r="AX474" s="55"/>
      <c r="AY474" s="55"/>
      <c r="AZ474" s="55"/>
      <c r="BA474" s="55"/>
      <c r="BB474" s="55"/>
      <c r="BC474" s="55"/>
      <c r="BD474" s="55"/>
      <c r="BE474" s="55"/>
      <c r="BF474" s="55"/>
      <c r="BG474" s="55"/>
      <c r="BH474" s="55"/>
      <c r="BI474" s="55"/>
      <c r="BJ474" s="55"/>
      <c r="BK474" s="55"/>
      <c r="BL474" s="55"/>
      <c r="BM474" s="55"/>
      <c r="BN474" s="55"/>
      <c r="BO474" s="55"/>
      <c r="BP474" s="55"/>
      <c r="BQ474" s="55"/>
      <c r="BR474" s="55"/>
      <c r="BS474" s="55"/>
      <c r="BT474" s="55"/>
      <c r="BU474" s="55"/>
      <c r="BV474" s="55"/>
      <c r="BW474" s="55"/>
      <c r="BX474" s="55"/>
      <c r="BY474" s="55"/>
      <c r="BZ474" s="55"/>
      <c r="CA474" s="55"/>
      <c r="CB474" s="55"/>
      <c r="CC474" s="55"/>
      <c r="CD474" s="55"/>
      <c r="CE474" s="55"/>
      <c r="CF474" s="55"/>
      <c r="CG474" s="55"/>
      <c r="CH474" s="55"/>
      <c r="CI474" s="55"/>
      <c r="CJ474" s="55"/>
      <c r="CK474" s="55"/>
      <c r="CL474" s="55"/>
      <c r="CM474" s="55"/>
      <c r="CN474" s="55"/>
      <c r="CO474" s="55"/>
      <c r="CP474" s="55"/>
      <c r="CQ474" s="55"/>
      <c r="CR474" s="55"/>
      <c r="CS474" s="55"/>
      <c r="CT474" s="55"/>
      <c r="CU474" s="55"/>
      <c r="CV474" s="55"/>
      <c r="CW474" s="55"/>
      <c r="CX474" s="55"/>
      <c r="CY474" s="55"/>
      <c r="CZ474" s="55"/>
      <c r="DA474" s="55"/>
      <c r="DB474" s="55"/>
      <c r="DC474" s="55"/>
      <c r="DD474" s="55"/>
      <c r="DE474" s="55"/>
      <c r="DF474" s="55"/>
      <c r="DG474" s="55"/>
      <c r="DH474" s="55"/>
      <c r="DI474" s="55"/>
    </row>
    <row r="475" spans="1:113" x14ac:dyDescent="0.25">
      <c r="A475" s="152">
        <v>17</v>
      </c>
      <c r="B475" s="60" t="s">
        <v>450</v>
      </c>
      <c r="C475" s="43">
        <v>7500</v>
      </c>
      <c r="D475" s="34">
        <v>1980</v>
      </c>
      <c r="E475" s="43">
        <v>500</v>
      </c>
      <c r="F475" s="60"/>
      <c r="G475" s="139">
        <f t="shared" si="120"/>
        <v>500</v>
      </c>
      <c r="H475" s="55"/>
      <c r="I475" s="56">
        <f t="shared" si="121"/>
        <v>500</v>
      </c>
      <c r="J475" s="56">
        <f t="shared" si="122"/>
        <v>3750000</v>
      </c>
      <c r="K475" s="57">
        <f t="shared" si="123"/>
        <v>990000</v>
      </c>
      <c r="L475"/>
      <c r="M475" s="314">
        <f t="shared" si="119"/>
        <v>0</v>
      </c>
      <c r="N475" s="310"/>
      <c r="O475" s="315"/>
      <c r="P475" s="315"/>
      <c r="Q475" s="315"/>
      <c r="R475" s="315"/>
      <c r="S475" s="55"/>
      <c r="T475" s="55"/>
      <c r="U475" s="55"/>
      <c r="V475" s="55"/>
      <c r="W475" s="55"/>
      <c r="X475" s="55"/>
      <c r="Y475" s="55"/>
      <c r="Z475" s="55"/>
      <c r="AA475" s="55"/>
      <c r="AB475" s="55"/>
      <c r="AC475" s="55"/>
      <c r="AD475" s="55"/>
      <c r="AE475" s="55"/>
      <c r="AF475" s="55"/>
      <c r="AG475" s="55"/>
      <c r="AH475" s="55"/>
      <c r="AI475" s="55"/>
      <c r="AJ475" s="55"/>
      <c r="AK475" s="55"/>
      <c r="AL475" s="55"/>
      <c r="AM475" s="55"/>
      <c r="AN475" s="55"/>
      <c r="AO475" s="55"/>
      <c r="AP475" s="55"/>
      <c r="AQ475" s="55"/>
      <c r="AR475" s="55"/>
      <c r="AS475" s="55"/>
      <c r="AT475" s="55"/>
      <c r="AU475" s="55"/>
      <c r="AV475" s="55"/>
      <c r="AW475" s="55"/>
      <c r="AX475" s="55"/>
      <c r="AY475" s="55"/>
      <c r="AZ475" s="55"/>
      <c r="BA475" s="55"/>
      <c r="BB475" s="55"/>
      <c r="BC475" s="55"/>
      <c r="BD475" s="55"/>
      <c r="BE475" s="55"/>
      <c r="BF475" s="55"/>
      <c r="BG475" s="55"/>
      <c r="BH475" s="55"/>
      <c r="BI475" s="55"/>
      <c r="BJ475" s="55"/>
      <c r="BK475" s="55"/>
      <c r="BL475" s="55"/>
      <c r="BM475" s="55"/>
      <c r="BN475" s="55"/>
      <c r="BO475" s="55"/>
      <c r="BP475" s="55"/>
      <c r="BQ475" s="55"/>
      <c r="BR475" s="55"/>
      <c r="BS475" s="55"/>
      <c r="BT475" s="55"/>
      <c r="BU475" s="55"/>
      <c r="BV475" s="55"/>
      <c r="BW475" s="55"/>
      <c r="BX475" s="55"/>
      <c r="BY475" s="55"/>
      <c r="BZ475" s="55"/>
      <c r="CA475" s="55"/>
      <c r="CB475" s="55"/>
      <c r="CC475" s="55"/>
      <c r="CD475" s="55"/>
      <c r="CE475" s="55"/>
      <c r="CF475" s="55"/>
      <c r="CG475" s="55"/>
      <c r="CH475" s="55"/>
      <c r="CI475" s="55"/>
      <c r="CJ475" s="55"/>
      <c r="CK475" s="55"/>
      <c r="CL475" s="55"/>
      <c r="CM475" s="55"/>
      <c r="CN475" s="55"/>
      <c r="CO475" s="55"/>
      <c r="CP475" s="55"/>
      <c r="CQ475" s="55"/>
      <c r="CR475" s="55"/>
      <c r="CS475" s="55"/>
      <c r="CT475" s="55"/>
      <c r="CU475" s="55"/>
      <c r="CV475" s="55"/>
      <c r="CW475" s="55"/>
      <c r="CX475" s="55"/>
      <c r="CY475" s="55"/>
      <c r="CZ475" s="55"/>
      <c r="DA475" s="55"/>
      <c r="DB475" s="55"/>
      <c r="DC475" s="55"/>
      <c r="DD475" s="55"/>
      <c r="DE475" s="55"/>
      <c r="DF475" s="55"/>
      <c r="DG475" s="55"/>
      <c r="DH475" s="55"/>
      <c r="DI475" s="55"/>
    </row>
    <row r="476" spans="1:113" x14ac:dyDescent="0.25">
      <c r="A476" s="380"/>
      <c r="B476" s="350"/>
      <c r="C476" s="344"/>
      <c r="D476" s="383"/>
      <c r="E476" s="344"/>
      <c r="F476" s="350"/>
      <c r="G476" s="356"/>
      <c r="H476" s="346"/>
      <c r="I476" s="345"/>
      <c r="J476" s="345"/>
      <c r="K476" s="347"/>
      <c r="L476"/>
      <c r="M476" s="348"/>
      <c r="N476" s="310" t="s">
        <v>1002</v>
      </c>
      <c r="O476" s="349" t="s">
        <v>1044</v>
      </c>
      <c r="P476" s="349"/>
      <c r="Q476" s="349"/>
      <c r="R476" s="349"/>
      <c r="S476" s="346"/>
      <c r="T476" s="346"/>
      <c r="U476" s="346"/>
      <c r="V476" s="346"/>
      <c r="W476" s="346"/>
      <c r="X476" s="346"/>
      <c r="Y476" s="346"/>
      <c r="Z476" s="346"/>
      <c r="AA476" s="346"/>
      <c r="AB476" s="346"/>
      <c r="AC476" s="346"/>
      <c r="AD476" s="346"/>
      <c r="AE476" s="346"/>
      <c r="AF476" s="346"/>
      <c r="AG476" s="346"/>
      <c r="AH476" s="346"/>
      <c r="AI476" s="346"/>
      <c r="AJ476" s="346"/>
      <c r="AK476" s="346"/>
      <c r="AL476" s="346"/>
      <c r="AM476" s="346"/>
      <c r="AN476" s="346"/>
      <c r="AO476" s="346"/>
      <c r="AP476" s="346"/>
      <c r="AQ476" s="346"/>
      <c r="AR476" s="346"/>
      <c r="AS476" s="346"/>
      <c r="AT476" s="346"/>
      <c r="AU476" s="346"/>
      <c r="AV476" s="346"/>
      <c r="AW476" s="346"/>
      <c r="AX476" s="346"/>
      <c r="AY476" s="346"/>
      <c r="AZ476" s="346"/>
      <c r="BA476" s="346"/>
      <c r="BB476" s="346"/>
      <c r="BC476" s="346"/>
      <c r="BD476" s="346"/>
      <c r="BE476" s="346"/>
      <c r="BF476" s="346"/>
      <c r="BG476" s="346"/>
      <c r="BH476" s="346"/>
      <c r="BI476" s="346"/>
      <c r="BJ476" s="346"/>
      <c r="BK476" s="346"/>
      <c r="BL476" s="346"/>
      <c r="BM476" s="346"/>
      <c r="BN476" s="346"/>
      <c r="BO476" s="346"/>
      <c r="BP476" s="346"/>
      <c r="BQ476" s="346"/>
      <c r="BR476" s="346"/>
      <c r="BS476" s="346"/>
      <c r="BT476" s="346"/>
      <c r="BU476" s="346"/>
      <c r="BV476" s="346"/>
      <c r="BW476" s="346"/>
      <c r="BX476" s="346"/>
      <c r="BY476" s="346"/>
      <c r="BZ476" s="346"/>
      <c r="CA476" s="346"/>
      <c r="CB476" s="346"/>
      <c r="CC476" s="346"/>
      <c r="CD476" s="346"/>
      <c r="CE476" s="346"/>
      <c r="CF476" s="346"/>
      <c r="CG476" s="346"/>
      <c r="CH476" s="346"/>
      <c r="CI476" s="346"/>
      <c r="CJ476" s="346"/>
      <c r="CK476" s="346"/>
      <c r="CL476" s="346"/>
      <c r="CM476" s="346"/>
      <c r="CN476" s="346"/>
      <c r="CO476" s="346"/>
      <c r="CP476" s="346"/>
      <c r="CQ476" s="346"/>
      <c r="CR476" s="346"/>
      <c r="CS476" s="346"/>
      <c r="CT476" s="346"/>
      <c r="CU476" s="346"/>
      <c r="CV476" s="346"/>
      <c r="CW476" s="346"/>
      <c r="CX476" s="346"/>
      <c r="CY476" s="346"/>
      <c r="CZ476" s="346"/>
      <c r="DA476" s="346"/>
      <c r="DB476" s="346"/>
      <c r="DC476" s="346"/>
      <c r="DD476" s="346"/>
      <c r="DE476" s="346"/>
      <c r="DF476" s="346"/>
      <c r="DG476" s="346"/>
      <c r="DH476" s="346"/>
      <c r="DI476" s="346"/>
    </row>
    <row r="477" spans="1:113" x14ac:dyDescent="0.25">
      <c r="A477" s="152">
        <v>18</v>
      </c>
      <c r="B477" s="60" t="s">
        <v>558</v>
      </c>
      <c r="C477" s="43">
        <v>12500</v>
      </c>
      <c r="D477" s="34"/>
      <c r="E477" s="43">
        <v>200</v>
      </c>
      <c r="F477" s="60"/>
      <c r="G477" s="139">
        <f t="shared" si="120"/>
        <v>200</v>
      </c>
      <c r="H477" s="55"/>
      <c r="I477" s="56">
        <f t="shared" si="121"/>
        <v>200</v>
      </c>
      <c r="J477" s="56">
        <f t="shared" si="122"/>
        <v>2500000</v>
      </c>
      <c r="K477" s="57">
        <f t="shared" si="123"/>
        <v>0</v>
      </c>
      <c r="L477"/>
      <c r="M477" s="314">
        <f t="shared" si="119"/>
        <v>93</v>
      </c>
      <c r="N477" s="310">
        <v>43</v>
      </c>
      <c r="O477" s="315">
        <v>50</v>
      </c>
      <c r="P477" s="315"/>
      <c r="Q477" s="315"/>
      <c r="R477" s="315"/>
      <c r="S477" s="55"/>
      <c r="T477" s="55"/>
      <c r="U477" s="55"/>
      <c r="V477" s="55"/>
      <c r="W477" s="55"/>
      <c r="X477" s="55"/>
      <c r="Y477" s="55"/>
      <c r="Z477" s="55"/>
      <c r="AA477" s="55"/>
      <c r="AB477" s="55"/>
      <c r="AC477" s="55"/>
      <c r="AD477" s="55"/>
      <c r="AE477" s="55"/>
      <c r="AF477" s="55"/>
      <c r="AG477" s="55"/>
      <c r="AH477" s="55"/>
      <c r="AI477" s="55"/>
      <c r="AJ477" s="55"/>
      <c r="AK477" s="55"/>
      <c r="AL477" s="55"/>
      <c r="AM477" s="55"/>
      <c r="AN477" s="55"/>
      <c r="AO477" s="55"/>
      <c r="AP477" s="55"/>
      <c r="AQ477" s="55"/>
      <c r="AR477" s="55"/>
      <c r="AS477" s="55"/>
      <c r="AT477" s="55"/>
      <c r="AU477" s="55"/>
      <c r="AV477" s="55"/>
      <c r="AW477" s="55"/>
      <c r="AX477" s="55"/>
      <c r="AY477" s="55"/>
      <c r="AZ477" s="55"/>
      <c r="BA477" s="55"/>
      <c r="BB477" s="55"/>
      <c r="BC477" s="55"/>
      <c r="BD477" s="55"/>
      <c r="BE477" s="55"/>
      <c r="BF477" s="55"/>
      <c r="BG477" s="55"/>
      <c r="BH477" s="55"/>
      <c r="BI477" s="55"/>
      <c r="BJ477" s="55"/>
      <c r="BK477" s="55"/>
      <c r="BL477" s="55"/>
      <c r="BM477" s="55"/>
      <c r="BN477" s="55"/>
      <c r="BO477" s="55"/>
      <c r="BP477" s="55"/>
      <c r="BQ477" s="55"/>
      <c r="BR477" s="55"/>
      <c r="BS477" s="55"/>
      <c r="BT477" s="55"/>
      <c r="BU477" s="55"/>
      <c r="BV477" s="55"/>
      <c r="BW477" s="55"/>
      <c r="BX477" s="55"/>
      <c r="BY477" s="55"/>
      <c r="BZ477" s="55"/>
      <c r="CA477" s="55"/>
      <c r="CB477" s="55"/>
      <c r="CC477" s="55"/>
      <c r="CD477" s="55"/>
      <c r="CE477" s="55"/>
      <c r="CF477" s="55"/>
      <c r="CG477" s="55"/>
      <c r="CH477" s="55"/>
      <c r="CI477" s="55"/>
      <c r="CJ477" s="55"/>
      <c r="CK477" s="55"/>
      <c r="CL477" s="55"/>
      <c r="CM477" s="55"/>
      <c r="CN477" s="55"/>
      <c r="CO477" s="55"/>
      <c r="CP477" s="55"/>
      <c r="CQ477" s="55"/>
      <c r="CR477" s="55"/>
      <c r="CS477" s="55"/>
      <c r="CT477" s="55"/>
      <c r="CU477" s="55"/>
      <c r="CV477" s="55"/>
      <c r="CW477" s="55"/>
      <c r="CX477" s="55"/>
      <c r="CY477" s="55"/>
      <c r="CZ477" s="55"/>
      <c r="DA477" s="55"/>
      <c r="DB477" s="55"/>
      <c r="DC477" s="55"/>
      <c r="DD477" s="55"/>
      <c r="DE477" s="55"/>
      <c r="DF477" s="55"/>
      <c r="DG477" s="55"/>
      <c r="DH477" s="55"/>
      <c r="DI477" s="55"/>
    </row>
    <row r="478" spans="1:113" x14ac:dyDescent="0.25">
      <c r="A478" s="384"/>
      <c r="B478" s="361"/>
      <c r="C478" s="364"/>
      <c r="D478" s="385"/>
      <c r="E478" s="364"/>
      <c r="F478" s="361"/>
      <c r="G478" s="386"/>
      <c r="H478" s="366"/>
      <c r="I478" s="365"/>
      <c r="J478" s="365"/>
      <c r="K478" s="367"/>
      <c r="L478"/>
      <c r="M478" s="348"/>
      <c r="N478" s="310" t="s">
        <v>1002</v>
      </c>
      <c r="O478" s="349" t="s">
        <v>1044</v>
      </c>
      <c r="P478" s="349" t="s">
        <v>1050</v>
      </c>
      <c r="Q478" s="349"/>
      <c r="R478" s="349"/>
      <c r="S478" s="346"/>
      <c r="T478" s="346"/>
      <c r="U478" s="346"/>
      <c r="V478" s="346"/>
      <c r="W478" s="346"/>
      <c r="X478" s="346"/>
      <c r="Y478" s="346"/>
      <c r="Z478" s="346"/>
      <c r="AA478" s="346"/>
      <c r="AB478" s="346"/>
      <c r="AC478" s="346"/>
      <c r="AD478" s="346"/>
      <c r="AE478" s="346"/>
      <c r="AF478" s="346"/>
      <c r="AG478" s="346"/>
      <c r="AH478" s="346"/>
      <c r="AI478" s="346"/>
      <c r="AJ478" s="346"/>
      <c r="AK478" s="346"/>
      <c r="AL478" s="346"/>
      <c r="AM478" s="346"/>
      <c r="AN478" s="346"/>
      <c r="AO478" s="346"/>
      <c r="AP478" s="346"/>
      <c r="AQ478" s="346"/>
      <c r="AR478" s="346"/>
      <c r="AS478" s="346"/>
      <c r="AT478" s="346"/>
      <c r="AU478" s="346"/>
      <c r="AV478" s="346"/>
      <c r="AW478" s="346"/>
      <c r="AX478" s="346"/>
      <c r="AY478" s="346"/>
      <c r="AZ478" s="346"/>
      <c r="BA478" s="346"/>
      <c r="BB478" s="346"/>
      <c r="BC478" s="346"/>
      <c r="BD478" s="346"/>
      <c r="BE478" s="346"/>
      <c r="BF478" s="346"/>
      <c r="BG478" s="346"/>
      <c r="BH478" s="346"/>
      <c r="BI478" s="346"/>
      <c r="BJ478" s="346"/>
      <c r="BK478" s="346"/>
      <c r="BL478" s="346"/>
      <c r="BM478" s="346"/>
      <c r="BN478" s="346"/>
      <c r="BO478" s="346"/>
      <c r="BP478" s="346"/>
      <c r="BQ478" s="346"/>
      <c r="BR478" s="346"/>
      <c r="BS478" s="346"/>
      <c r="BT478" s="346"/>
      <c r="BU478" s="346"/>
      <c r="BV478" s="346"/>
      <c r="BW478" s="346"/>
      <c r="BX478" s="346"/>
      <c r="BY478" s="346"/>
      <c r="BZ478" s="346"/>
      <c r="CA478" s="346"/>
      <c r="CB478" s="346"/>
      <c r="CC478" s="346"/>
      <c r="CD478" s="346"/>
      <c r="CE478" s="346"/>
      <c r="CF478" s="346"/>
      <c r="CG478" s="346"/>
      <c r="CH478" s="346"/>
      <c r="CI478" s="346"/>
      <c r="CJ478" s="346"/>
      <c r="CK478" s="346"/>
      <c r="CL478" s="346"/>
      <c r="CM478" s="346"/>
      <c r="CN478" s="346"/>
      <c r="CO478" s="346"/>
      <c r="CP478" s="346"/>
      <c r="CQ478" s="346"/>
      <c r="CR478" s="346"/>
      <c r="CS478" s="346"/>
      <c r="CT478" s="346"/>
      <c r="CU478" s="346"/>
      <c r="CV478" s="346"/>
      <c r="CW478" s="346"/>
      <c r="CX478" s="346"/>
      <c r="CY478" s="346"/>
      <c r="CZ478" s="346"/>
      <c r="DA478" s="346"/>
      <c r="DB478" s="346"/>
      <c r="DC478" s="346"/>
      <c r="DD478" s="346"/>
      <c r="DE478" s="346"/>
      <c r="DF478" s="346"/>
      <c r="DG478" s="346"/>
      <c r="DH478" s="346"/>
      <c r="DI478" s="346"/>
    </row>
    <row r="479" spans="1:113" x14ac:dyDescent="0.25">
      <c r="A479" s="170">
        <v>19</v>
      </c>
      <c r="B479" s="121" t="s">
        <v>557</v>
      </c>
      <c r="C479" s="122">
        <v>7500</v>
      </c>
      <c r="D479" s="40"/>
      <c r="E479" s="122">
        <v>200</v>
      </c>
      <c r="F479" s="121"/>
      <c r="G479" s="169">
        <f t="shared" si="120"/>
        <v>200</v>
      </c>
      <c r="H479" s="108"/>
      <c r="I479" s="109">
        <f t="shared" si="121"/>
        <v>200</v>
      </c>
      <c r="J479" s="109">
        <f t="shared" si="122"/>
        <v>1500000</v>
      </c>
      <c r="K479" s="110">
        <f t="shared" si="123"/>
        <v>0</v>
      </c>
      <c r="L479"/>
      <c r="M479" s="314">
        <f t="shared" si="119"/>
        <v>163</v>
      </c>
      <c r="N479" s="310">
        <v>40</v>
      </c>
      <c r="O479" s="315">
        <v>50</v>
      </c>
      <c r="P479" s="315">
        <v>73</v>
      </c>
      <c r="Q479" s="315"/>
      <c r="R479" s="315"/>
      <c r="S479" s="55"/>
      <c r="T479" s="55"/>
      <c r="U479" s="55"/>
      <c r="V479" s="55"/>
      <c r="W479" s="55"/>
      <c r="X479" s="55"/>
      <c r="Y479" s="55"/>
      <c r="Z479" s="55"/>
      <c r="AA479" s="55"/>
      <c r="AB479" s="55"/>
      <c r="AC479" s="55"/>
      <c r="AD479" s="55"/>
      <c r="AE479" s="55"/>
      <c r="AF479" s="55"/>
      <c r="AG479" s="55"/>
      <c r="AH479" s="55"/>
      <c r="AI479" s="55"/>
      <c r="AJ479" s="55"/>
      <c r="AK479" s="55"/>
      <c r="AL479" s="55"/>
      <c r="AM479" s="55"/>
      <c r="AN479" s="55"/>
      <c r="AO479" s="55"/>
      <c r="AP479" s="55"/>
      <c r="AQ479" s="55"/>
      <c r="AR479" s="55"/>
      <c r="AS479" s="55"/>
      <c r="AT479" s="55"/>
      <c r="AU479" s="55"/>
      <c r="AV479" s="55"/>
      <c r="AW479" s="55"/>
      <c r="AX479" s="55"/>
      <c r="AY479" s="55"/>
      <c r="AZ479" s="55"/>
      <c r="BA479" s="55"/>
      <c r="BB479" s="55"/>
      <c r="BC479" s="55"/>
      <c r="BD479" s="55"/>
      <c r="BE479" s="55"/>
      <c r="BF479" s="55"/>
      <c r="BG479" s="55"/>
      <c r="BH479" s="55"/>
      <c r="BI479" s="55"/>
      <c r="BJ479" s="55"/>
      <c r="BK479" s="55"/>
      <c r="BL479" s="55"/>
      <c r="BM479" s="55"/>
      <c r="BN479" s="55"/>
      <c r="BO479" s="55"/>
      <c r="BP479" s="55"/>
      <c r="BQ479" s="55"/>
      <c r="BR479" s="55"/>
      <c r="BS479" s="55"/>
      <c r="BT479" s="55"/>
      <c r="BU479" s="55"/>
      <c r="BV479" s="55"/>
      <c r="BW479" s="55"/>
      <c r="BX479" s="55"/>
      <c r="BY479" s="55"/>
      <c r="BZ479" s="55"/>
      <c r="CA479" s="55"/>
      <c r="CB479" s="55"/>
      <c r="CC479" s="55"/>
      <c r="CD479" s="55"/>
      <c r="CE479" s="55"/>
      <c r="CF479" s="55"/>
      <c r="CG479" s="55"/>
      <c r="CH479" s="55"/>
      <c r="CI479" s="55"/>
      <c r="CJ479" s="55"/>
      <c r="CK479" s="55"/>
      <c r="CL479" s="55"/>
      <c r="CM479" s="55"/>
      <c r="CN479" s="55"/>
      <c r="CO479" s="55"/>
      <c r="CP479" s="55"/>
      <c r="CQ479" s="55"/>
      <c r="CR479" s="55"/>
      <c r="CS479" s="55"/>
      <c r="CT479" s="55"/>
      <c r="CU479" s="55"/>
      <c r="CV479" s="55"/>
      <c r="CW479" s="55"/>
      <c r="CX479" s="55"/>
      <c r="CY479" s="55"/>
      <c r="CZ479" s="55"/>
      <c r="DA479" s="55"/>
      <c r="DB479" s="55"/>
      <c r="DC479" s="55"/>
      <c r="DD479" s="55"/>
      <c r="DE479" s="55"/>
      <c r="DF479" s="55"/>
      <c r="DG479" s="55"/>
      <c r="DH479" s="55"/>
      <c r="DI479" s="55"/>
    </row>
    <row r="480" spans="1:113" x14ac:dyDescent="0.25">
      <c r="A480" s="170"/>
      <c r="B480" s="121"/>
      <c r="C480" s="122"/>
      <c r="D480" s="40"/>
      <c r="E480" s="122">
        <v>200</v>
      </c>
      <c r="F480" s="121"/>
      <c r="G480" s="169">
        <f t="shared" ref="G480:G481" si="124">+E480+F480</f>
        <v>200</v>
      </c>
      <c r="H480" s="108"/>
      <c r="I480" s="109">
        <f t="shared" ref="I480:I481" si="125">+G480-H480</f>
        <v>200</v>
      </c>
      <c r="J480" s="109">
        <f t="shared" ref="J480:J481" si="126">I480*C480</f>
        <v>0</v>
      </c>
      <c r="K480" s="110">
        <f t="shared" ref="K480:K481" si="127">+D480*I480</f>
        <v>0</v>
      </c>
      <c r="L480"/>
      <c r="M480" s="314">
        <f t="shared" ref="M480:M481" si="128">SUM(N480:DJ480)</f>
        <v>0</v>
      </c>
      <c r="N480" s="310" t="s">
        <v>1042</v>
      </c>
      <c r="O480" s="315" t="s">
        <v>1042</v>
      </c>
      <c r="P480" s="315" t="s">
        <v>1002</v>
      </c>
      <c r="Q480" s="315" t="s">
        <v>1044</v>
      </c>
      <c r="R480" s="315" t="s">
        <v>1002</v>
      </c>
      <c r="S480" s="55"/>
      <c r="T480" s="55"/>
      <c r="U480" s="55"/>
      <c r="V480" s="55"/>
      <c r="W480" s="55"/>
      <c r="X480" s="55"/>
      <c r="Y480" s="55"/>
      <c r="Z480" s="55"/>
      <c r="AA480" s="55"/>
      <c r="AB480" s="55"/>
      <c r="AC480" s="55"/>
      <c r="AD480" s="55"/>
      <c r="AE480" s="55"/>
      <c r="AF480" s="55"/>
      <c r="AG480" s="55"/>
      <c r="AH480" s="55"/>
      <c r="AI480" s="55"/>
      <c r="AJ480" s="55"/>
      <c r="AK480" s="55"/>
      <c r="AL480" s="55"/>
      <c r="AM480" s="55"/>
      <c r="AN480" s="55"/>
      <c r="AO480" s="55"/>
      <c r="AP480" s="55"/>
      <c r="AQ480" s="55"/>
      <c r="AR480" s="55"/>
      <c r="AS480" s="55"/>
      <c r="AT480" s="55"/>
      <c r="AU480" s="55"/>
      <c r="AV480" s="55"/>
      <c r="AW480" s="55"/>
      <c r="AX480" s="55"/>
      <c r="AY480" s="55"/>
      <c r="AZ480" s="55"/>
      <c r="BA480" s="55"/>
      <c r="BB480" s="55"/>
      <c r="BC480" s="55"/>
      <c r="BD480" s="55"/>
      <c r="BE480" s="55"/>
      <c r="BF480" s="55"/>
      <c r="BG480" s="55"/>
      <c r="BH480" s="55"/>
      <c r="BI480" s="55"/>
      <c r="BJ480" s="55"/>
      <c r="BK480" s="55"/>
      <c r="BL480" s="55"/>
      <c r="BM480" s="55"/>
      <c r="BN480" s="55"/>
      <c r="BO480" s="55"/>
      <c r="BP480" s="55"/>
      <c r="BQ480" s="55"/>
      <c r="BR480" s="55"/>
      <c r="BS480" s="55"/>
      <c r="BT480" s="55"/>
      <c r="BU480" s="55"/>
      <c r="BV480" s="55"/>
      <c r="BW480" s="55"/>
      <c r="BX480" s="55"/>
      <c r="BY480" s="55"/>
      <c r="BZ480" s="55"/>
      <c r="CA480" s="55"/>
      <c r="CB480" s="55"/>
      <c r="CC480" s="55"/>
      <c r="CD480" s="55"/>
      <c r="CE480" s="55"/>
      <c r="CF480" s="55"/>
      <c r="CG480" s="55"/>
      <c r="CH480" s="55"/>
      <c r="CI480" s="55"/>
      <c r="CJ480" s="55"/>
      <c r="CK480" s="55"/>
      <c r="CL480" s="55"/>
      <c r="CM480" s="55"/>
      <c r="CN480" s="55"/>
      <c r="CO480" s="55"/>
      <c r="CP480" s="55"/>
      <c r="CQ480" s="55"/>
      <c r="CR480" s="55"/>
      <c r="CS480" s="55"/>
      <c r="CT480" s="55"/>
      <c r="CU480" s="55"/>
      <c r="CV480" s="55"/>
      <c r="CW480" s="55"/>
      <c r="CX480" s="55"/>
      <c r="CY480" s="55"/>
      <c r="CZ480" s="55"/>
      <c r="DA480" s="55"/>
      <c r="DB480" s="55"/>
      <c r="DC480" s="55"/>
      <c r="DD480" s="55"/>
      <c r="DE480" s="55"/>
      <c r="DF480" s="55"/>
      <c r="DG480" s="55"/>
      <c r="DH480" s="55"/>
      <c r="DI480" s="55"/>
    </row>
    <row r="481" spans="1:113" x14ac:dyDescent="0.25">
      <c r="A481" s="170">
        <v>20</v>
      </c>
      <c r="B481" s="121" t="s">
        <v>1047</v>
      </c>
      <c r="C481" s="122">
        <v>12500</v>
      </c>
      <c r="D481" s="40"/>
      <c r="E481" s="122">
        <v>200</v>
      </c>
      <c r="F481" s="121"/>
      <c r="G481" s="169">
        <f t="shared" si="124"/>
        <v>200</v>
      </c>
      <c r="H481" s="108"/>
      <c r="I481" s="109">
        <f t="shared" si="125"/>
        <v>200</v>
      </c>
      <c r="J481" s="109">
        <f t="shared" si="126"/>
        <v>2500000</v>
      </c>
      <c r="K481" s="110">
        <f t="shared" si="127"/>
        <v>0</v>
      </c>
      <c r="L481"/>
      <c r="M481" s="314">
        <f t="shared" si="128"/>
        <v>427</v>
      </c>
      <c r="N481" s="310">
        <f>100+100</f>
        <v>200</v>
      </c>
      <c r="O481" s="315">
        <v>100</v>
      </c>
      <c r="P481" s="315">
        <v>27</v>
      </c>
      <c r="Q481" s="315">
        <v>50</v>
      </c>
      <c r="R481" s="315">
        <v>50</v>
      </c>
      <c r="S481" s="55"/>
      <c r="T481" s="55"/>
      <c r="U481" s="55"/>
      <c r="V481" s="55"/>
      <c r="W481" s="55"/>
      <c r="X481" s="55"/>
      <c r="Y481" s="55"/>
      <c r="Z481" s="55"/>
      <c r="AA481" s="55"/>
      <c r="AB481" s="55"/>
      <c r="AC481" s="55"/>
      <c r="AD481" s="55"/>
      <c r="AE481" s="55"/>
      <c r="AF481" s="55"/>
      <c r="AG481" s="55"/>
      <c r="AH481" s="55"/>
      <c r="AI481" s="55"/>
      <c r="AJ481" s="55"/>
      <c r="AK481" s="55"/>
      <c r="AL481" s="55"/>
      <c r="AM481" s="55"/>
      <c r="AN481" s="55"/>
      <c r="AO481" s="55"/>
      <c r="AP481" s="55"/>
      <c r="AQ481" s="55"/>
      <c r="AR481" s="55"/>
      <c r="AS481" s="55"/>
      <c r="AT481" s="55"/>
      <c r="AU481" s="55"/>
      <c r="AV481" s="55"/>
      <c r="AW481" s="55"/>
      <c r="AX481" s="55"/>
      <c r="AY481" s="55"/>
      <c r="AZ481" s="55"/>
      <c r="BA481" s="55"/>
      <c r="BB481" s="55"/>
      <c r="BC481" s="55"/>
      <c r="BD481" s="55"/>
      <c r="BE481" s="55"/>
      <c r="BF481" s="55"/>
      <c r="BG481" s="55"/>
      <c r="BH481" s="55"/>
      <c r="BI481" s="55"/>
      <c r="BJ481" s="55"/>
      <c r="BK481" s="55"/>
      <c r="BL481" s="55"/>
      <c r="BM481" s="55"/>
      <c r="BN481" s="55"/>
      <c r="BO481" s="55"/>
      <c r="BP481" s="55"/>
      <c r="BQ481" s="55"/>
      <c r="BR481" s="55"/>
      <c r="BS481" s="55"/>
      <c r="BT481" s="55"/>
      <c r="BU481" s="55"/>
      <c r="BV481" s="55"/>
      <c r="BW481" s="55"/>
      <c r="BX481" s="55"/>
      <c r="BY481" s="55"/>
      <c r="BZ481" s="55"/>
      <c r="CA481" s="55"/>
      <c r="CB481" s="55"/>
      <c r="CC481" s="55"/>
      <c r="CD481" s="55"/>
      <c r="CE481" s="55"/>
      <c r="CF481" s="55"/>
      <c r="CG481" s="55"/>
      <c r="CH481" s="55"/>
      <c r="CI481" s="55"/>
      <c r="CJ481" s="55"/>
      <c r="CK481" s="55"/>
      <c r="CL481" s="55"/>
      <c r="CM481" s="55"/>
      <c r="CN481" s="55"/>
      <c r="CO481" s="55"/>
      <c r="CP481" s="55"/>
      <c r="CQ481" s="55"/>
      <c r="CR481" s="55"/>
      <c r="CS481" s="55"/>
      <c r="CT481" s="55"/>
      <c r="CU481" s="55"/>
      <c r="CV481" s="55"/>
      <c r="CW481" s="55"/>
      <c r="CX481" s="55"/>
      <c r="CY481" s="55"/>
      <c r="CZ481" s="55"/>
      <c r="DA481" s="55"/>
      <c r="DB481" s="55"/>
      <c r="DC481" s="55"/>
      <c r="DD481" s="55"/>
      <c r="DE481" s="55"/>
      <c r="DF481" s="55"/>
      <c r="DG481" s="55"/>
      <c r="DH481" s="55"/>
      <c r="DI481" s="55"/>
    </row>
    <row r="482" spans="1:113" x14ac:dyDescent="0.25">
      <c r="A482" s="170"/>
      <c r="B482" s="121"/>
      <c r="C482" s="122"/>
      <c r="D482" s="40"/>
      <c r="E482" s="122">
        <v>200</v>
      </c>
      <c r="F482" s="121"/>
      <c r="G482" s="169">
        <v>200</v>
      </c>
      <c r="H482" s="108"/>
      <c r="I482" s="109">
        <v>200</v>
      </c>
      <c r="J482" s="109">
        <v>0</v>
      </c>
      <c r="K482" s="110">
        <v>0</v>
      </c>
      <c r="L482"/>
      <c r="M482" s="314">
        <v>0</v>
      </c>
      <c r="N482" s="310" t="s">
        <v>1049</v>
      </c>
      <c r="O482" s="315" t="s">
        <v>1042</v>
      </c>
      <c r="P482" s="315" t="s">
        <v>1002</v>
      </c>
      <c r="Q482" s="315"/>
      <c r="R482" s="315"/>
      <c r="S482" s="55"/>
      <c r="T482" s="55"/>
      <c r="U482" s="55"/>
      <c r="V482" s="55"/>
      <c r="W482" s="55"/>
      <c r="X482" s="55"/>
      <c r="Y482" s="55"/>
      <c r="Z482" s="55"/>
      <c r="AA482" s="55"/>
      <c r="AB482" s="55"/>
      <c r="AC482" s="55"/>
      <c r="AD482" s="55"/>
      <c r="AE482" s="55"/>
      <c r="AF482" s="55"/>
      <c r="AG482" s="55"/>
      <c r="AH482" s="55"/>
      <c r="AI482" s="55"/>
      <c r="AJ482" s="55"/>
      <c r="AK482" s="55"/>
      <c r="AL482" s="55"/>
      <c r="AM482" s="55"/>
      <c r="AN482" s="55"/>
      <c r="AO482" s="55"/>
      <c r="AP482" s="55"/>
      <c r="AQ482" s="55"/>
      <c r="AR482" s="55"/>
      <c r="AS482" s="55"/>
      <c r="AT482" s="55"/>
      <c r="AU482" s="55"/>
      <c r="AV482" s="55"/>
      <c r="AW482" s="55"/>
      <c r="AX482" s="55"/>
      <c r="AY482" s="55"/>
      <c r="AZ482" s="55"/>
      <c r="BA482" s="55"/>
      <c r="BB482" s="55"/>
      <c r="BC482" s="55"/>
      <c r="BD482" s="55"/>
      <c r="BE482" s="55"/>
      <c r="BF482" s="55"/>
      <c r="BG482" s="55"/>
      <c r="BH482" s="55"/>
      <c r="BI482" s="55"/>
      <c r="BJ482" s="55"/>
      <c r="BK482" s="55"/>
      <c r="BL482" s="55"/>
      <c r="BM482" s="55"/>
      <c r="BN482" s="55"/>
      <c r="BO482" s="55"/>
      <c r="BP482" s="55"/>
      <c r="BQ482" s="55"/>
      <c r="BR482" s="55"/>
      <c r="BS482" s="55"/>
      <c r="BT482" s="55"/>
      <c r="BU482" s="55"/>
      <c r="BV482" s="55"/>
      <c r="BW482" s="55"/>
      <c r="BX482" s="55"/>
      <c r="BY482" s="55"/>
      <c r="BZ482" s="55"/>
      <c r="CA482" s="55"/>
      <c r="CB482" s="55"/>
      <c r="CC482" s="55"/>
      <c r="CD482" s="55"/>
      <c r="CE482" s="55"/>
      <c r="CF482" s="55"/>
      <c r="CG482" s="55"/>
      <c r="CH482" s="55"/>
      <c r="CI482" s="55"/>
      <c r="CJ482" s="55"/>
      <c r="CK482" s="55"/>
      <c r="CL482" s="55"/>
      <c r="CM482" s="55"/>
      <c r="CN482" s="55"/>
      <c r="CO482" s="55"/>
      <c r="CP482" s="55"/>
      <c r="CQ482" s="55"/>
      <c r="CR482" s="55"/>
      <c r="CS482" s="55"/>
      <c r="CT482" s="55"/>
      <c r="CU482" s="55"/>
      <c r="CV482" s="55"/>
      <c r="CW482" s="55"/>
      <c r="CX482" s="55"/>
      <c r="CY482" s="55"/>
      <c r="CZ482" s="55"/>
      <c r="DA482" s="55"/>
      <c r="DB482" s="55"/>
      <c r="DC482" s="55"/>
      <c r="DD482" s="55"/>
      <c r="DE482" s="55"/>
      <c r="DF482" s="55"/>
      <c r="DG482" s="55"/>
      <c r="DH482" s="55"/>
      <c r="DI482" s="55"/>
    </row>
    <row r="483" spans="1:113" x14ac:dyDescent="0.25">
      <c r="A483" s="170">
        <v>20</v>
      </c>
      <c r="B483" s="121" t="s">
        <v>1048</v>
      </c>
      <c r="C483" s="122">
        <v>12500</v>
      </c>
      <c r="D483" s="40"/>
      <c r="E483" s="122">
        <v>200</v>
      </c>
      <c r="F483" s="121"/>
      <c r="G483" s="169">
        <v>200</v>
      </c>
      <c r="H483" s="108"/>
      <c r="I483" s="109">
        <v>200</v>
      </c>
      <c r="J483" s="109">
        <v>2500000</v>
      </c>
      <c r="K483" s="110">
        <v>0</v>
      </c>
      <c r="L483"/>
      <c r="M483" s="314">
        <f t="shared" si="119"/>
        <v>874</v>
      </c>
      <c r="N483" s="310">
        <f>100+50+50+50</f>
        <v>250</v>
      </c>
      <c r="O483" s="315">
        <f>100+100+100+100+50+50+50</f>
        <v>550</v>
      </c>
      <c r="P483" s="315">
        <v>74</v>
      </c>
      <c r="Q483" s="315"/>
      <c r="R483" s="315"/>
      <c r="S483" s="55"/>
      <c r="T483" s="55"/>
      <c r="U483" s="55"/>
      <c r="V483" s="55"/>
      <c r="W483" s="55"/>
      <c r="X483" s="55"/>
      <c r="Y483" s="55"/>
      <c r="Z483" s="55"/>
      <c r="AA483" s="55"/>
      <c r="AB483" s="55"/>
      <c r="AC483" s="55"/>
      <c r="AD483" s="55"/>
      <c r="AE483" s="55"/>
      <c r="AF483" s="55"/>
      <c r="AG483" s="55"/>
      <c r="AH483" s="55"/>
      <c r="AI483" s="55"/>
      <c r="AJ483" s="55"/>
      <c r="AK483" s="55"/>
      <c r="AL483" s="55"/>
      <c r="AM483" s="55"/>
      <c r="AN483" s="55"/>
      <c r="AO483" s="55"/>
      <c r="AP483" s="55"/>
      <c r="AQ483" s="55"/>
      <c r="AR483" s="55"/>
      <c r="AS483" s="55"/>
      <c r="AT483" s="55"/>
      <c r="AU483" s="55"/>
      <c r="AV483" s="55"/>
      <c r="AW483" s="55"/>
      <c r="AX483" s="55"/>
      <c r="AY483" s="55"/>
      <c r="AZ483" s="55"/>
      <c r="BA483" s="55"/>
      <c r="BB483" s="55"/>
      <c r="BC483" s="55"/>
      <c r="BD483" s="55"/>
      <c r="BE483" s="55"/>
      <c r="BF483" s="55"/>
      <c r="BG483" s="55"/>
      <c r="BH483" s="55"/>
      <c r="BI483" s="55"/>
      <c r="BJ483" s="55"/>
      <c r="BK483" s="55"/>
      <c r="BL483" s="55"/>
      <c r="BM483" s="55"/>
      <c r="BN483" s="55"/>
      <c r="BO483" s="55"/>
      <c r="BP483" s="55"/>
      <c r="BQ483" s="55"/>
      <c r="BR483" s="55"/>
      <c r="BS483" s="55"/>
      <c r="BT483" s="55"/>
      <c r="BU483" s="55"/>
      <c r="BV483" s="55"/>
      <c r="BW483" s="55"/>
      <c r="BX483" s="55"/>
      <c r="BY483" s="55"/>
      <c r="BZ483" s="55"/>
      <c r="CA483" s="55"/>
      <c r="CB483" s="55"/>
      <c r="CC483" s="55"/>
      <c r="CD483" s="55"/>
      <c r="CE483" s="55"/>
      <c r="CF483" s="55"/>
      <c r="CG483" s="55"/>
      <c r="CH483" s="55"/>
      <c r="CI483" s="55"/>
      <c r="CJ483" s="55"/>
      <c r="CK483" s="55"/>
      <c r="CL483" s="55"/>
      <c r="CM483" s="55"/>
      <c r="CN483" s="55"/>
      <c r="CO483" s="55"/>
      <c r="CP483" s="55"/>
      <c r="CQ483" s="55"/>
      <c r="CR483" s="55"/>
      <c r="CS483" s="55"/>
      <c r="CT483" s="55"/>
      <c r="CU483" s="55"/>
      <c r="CV483" s="55"/>
      <c r="CW483" s="55"/>
      <c r="CX483" s="55"/>
      <c r="CY483" s="55"/>
      <c r="CZ483" s="55"/>
      <c r="DA483" s="55"/>
      <c r="DB483" s="55"/>
      <c r="DC483" s="55"/>
      <c r="DD483" s="55"/>
      <c r="DE483" s="55"/>
      <c r="DF483" s="55"/>
      <c r="DG483" s="55"/>
      <c r="DH483" s="55"/>
      <c r="DI483" s="55"/>
    </row>
    <row r="484" spans="1:113" x14ac:dyDescent="0.25">
      <c r="A484" s="380"/>
      <c r="B484" s="350"/>
      <c r="C484" s="344"/>
      <c r="D484" s="383"/>
      <c r="E484" s="344"/>
      <c r="F484" s="350"/>
      <c r="G484" s="356"/>
      <c r="H484" s="346"/>
      <c r="I484" s="345"/>
      <c r="J484" s="345"/>
      <c r="K484" s="347"/>
      <c r="L484"/>
      <c r="M484" s="348"/>
      <c r="N484" s="310" t="s">
        <v>1052</v>
      </c>
      <c r="O484" s="349"/>
      <c r="P484" s="349"/>
      <c r="Q484" s="349"/>
      <c r="R484" s="349"/>
      <c r="S484" s="346"/>
      <c r="T484" s="346"/>
      <c r="U484" s="346"/>
      <c r="V484" s="346"/>
      <c r="W484" s="346"/>
      <c r="X484" s="346"/>
      <c r="Y484" s="346"/>
      <c r="Z484" s="346"/>
      <c r="AA484" s="346"/>
      <c r="AB484" s="346"/>
      <c r="AC484" s="346"/>
      <c r="AD484" s="346"/>
      <c r="AE484" s="346"/>
      <c r="AF484" s="346"/>
      <c r="AG484" s="346"/>
      <c r="AH484" s="346"/>
      <c r="AI484" s="346"/>
      <c r="AJ484" s="346"/>
      <c r="AK484" s="346"/>
      <c r="AL484" s="346"/>
      <c r="AM484" s="346"/>
      <c r="AN484" s="346"/>
      <c r="AO484" s="346"/>
      <c r="AP484" s="346"/>
      <c r="AQ484" s="346"/>
      <c r="AR484" s="346"/>
      <c r="AS484" s="346"/>
      <c r="AT484" s="346"/>
      <c r="AU484" s="346"/>
      <c r="AV484" s="346"/>
      <c r="AW484" s="346"/>
      <c r="AX484" s="346"/>
      <c r="AY484" s="346"/>
      <c r="AZ484" s="346"/>
      <c r="BA484" s="346"/>
      <c r="BB484" s="346"/>
      <c r="BC484" s="346"/>
      <c r="BD484" s="346"/>
      <c r="BE484" s="346"/>
      <c r="BF484" s="346"/>
      <c r="BG484" s="346"/>
      <c r="BH484" s="346"/>
      <c r="BI484" s="346"/>
      <c r="BJ484" s="346"/>
      <c r="BK484" s="346"/>
      <c r="BL484" s="346"/>
      <c r="BM484" s="346"/>
      <c r="BN484" s="346"/>
      <c r="BO484" s="346"/>
      <c r="BP484" s="346"/>
      <c r="BQ484" s="346"/>
      <c r="BR484" s="346"/>
      <c r="BS484" s="346"/>
      <c r="BT484" s="346"/>
      <c r="BU484" s="346"/>
      <c r="BV484" s="346"/>
      <c r="BW484" s="346"/>
      <c r="BX484" s="346"/>
      <c r="BY484" s="346"/>
      <c r="BZ484" s="346"/>
      <c r="CA484" s="346"/>
      <c r="CB484" s="346"/>
      <c r="CC484" s="346"/>
      <c r="CD484" s="346"/>
      <c r="CE484" s="346"/>
      <c r="CF484" s="346"/>
      <c r="CG484" s="346"/>
      <c r="CH484" s="346"/>
      <c r="CI484" s="346"/>
      <c r="CJ484" s="346"/>
      <c r="CK484" s="346"/>
      <c r="CL484" s="346"/>
      <c r="CM484" s="346"/>
      <c r="CN484" s="346"/>
      <c r="CO484" s="346"/>
      <c r="CP484" s="346"/>
      <c r="CQ484" s="346"/>
      <c r="CR484" s="346"/>
      <c r="CS484" s="346"/>
      <c r="CT484" s="346"/>
      <c r="CU484" s="346"/>
      <c r="CV484" s="346"/>
      <c r="CW484" s="346"/>
      <c r="CX484" s="346"/>
      <c r="CY484" s="346"/>
      <c r="CZ484" s="346"/>
      <c r="DA484" s="346"/>
      <c r="DB484" s="346"/>
      <c r="DC484" s="346"/>
      <c r="DD484" s="346"/>
      <c r="DE484" s="346"/>
      <c r="DF484" s="346"/>
      <c r="DG484" s="346"/>
      <c r="DH484" s="346"/>
      <c r="DI484" s="346"/>
    </row>
    <row r="485" spans="1:113" x14ac:dyDescent="0.25">
      <c r="A485" s="152">
        <v>21</v>
      </c>
      <c r="B485" s="60" t="s">
        <v>1051</v>
      </c>
      <c r="C485" s="43">
        <v>5000</v>
      </c>
      <c r="D485" s="34"/>
      <c r="E485" s="43">
        <v>200</v>
      </c>
      <c r="F485" s="60"/>
      <c r="G485" s="139">
        <f t="shared" ref="G485" si="129">+E485+F485</f>
        <v>200</v>
      </c>
      <c r="H485" s="55"/>
      <c r="I485" s="56">
        <f t="shared" ref="I485" si="130">+G485-H485</f>
        <v>200</v>
      </c>
      <c r="J485" s="56">
        <f t="shared" ref="J485" si="131">I485*C485</f>
        <v>1000000</v>
      </c>
      <c r="K485" s="57">
        <f t="shared" ref="K485" si="132">+D485*I485</f>
        <v>0</v>
      </c>
      <c r="L485"/>
      <c r="M485" s="314">
        <f t="shared" ref="M485" si="133">SUM(N485:DJ485)</f>
        <v>395</v>
      </c>
      <c r="N485" s="310">
        <f>100+100+100+95</f>
        <v>395</v>
      </c>
      <c r="O485" s="315"/>
      <c r="P485" s="315"/>
      <c r="Q485" s="315"/>
      <c r="R485" s="315"/>
      <c r="S485" s="55"/>
      <c r="T485" s="55"/>
      <c r="U485" s="55"/>
      <c r="V485" s="55"/>
      <c r="W485" s="55"/>
      <c r="X485" s="55"/>
      <c r="Y485" s="55"/>
      <c r="Z485" s="55"/>
      <c r="AA485" s="55"/>
      <c r="AB485" s="55"/>
      <c r="AC485" s="55"/>
      <c r="AD485" s="55"/>
      <c r="AE485" s="55"/>
      <c r="AF485" s="55"/>
      <c r="AG485" s="55"/>
      <c r="AH485" s="55"/>
      <c r="AI485" s="55"/>
      <c r="AJ485" s="55"/>
      <c r="AK485" s="55"/>
      <c r="AL485" s="55"/>
      <c r="AM485" s="55"/>
      <c r="AN485" s="55"/>
      <c r="AO485" s="55"/>
      <c r="AP485" s="55"/>
      <c r="AQ485" s="55"/>
      <c r="AR485" s="55"/>
      <c r="AS485" s="55"/>
      <c r="AT485" s="55"/>
      <c r="AU485" s="55"/>
      <c r="AV485" s="55"/>
      <c r="AW485" s="55"/>
      <c r="AX485" s="55"/>
      <c r="AY485" s="55"/>
      <c r="AZ485" s="55"/>
      <c r="BA485" s="55"/>
      <c r="BB485" s="55"/>
      <c r="BC485" s="55"/>
      <c r="BD485" s="55"/>
      <c r="BE485" s="55"/>
      <c r="BF485" s="55"/>
      <c r="BG485" s="55"/>
      <c r="BH485" s="55"/>
      <c r="BI485" s="55"/>
      <c r="BJ485" s="55"/>
      <c r="BK485" s="55"/>
      <c r="BL485" s="55"/>
      <c r="BM485" s="55"/>
      <c r="BN485" s="55"/>
      <c r="BO485" s="55"/>
      <c r="BP485" s="55"/>
      <c r="BQ485" s="55"/>
      <c r="BR485" s="55"/>
      <c r="BS485" s="55"/>
      <c r="BT485" s="55"/>
      <c r="BU485" s="55"/>
      <c r="BV485" s="55"/>
      <c r="BW485" s="55"/>
      <c r="BX485" s="55"/>
      <c r="BY485" s="55"/>
      <c r="BZ485" s="55"/>
      <c r="CA485" s="55"/>
      <c r="CB485" s="55"/>
      <c r="CC485" s="55"/>
      <c r="CD485" s="55"/>
      <c r="CE485" s="55"/>
      <c r="CF485" s="55"/>
      <c r="CG485" s="55"/>
      <c r="CH485" s="55"/>
      <c r="CI485" s="55"/>
      <c r="CJ485" s="55"/>
      <c r="CK485" s="55"/>
      <c r="CL485" s="55"/>
      <c r="CM485" s="55"/>
      <c r="CN485" s="55"/>
      <c r="CO485" s="55"/>
      <c r="CP485" s="55"/>
      <c r="CQ485" s="55"/>
      <c r="CR485" s="55"/>
      <c r="CS485" s="55"/>
      <c r="CT485" s="55"/>
      <c r="CU485" s="55"/>
      <c r="CV485" s="55"/>
      <c r="CW485" s="55"/>
      <c r="CX485" s="55"/>
      <c r="CY485" s="55"/>
      <c r="CZ485" s="55"/>
      <c r="DA485" s="55"/>
      <c r="DB485" s="55"/>
      <c r="DC485" s="55"/>
      <c r="DD485" s="55"/>
      <c r="DE485" s="55"/>
      <c r="DF485" s="55"/>
      <c r="DG485" s="55"/>
      <c r="DH485" s="55"/>
      <c r="DI485" s="55"/>
    </row>
    <row r="486" spans="1:113" x14ac:dyDescent="0.25">
      <c r="A486" s="380"/>
      <c r="B486" s="350"/>
      <c r="C486" s="344"/>
      <c r="D486" s="383"/>
      <c r="E486" s="344"/>
      <c r="F486" s="350"/>
      <c r="G486" s="356"/>
      <c r="H486" s="346"/>
      <c r="I486" s="345"/>
      <c r="J486" s="345"/>
      <c r="K486" s="347"/>
      <c r="L486"/>
      <c r="M486" s="348"/>
      <c r="N486" s="310" t="s">
        <v>1054</v>
      </c>
      <c r="O486" s="349" t="s">
        <v>1042</v>
      </c>
      <c r="P486" s="349" t="s">
        <v>1044</v>
      </c>
      <c r="Q486" s="349" t="s">
        <v>1002</v>
      </c>
      <c r="R486" s="349"/>
      <c r="S486" s="346"/>
      <c r="T486" s="346"/>
      <c r="U486" s="346"/>
      <c r="V486" s="346"/>
      <c r="W486" s="346"/>
      <c r="X486" s="346"/>
      <c r="Y486" s="346"/>
      <c r="Z486" s="346"/>
      <c r="AA486" s="346"/>
      <c r="AB486" s="346"/>
      <c r="AC486" s="346"/>
      <c r="AD486" s="346"/>
      <c r="AE486" s="346"/>
      <c r="AF486" s="346"/>
      <c r="AG486" s="346"/>
      <c r="AH486" s="346"/>
      <c r="AI486" s="346"/>
      <c r="AJ486" s="346"/>
      <c r="AK486" s="346"/>
      <c r="AL486" s="346"/>
      <c r="AM486" s="346"/>
      <c r="AN486" s="346"/>
      <c r="AO486" s="346"/>
      <c r="AP486" s="346"/>
      <c r="AQ486" s="346"/>
      <c r="AR486" s="346"/>
      <c r="AS486" s="346"/>
      <c r="AT486" s="346"/>
      <c r="AU486" s="346"/>
      <c r="AV486" s="346"/>
      <c r="AW486" s="346"/>
      <c r="AX486" s="346"/>
      <c r="AY486" s="346"/>
      <c r="AZ486" s="346"/>
      <c r="BA486" s="346"/>
      <c r="BB486" s="346"/>
      <c r="BC486" s="346"/>
      <c r="BD486" s="346"/>
      <c r="BE486" s="346"/>
      <c r="BF486" s="346"/>
      <c r="BG486" s="346"/>
      <c r="BH486" s="346"/>
      <c r="BI486" s="346"/>
      <c r="BJ486" s="346"/>
      <c r="BK486" s="346"/>
      <c r="BL486" s="346"/>
      <c r="BM486" s="346"/>
      <c r="BN486" s="346"/>
      <c r="BO486" s="346"/>
      <c r="BP486" s="346"/>
      <c r="BQ486" s="346"/>
      <c r="BR486" s="346"/>
      <c r="BS486" s="346"/>
      <c r="BT486" s="346"/>
      <c r="BU486" s="346"/>
      <c r="BV486" s="346"/>
      <c r="BW486" s="346"/>
      <c r="BX486" s="346"/>
      <c r="BY486" s="346"/>
      <c r="BZ486" s="346"/>
      <c r="CA486" s="346"/>
      <c r="CB486" s="346"/>
      <c r="CC486" s="346"/>
      <c r="CD486" s="346"/>
      <c r="CE486" s="346"/>
      <c r="CF486" s="346"/>
      <c r="CG486" s="346"/>
      <c r="CH486" s="346"/>
      <c r="CI486" s="346"/>
      <c r="CJ486" s="346"/>
      <c r="CK486" s="346"/>
      <c r="CL486" s="346"/>
      <c r="CM486" s="346"/>
      <c r="CN486" s="346"/>
      <c r="CO486" s="346"/>
      <c r="CP486" s="346"/>
      <c r="CQ486" s="346"/>
      <c r="CR486" s="346"/>
      <c r="CS486" s="346"/>
      <c r="CT486" s="346"/>
      <c r="CU486" s="346"/>
      <c r="CV486" s="346"/>
      <c r="CW486" s="346"/>
      <c r="CX486" s="346"/>
      <c r="CY486" s="346"/>
      <c r="CZ486" s="346"/>
      <c r="DA486" s="346"/>
      <c r="DB486" s="346"/>
      <c r="DC486" s="346"/>
      <c r="DD486" s="346"/>
      <c r="DE486" s="346"/>
      <c r="DF486" s="346"/>
      <c r="DG486" s="346"/>
      <c r="DH486" s="346"/>
      <c r="DI486" s="346"/>
    </row>
    <row r="487" spans="1:113" x14ac:dyDescent="0.25">
      <c r="A487" s="152">
        <v>22</v>
      </c>
      <c r="B487" s="60" t="s">
        <v>1053</v>
      </c>
      <c r="C487" s="43">
        <v>12500</v>
      </c>
      <c r="D487" s="34"/>
      <c r="E487" s="43">
        <v>200</v>
      </c>
      <c r="F487" s="60"/>
      <c r="G487" s="139">
        <f t="shared" ref="G487" si="134">+E487+F487</f>
        <v>200</v>
      </c>
      <c r="H487" s="55"/>
      <c r="I487" s="56">
        <f t="shared" ref="I487" si="135">+G487-H487</f>
        <v>200</v>
      </c>
      <c r="J487" s="56">
        <f t="shared" ref="J487" si="136">I487*C487</f>
        <v>2500000</v>
      </c>
      <c r="K487" s="57">
        <f t="shared" ref="K487" si="137">+D487*I487</f>
        <v>0</v>
      </c>
      <c r="L487"/>
      <c r="M487" s="314">
        <f t="shared" ref="M487:M489" si="138">SUM(N487:DJ487)</f>
        <v>457</v>
      </c>
      <c r="N487" s="310">
        <f>100+30</f>
        <v>130</v>
      </c>
      <c r="O487" s="315">
        <f>100+100</f>
        <v>200</v>
      </c>
      <c r="P487" s="315">
        <v>50</v>
      </c>
      <c r="Q487" s="315">
        <v>77</v>
      </c>
      <c r="R487" s="315"/>
      <c r="S487" s="55"/>
      <c r="T487" s="55"/>
      <c r="U487" s="55"/>
      <c r="V487" s="55"/>
      <c r="W487" s="55"/>
      <c r="X487" s="55"/>
      <c r="Y487" s="55"/>
      <c r="Z487" s="55"/>
      <c r="AA487" s="55"/>
      <c r="AB487" s="55"/>
      <c r="AC487" s="55"/>
      <c r="AD487" s="55"/>
      <c r="AE487" s="55"/>
      <c r="AF487" s="55"/>
      <c r="AG487" s="55"/>
      <c r="AH487" s="55"/>
      <c r="AI487" s="55"/>
      <c r="AJ487" s="55"/>
      <c r="AK487" s="55"/>
      <c r="AL487" s="55"/>
      <c r="AM487" s="55"/>
      <c r="AN487" s="55"/>
      <c r="AO487" s="55"/>
      <c r="AP487" s="55"/>
      <c r="AQ487" s="55"/>
      <c r="AR487" s="55"/>
      <c r="AS487" s="55"/>
      <c r="AT487" s="55"/>
      <c r="AU487" s="55"/>
      <c r="AV487" s="55"/>
      <c r="AW487" s="55"/>
      <c r="AX487" s="55"/>
      <c r="AY487" s="55"/>
      <c r="AZ487" s="55"/>
      <c r="BA487" s="55"/>
      <c r="BB487" s="55"/>
      <c r="BC487" s="55"/>
      <c r="BD487" s="55"/>
      <c r="BE487" s="55"/>
      <c r="BF487" s="55"/>
      <c r="BG487" s="55"/>
      <c r="BH487" s="55"/>
      <c r="BI487" s="55"/>
      <c r="BJ487" s="55"/>
      <c r="BK487" s="55"/>
      <c r="BL487" s="55"/>
      <c r="BM487" s="55"/>
      <c r="BN487" s="55"/>
      <c r="BO487" s="55"/>
      <c r="BP487" s="55"/>
      <c r="BQ487" s="55"/>
      <c r="BR487" s="55"/>
      <c r="BS487" s="55"/>
      <c r="BT487" s="55"/>
      <c r="BU487" s="55"/>
      <c r="BV487" s="55"/>
      <c r="BW487" s="55"/>
      <c r="BX487" s="55"/>
      <c r="BY487" s="55"/>
      <c r="BZ487" s="55"/>
      <c r="CA487" s="55"/>
      <c r="CB487" s="55"/>
      <c r="CC487" s="55"/>
      <c r="CD487" s="55"/>
      <c r="CE487" s="55"/>
      <c r="CF487" s="55"/>
      <c r="CG487" s="55"/>
      <c r="CH487" s="55"/>
      <c r="CI487" s="55"/>
      <c r="CJ487" s="55"/>
      <c r="CK487" s="55"/>
      <c r="CL487" s="55"/>
      <c r="CM487" s="55"/>
      <c r="CN487" s="55"/>
      <c r="CO487" s="55"/>
      <c r="CP487" s="55"/>
      <c r="CQ487" s="55"/>
      <c r="CR487" s="55"/>
      <c r="CS487" s="55"/>
      <c r="CT487" s="55"/>
      <c r="CU487" s="55"/>
      <c r="CV487" s="55"/>
      <c r="CW487" s="55"/>
      <c r="CX487" s="55"/>
      <c r="CY487" s="55"/>
      <c r="CZ487" s="55"/>
      <c r="DA487" s="55"/>
      <c r="DB487" s="55"/>
      <c r="DC487" s="55"/>
      <c r="DD487" s="55"/>
      <c r="DE487" s="55"/>
      <c r="DF487" s="55"/>
      <c r="DG487" s="55"/>
      <c r="DH487" s="55"/>
      <c r="DI487" s="55"/>
    </row>
    <row r="488" spans="1:113" x14ac:dyDescent="0.25">
      <c r="A488" s="380"/>
      <c r="B488" s="350"/>
      <c r="C488" s="344"/>
      <c r="D488" s="383"/>
      <c r="E488" s="344"/>
      <c r="F488" s="350"/>
      <c r="G488" s="356"/>
      <c r="H488" s="346"/>
      <c r="I488" s="345"/>
      <c r="J488" s="345"/>
      <c r="K488" s="347"/>
      <c r="L488"/>
      <c r="M488" s="348"/>
      <c r="N488" s="310" t="s">
        <v>1049</v>
      </c>
      <c r="O488" s="349"/>
      <c r="P488" s="349"/>
      <c r="Q488" s="349"/>
      <c r="R488" s="349"/>
      <c r="S488" s="346"/>
      <c r="T488" s="346"/>
      <c r="U488" s="346"/>
      <c r="V488" s="346"/>
      <c r="W488" s="346"/>
      <c r="X488" s="346"/>
      <c r="Y488" s="346"/>
      <c r="Z488" s="346"/>
      <c r="AA488" s="346"/>
      <c r="AB488" s="346"/>
      <c r="AC488" s="346"/>
      <c r="AD488" s="346"/>
      <c r="AE488" s="346"/>
      <c r="AF488" s="346"/>
      <c r="AG488" s="346"/>
      <c r="AH488" s="346"/>
      <c r="AI488" s="346"/>
      <c r="AJ488" s="346"/>
      <c r="AK488" s="346"/>
      <c r="AL488" s="346"/>
      <c r="AM488" s="346"/>
      <c r="AN488" s="346"/>
      <c r="AO488" s="346"/>
      <c r="AP488" s="346"/>
      <c r="AQ488" s="346"/>
      <c r="AR488" s="346"/>
      <c r="AS488" s="346"/>
      <c r="AT488" s="346"/>
      <c r="AU488" s="346"/>
      <c r="AV488" s="346"/>
      <c r="AW488" s="346"/>
      <c r="AX488" s="346"/>
      <c r="AY488" s="346"/>
      <c r="AZ488" s="346"/>
      <c r="BA488" s="346"/>
      <c r="BB488" s="346"/>
      <c r="BC488" s="346"/>
      <c r="BD488" s="346"/>
      <c r="BE488" s="346"/>
      <c r="BF488" s="346"/>
      <c r="BG488" s="346"/>
      <c r="BH488" s="346"/>
      <c r="BI488" s="346"/>
      <c r="BJ488" s="346"/>
      <c r="BK488" s="346"/>
      <c r="BL488" s="346"/>
      <c r="BM488" s="346"/>
      <c r="BN488" s="346"/>
      <c r="BO488" s="346"/>
      <c r="BP488" s="346"/>
      <c r="BQ488" s="346"/>
      <c r="BR488" s="346"/>
      <c r="BS488" s="346"/>
      <c r="BT488" s="346"/>
      <c r="BU488" s="346"/>
      <c r="BV488" s="346"/>
      <c r="BW488" s="346"/>
      <c r="BX488" s="346"/>
      <c r="BY488" s="346"/>
      <c r="BZ488" s="346"/>
      <c r="CA488" s="346"/>
      <c r="CB488" s="346"/>
      <c r="CC488" s="346"/>
      <c r="CD488" s="346"/>
      <c r="CE488" s="346"/>
      <c r="CF488" s="346"/>
      <c r="CG488" s="346"/>
      <c r="CH488" s="346"/>
      <c r="CI488" s="346"/>
      <c r="CJ488" s="346"/>
      <c r="CK488" s="346"/>
      <c r="CL488" s="346"/>
      <c r="CM488" s="346"/>
      <c r="CN488" s="346"/>
      <c r="CO488" s="346"/>
      <c r="CP488" s="346"/>
      <c r="CQ488" s="346"/>
      <c r="CR488" s="346"/>
      <c r="CS488" s="346"/>
      <c r="CT488" s="346"/>
      <c r="CU488" s="346"/>
      <c r="CV488" s="346"/>
      <c r="CW488" s="346"/>
      <c r="CX488" s="346"/>
      <c r="CY488" s="346"/>
      <c r="CZ488" s="346"/>
      <c r="DA488" s="346"/>
      <c r="DB488" s="346"/>
      <c r="DC488" s="346"/>
      <c r="DD488" s="346"/>
      <c r="DE488" s="346"/>
      <c r="DF488" s="346"/>
      <c r="DG488" s="346"/>
      <c r="DH488" s="346"/>
      <c r="DI488" s="346"/>
    </row>
    <row r="489" spans="1:113" x14ac:dyDescent="0.25">
      <c r="A489" s="152">
        <v>23</v>
      </c>
      <c r="B489" s="60" t="s">
        <v>1055</v>
      </c>
      <c r="C489" s="43">
        <v>6500</v>
      </c>
      <c r="D489" s="34"/>
      <c r="E489" s="43">
        <v>200</v>
      </c>
      <c r="F489" s="60"/>
      <c r="G489" s="139">
        <v>200</v>
      </c>
      <c r="H489" s="55"/>
      <c r="I489" s="56">
        <v>200</v>
      </c>
      <c r="J489" s="56">
        <v>2500000</v>
      </c>
      <c r="K489" s="57">
        <v>0</v>
      </c>
      <c r="L489"/>
      <c r="M489" s="314">
        <f t="shared" si="138"/>
        <v>200</v>
      </c>
      <c r="N489" s="310">
        <f>100+100</f>
        <v>200</v>
      </c>
      <c r="O489" s="315"/>
      <c r="P489" s="315"/>
      <c r="Q489" s="315"/>
      <c r="R489" s="315"/>
      <c r="S489" s="55"/>
      <c r="T489" s="55"/>
      <c r="U489" s="55"/>
      <c r="V489" s="55"/>
      <c r="W489" s="55"/>
      <c r="X489" s="55"/>
      <c r="Y489" s="55"/>
      <c r="Z489" s="55"/>
      <c r="AA489" s="55"/>
      <c r="AB489" s="55"/>
      <c r="AC489" s="55"/>
      <c r="AD489" s="55"/>
      <c r="AE489" s="55"/>
      <c r="AF489" s="55"/>
      <c r="AG489" s="55"/>
      <c r="AH489" s="55"/>
      <c r="AI489" s="55"/>
      <c r="AJ489" s="55"/>
      <c r="AK489" s="55"/>
      <c r="AL489" s="55"/>
      <c r="AM489" s="55"/>
      <c r="AN489" s="55"/>
      <c r="AO489" s="55"/>
      <c r="AP489" s="55"/>
      <c r="AQ489" s="55"/>
      <c r="AR489" s="55"/>
      <c r="AS489" s="55"/>
      <c r="AT489" s="55"/>
      <c r="AU489" s="55"/>
      <c r="AV489" s="55"/>
      <c r="AW489" s="55"/>
      <c r="AX489" s="55"/>
      <c r="AY489" s="55"/>
      <c r="AZ489" s="55"/>
      <c r="BA489" s="55"/>
      <c r="BB489" s="55"/>
      <c r="BC489" s="55"/>
      <c r="BD489" s="55"/>
      <c r="BE489" s="55"/>
      <c r="BF489" s="55"/>
      <c r="BG489" s="55"/>
      <c r="BH489" s="55"/>
      <c r="BI489" s="55"/>
      <c r="BJ489" s="55"/>
      <c r="BK489" s="55"/>
      <c r="BL489" s="55"/>
      <c r="BM489" s="55"/>
      <c r="BN489" s="55"/>
      <c r="BO489" s="55"/>
      <c r="BP489" s="55"/>
      <c r="BQ489" s="55"/>
      <c r="BR489" s="55"/>
      <c r="BS489" s="55"/>
      <c r="BT489" s="55"/>
      <c r="BU489" s="55"/>
      <c r="BV489" s="55"/>
      <c r="BW489" s="55"/>
      <c r="BX489" s="55"/>
      <c r="BY489" s="55"/>
      <c r="BZ489" s="55"/>
      <c r="CA489" s="55"/>
      <c r="CB489" s="55"/>
      <c r="CC489" s="55"/>
      <c r="CD489" s="55"/>
      <c r="CE489" s="55"/>
      <c r="CF489" s="55"/>
      <c r="CG489" s="55"/>
      <c r="CH489" s="55"/>
      <c r="CI489" s="55"/>
      <c r="CJ489" s="55"/>
      <c r="CK489" s="55"/>
      <c r="CL489" s="55"/>
      <c r="CM489" s="55"/>
      <c r="CN489" s="55"/>
      <c r="CO489" s="55"/>
      <c r="CP489" s="55"/>
      <c r="CQ489" s="55"/>
      <c r="CR489" s="55"/>
      <c r="CS489" s="55"/>
      <c r="CT489" s="55"/>
      <c r="CU489" s="55"/>
      <c r="CV489" s="55"/>
      <c r="CW489" s="55"/>
      <c r="CX489" s="55"/>
      <c r="CY489" s="55"/>
      <c r="CZ489" s="55"/>
      <c r="DA489" s="55"/>
      <c r="DB489" s="55"/>
      <c r="DC489" s="55"/>
      <c r="DD489" s="55"/>
      <c r="DE489" s="55"/>
      <c r="DF489" s="55"/>
      <c r="DG489" s="55"/>
      <c r="DH489" s="55"/>
      <c r="DI489" s="55"/>
    </row>
    <row r="490" spans="1:113" x14ac:dyDescent="0.25">
      <c r="A490" s="380"/>
      <c r="B490" s="350"/>
      <c r="C490" s="344"/>
      <c r="D490" s="383"/>
      <c r="E490" s="344"/>
      <c r="F490" s="350"/>
      <c r="G490" s="356"/>
      <c r="H490" s="346"/>
      <c r="I490" s="345"/>
      <c r="J490" s="345"/>
      <c r="K490" s="347"/>
      <c r="L490"/>
      <c r="M490" s="348"/>
      <c r="N490" s="310" t="s">
        <v>1037</v>
      </c>
      <c r="O490" s="349" t="s">
        <v>1044</v>
      </c>
      <c r="P490" s="349" t="s">
        <v>1002</v>
      </c>
      <c r="Q490" s="349" t="s">
        <v>1002</v>
      </c>
      <c r="R490" s="349" t="s">
        <v>1054</v>
      </c>
      <c r="S490" s="346" t="s">
        <v>1059</v>
      </c>
      <c r="T490" s="346" t="s">
        <v>1049</v>
      </c>
      <c r="U490" s="346" t="s">
        <v>1060</v>
      </c>
      <c r="V490" s="346"/>
      <c r="W490" s="346"/>
      <c r="X490" s="346"/>
      <c r="Y490" s="346"/>
      <c r="Z490" s="346"/>
      <c r="AA490" s="346"/>
      <c r="AB490" s="346"/>
      <c r="AC490" s="346"/>
      <c r="AD490" s="346"/>
      <c r="AE490" s="346"/>
      <c r="AF490" s="346"/>
      <c r="AG490" s="346"/>
      <c r="AH490" s="346"/>
      <c r="AI490" s="346"/>
      <c r="AJ490" s="346"/>
      <c r="AK490" s="346"/>
      <c r="AL490" s="346"/>
      <c r="AM490" s="346"/>
      <c r="AN490" s="346"/>
      <c r="AO490" s="346"/>
      <c r="AP490" s="346"/>
      <c r="AQ490" s="346"/>
      <c r="AR490" s="346"/>
      <c r="AS490" s="346"/>
      <c r="AT490" s="346"/>
      <c r="AU490" s="346"/>
      <c r="AV490" s="346"/>
      <c r="AW490" s="346"/>
      <c r="AX490" s="346"/>
      <c r="AY490" s="346"/>
      <c r="AZ490" s="346"/>
      <c r="BA490" s="346"/>
      <c r="BB490" s="346"/>
      <c r="BC490" s="346"/>
      <c r="BD490" s="346"/>
      <c r="BE490" s="346"/>
      <c r="BF490" s="346"/>
      <c r="BG490" s="346"/>
      <c r="BH490" s="346"/>
      <c r="BI490" s="346"/>
      <c r="BJ490" s="346"/>
      <c r="BK490" s="346"/>
      <c r="BL490" s="346"/>
      <c r="BM490" s="346"/>
      <c r="BN490" s="346"/>
      <c r="BO490" s="346"/>
      <c r="BP490" s="346"/>
      <c r="BQ490" s="346"/>
      <c r="BR490" s="346"/>
      <c r="BS490" s="346"/>
      <c r="BT490" s="346"/>
      <c r="BU490" s="346"/>
      <c r="BV490" s="346"/>
      <c r="BW490" s="346"/>
      <c r="BX490" s="346"/>
      <c r="BY490" s="346"/>
      <c r="BZ490" s="346"/>
      <c r="CA490" s="346"/>
      <c r="CB490" s="346"/>
      <c r="CC490" s="346"/>
      <c r="CD490" s="346"/>
      <c r="CE490" s="346"/>
      <c r="CF490" s="346"/>
      <c r="CG490" s="346"/>
      <c r="CH490" s="346"/>
      <c r="CI490" s="346"/>
      <c r="CJ490" s="346"/>
      <c r="CK490" s="346"/>
      <c r="CL490" s="346"/>
      <c r="CM490" s="346"/>
      <c r="CN490" s="346"/>
      <c r="CO490" s="346"/>
      <c r="CP490" s="346"/>
      <c r="CQ490" s="346"/>
      <c r="CR490" s="346"/>
      <c r="CS490" s="346"/>
      <c r="CT490" s="346"/>
      <c r="CU490" s="346"/>
      <c r="CV490" s="346"/>
      <c r="CW490" s="346"/>
      <c r="CX490" s="346"/>
      <c r="CY490" s="346"/>
      <c r="CZ490" s="346"/>
      <c r="DA490" s="346"/>
      <c r="DB490" s="346"/>
      <c r="DC490" s="346"/>
      <c r="DD490" s="346"/>
      <c r="DE490" s="346"/>
      <c r="DF490" s="346"/>
      <c r="DG490" s="346"/>
      <c r="DH490" s="346"/>
      <c r="DI490" s="346"/>
    </row>
    <row r="491" spans="1:113" ht="15.75" thickBot="1" x14ac:dyDescent="0.3">
      <c r="A491" s="152">
        <v>24</v>
      </c>
      <c r="B491" s="60" t="s">
        <v>1058</v>
      </c>
      <c r="C491" s="43">
        <v>11000</v>
      </c>
      <c r="D491" s="34"/>
      <c r="E491" s="43">
        <v>200</v>
      </c>
      <c r="F491" s="60"/>
      <c r="G491" s="139">
        <f t="shared" ref="G491" si="139">+E491+F491</f>
        <v>200</v>
      </c>
      <c r="H491" s="55"/>
      <c r="I491" s="56">
        <f t="shared" ref="I491" si="140">+G491-H491</f>
        <v>200</v>
      </c>
      <c r="J491" s="56">
        <f t="shared" ref="J491" si="141">I491*C491</f>
        <v>2200000</v>
      </c>
      <c r="K491" s="57">
        <f t="shared" ref="K491" si="142">+D491*I491</f>
        <v>0</v>
      </c>
      <c r="L491"/>
      <c r="M491" s="314">
        <f t="shared" ref="M491" si="143">SUM(N491:DJ491)</f>
        <v>1694</v>
      </c>
      <c r="N491" s="310">
        <f>50+50</f>
        <v>100</v>
      </c>
      <c r="O491" s="315">
        <f>50</f>
        <v>50</v>
      </c>
      <c r="P491" s="315">
        <v>50</v>
      </c>
      <c r="Q491" s="315">
        <v>27</v>
      </c>
      <c r="R491" s="315">
        <f>50+50+50</f>
        <v>150</v>
      </c>
      <c r="S491" s="55">
        <f>50+50+50</f>
        <v>150</v>
      </c>
      <c r="T491" s="55">
        <f>50+50+50+50+50+50+50+50+50+50+17</f>
        <v>517</v>
      </c>
      <c r="U491" s="55">
        <f>50*13</f>
        <v>650</v>
      </c>
      <c r="V491" s="55"/>
      <c r="W491" s="55"/>
      <c r="X491" s="55"/>
      <c r="Y491" s="55"/>
      <c r="Z491" s="55"/>
      <c r="AA491" s="55"/>
      <c r="AB491" s="55"/>
      <c r="AC491" s="55"/>
      <c r="AD491" s="55"/>
      <c r="AE491" s="55"/>
      <c r="AF491" s="55"/>
      <c r="AG491" s="55"/>
      <c r="AH491" s="55"/>
      <c r="AI491" s="55"/>
      <c r="AJ491" s="55"/>
      <c r="AK491" s="55"/>
      <c r="AL491" s="55"/>
      <c r="AM491" s="55"/>
      <c r="AN491" s="55"/>
      <c r="AO491" s="55"/>
      <c r="AP491" s="55"/>
      <c r="AQ491" s="55"/>
      <c r="AR491" s="55"/>
      <c r="AS491" s="55"/>
      <c r="AT491" s="55"/>
      <c r="AU491" s="55"/>
      <c r="AV491" s="55"/>
      <c r="AW491" s="55"/>
      <c r="AX491" s="55"/>
      <c r="AY491" s="55"/>
      <c r="AZ491" s="55"/>
      <c r="BA491" s="55"/>
      <c r="BB491" s="55"/>
      <c r="BC491" s="55"/>
      <c r="BD491" s="55"/>
      <c r="BE491" s="55"/>
      <c r="BF491" s="55"/>
      <c r="BG491" s="55"/>
      <c r="BH491" s="55"/>
      <c r="BI491" s="55"/>
      <c r="BJ491" s="55"/>
      <c r="BK491" s="55"/>
      <c r="BL491" s="55"/>
      <c r="BM491" s="55"/>
      <c r="BN491" s="55"/>
      <c r="BO491" s="55"/>
      <c r="BP491" s="55"/>
      <c r="BQ491" s="55"/>
      <c r="BR491" s="55"/>
      <c r="BS491" s="55"/>
      <c r="BT491" s="55"/>
      <c r="BU491" s="55"/>
      <c r="BV491" s="55"/>
      <c r="BW491" s="55"/>
      <c r="BX491" s="55"/>
      <c r="BY491" s="55"/>
      <c r="BZ491" s="55"/>
      <c r="CA491" s="55"/>
      <c r="CB491" s="55"/>
      <c r="CC491" s="55"/>
      <c r="CD491" s="55"/>
      <c r="CE491" s="55"/>
      <c r="CF491" s="55"/>
      <c r="CG491" s="55"/>
      <c r="CH491" s="55"/>
      <c r="CI491" s="55"/>
      <c r="CJ491" s="55"/>
      <c r="CK491" s="55"/>
      <c r="CL491" s="55"/>
      <c r="CM491" s="55"/>
      <c r="CN491" s="55"/>
      <c r="CO491" s="55"/>
      <c r="CP491" s="55"/>
      <c r="CQ491" s="55"/>
      <c r="CR491" s="55"/>
      <c r="CS491" s="55"/>
      <c r="CT491" s="55"/>
      <c r="CU491" s="55"/>
      <c r="CV491" s="55"/>
      <c r="CW491" s="55"/>
      <c r="CX491" s="55"/>
      <c r="CY491" s="55"/>
      <c r="CZ491" s="55"/>
      <c r="DA491" s="55"/>
      <c r="DB491" s="55"/>
      <c r="DC491" s="55"/>
      <c r="DD491" s="55"/>
      <c r="DE491" s="55"/>
      <c r="DF491" s="55"/>
      <c r="DG491" s="55"/>
      <c r="DH491" s="55"/>
      <c r="DI491" s="55"/>
    </row>
    <row r="492" spans="1:113" ht="15.75" thickBot="1" x14ac:dyDescent="0.3">
      <c r="A492" s="128"/>
      <c r="B492" s="119" t="s">
        <v>684</v>
      </c>
      <c r="C492" s="36"/>
      <c r="D492" s="36"/>
      <c r="E492" s="29">
        <f t="shared" ref="E492:J492" si="144">SUM(E447:E479)</f>
        <v>12068</v>
      </c>
      <c r="F492" s="29">
        <f t="shared" si="144"/>
        <v>0</v>
      </c>
      <c r="G492" s="29">
        <f t="shared" si="144"/>
        <v>12068</v>
      </c>
      <c r="H492" s="29">
        <f t="shared" si="144"/>
        <v>0</v>
      </c>
      <c r="I492" s="29">
        <f t="shared" si="144"/>
        <v>12068</v>
      </c>
      <c r="J492" s="29">
        <f t="shared" si="144"/>
        <v>158665000</v>
      </c>
      <c r="K492" s="47">
        <f t="shared" ref="K492" si="145">SUM(K447:K475)</f>
        <v>27496410</v>
      </c>
      <c r="L492"/>
      <c r="M492" s="326">
        <f t="shared" si="119"/>
        <v>0</v>
      </c>
      <c r="N492" s="325"/>
      <c r="O492" s="325"/>
      <c r="P492" s="325"/>
      <c r="Q492" s="325"/>
      <c r="R492" s="325"/>
      <c r="S492" s="324"/>
      <c r="T492" s="324"/>
      <c r="U492" s="324"/>
      <c r="V492" s="324"/>
      <c r="W492" s="324"/>
      <c r="X492" s="324"/>
      <c r="Y492" s="324"/>
      <c r="Z492" s="324"/>
      <c r="AA492" s="324"/>
      <c r="AB492" s="324"/>
      <c r="AC492" s="324"/>
      <c r="AD492" s="324"/>
      <c r="AE492" s="324"/>
      <c r="AF492" s="324"/>
      <c r="AG492" s="324"/>
      <c r="AH492" s="324"/>
      <c r="AI492" s="324"/>
      <c r="AJ492" s="324"/>
      <c r="AK492" s="324"/>
      <c r="AL492" s="324"/>
      <c r="AM492" s="324"/>
      <c r="AN492" s="324"/>
      <c r="AO492" s="324"/>
      <c r="AP492" s="324"/>
      <c r="AQ492" s="324"/>
      <c r="AR492" s="324"/>
      <c r="AS492" s="324"/>
      <c r="AT492" s="324"/>
      <c r="AU492" s="324"/>
      <c r="AV492" s="324"/>
      <c r="AW492" s="324"/>
      <c r="AX492" s="324"/>
      <c r="AY492" s="324"/>
      <c r="AZ492" s="324"/>
      <c r="BA492" s="324"/>
      <c r="BB492" s="324"/>
      <c r="BC492" s="324"/>
      <c r="BD492" s="324"/>
      <c r="BE492" s="324"/>
      <c r="BF492" s="324"/>
      <c r="BG492" s="324"/>
      <c r="BH492" s="324"/>
      <c r="BI492" s="324"/>
      <c r="BJ492" s="324"/>
      <c r="BK492" s="324"/>
      <c r="BL492" s="324"/>
      <c r="BM492" s="324"/>
      <c r="BN492" s="324"/>
      <c r="BO492" s="324"/>
      <c r="BP492" s="324"/>
      <c r="BQ492" s="324"/>
      <c r="BR492" s="324"/>
      <c r="BS492" s="324"/>
      <c r="BT492" s="324"/>
      <c r="BU492" s="324"/>
      <c r="BV492" s="324"/>
      <c r="BW492" s="324"/>
      <c r="BX492" s="324"/>
      <c r="BY492" s="324"/>
      <c r="BZ492" s="324"/>
      <c r="CA492" s="324"/>
      <c r="CB492" s="324"/>
      <c r="CC492" s="324"/>
      <c r="CD492" s="324"/>
      <c r="CE492" s="324"/>
      <c r="CF492" s="324"/>
      <c r="CG492" s="324"/>
      <c r="CH492" s="324"/>
      <c r="CI492" s="324"/>
      <c r="CJ492" s="324"/>
      <c r="CK492" s="324"/>
      <c r="CL492" s="324"/>
      <c r="CM492" s="324"/>
      <c r="CN492" s="324"/>
      <c r="CO492" s="324"/>
      <c r="CP492" s="324"/>
      <c r="CQ492" s="324"/>
      <c r="CR492" s="324"/>
      <c r="CS492" s="324"/>
      <c r="CT492" s="324"/>
      <c r="CU492" s="324"/>
      <c r="CV492" s="324"/>
      <c r="CW492" s="324"/>
      <c r="CX492" s="324"/>
      <c r="CY492" s="324"/>
      <c r="CZ492" s="324"/>
      <c r="DA492" s="324"/>
      <c r="DB492" s="324"/>
      <c r="DC492" s="324"/>
      <c r="DD492" s="324"/>
      <c r="DE492" s="324"/>
      <c r="DF492" s="324"/>
      <c r="DG492" s="324"/>
      <c r="DH492" s="324"/>
      <c r="DI492" s="324"/>
    </row>
    <row r="493" spans="1:113" ht="15.75" thickBot="1" x14ac:dyDescent="0.3">
      <c r="B493" s="161"/>
      <c r="C493" s="162"/>
      <c r="D493" s="163"/>
      <c r="E493" s="164"/>
      <c r="F493" s="67"/>
      <c r="G493" s="164"/>
      <c r="H493" s="164"/>
      <c r="I493" s="164"/>
      <c r="J493" s="164"/>
      <c r="K493" s="163"/>
      <c r="L493"/>
      <c r="M493"/>
      <c r="N493"/>
      <c r="O493"/>
      <c r="P493"/>
      <c r="Q493"/>
      <c r="R493"/>
      <c r="S493"/>
      <c r="T493"/>
      <c r="U493"/>
      <c r="V493"/>
    </row>
    <row r="494" spans="1:113" ht="15.75" thickBot="1" x14ac:dyDescent="0.3">
      <c r="A494" s="407" t="s">
        <v>657</v>
      </c>
      <c r="B494" s="414" t="s">
        <v>708</v>
      </c>
      <c r="C494" s="414" t="s">
        <v>1</v>
      </c>
      <c r="D494" s="415" t="s">
        <v>649</v>
      </c>
      <c r="E494" s="416" t="s">
        <v>19</v>
      </c>
      <c r="F494" s="416"/>
      <c r="G494" s="416"/>
      <c r="H494" s="416"/>
      <c r="I494" s="416"/>
      <c r="J494" s="410" t="s">
        <v>21</v>
      </c>
      <c r="K494" s="417" t="s">
        <v>602</v>
      </c>
      <c r="L494"/>
      <c r="M494" s="403" t="s">
        <v>601</v>
      </c>
      <c r="N494" s="403" t="s">
        <v>924</v>
      </c>
      <c r="O494" s="403"/>
      <c r="P494" s="403"/>
      <c r="Q494" s="403"/>
      <c r="R494" s="403"/>
      <c r="S494" s="403"/>
      <c r="T494" s="403"/>
      <c r="U494" s="403"/>
      <c r="V494" s="403"/>
      <c r="W494" s="403"/>
      <c r="X494" s="403"/>
      <c r="Y494" s="403"/>
      <c r="Z494" s="403"/>
      <c r="AA494" s="403"/>
      <c r="AB494" s="403"/>
      <c r="AC494" s="403"/>
      <c r="AD494" s="403"/>
      <c r="AE494" s="403"/>
      <c r="AF494" s="403"/>
      <c r="AG494" s="403"/>
      <c r="AH494" s="403"/>
      <c r="AI494" s="403"/>
      <c r="AJ494" s="403"/>
      <c r="AK494" s="403"/>
      <c r="AL494" s="403"/>
      <c r="AM494" s="403"/>
      <c r="AN494" s="403"/>
      <c r="AO494" s="403"/>
      <c r="AP494" s="403"/>
      <c r="AQ494" s="403"/>
      <c r="AR494" s="403"/>
      <c r="AS494" s="403"/>
      <c r="AT494" s="403"/>
      <c r="AU494" s="403"/>
      <c r="AV494" s="403"/>
      <c r="AW494" s="403"/>
      <c r="AX494" s="403"/>
      <c r="AY494" s="403"/>
      <c r="AZ494" s="403"/>
      <c r="BA494" s="403"/>
      <c r="BB494" s="403"/>
      <c r="BC494" s="403"/>
      <c r="BD494" s="403"/>
      <c r="BE494" s="403"/>
      <c r="BF494" s="403"/>
      <c r="BG494" s="403"/>
      <c r="BH494" s="403"/>
      <c r="BI494" s="403"/>
      <c r="BJ494" s="403"/>
      <c r="BK494" s="403"/>
      <c r="BL494" s="403"/>
      <c r="BM494" s="403"/>
      <c r="BN494" s="403"/>
      <c r="BO494" s="403"/>
      <c r="BP494" s="403"/>
      <c r="BQ494" s="403"/>
      <c r="BR494" s="403"/>
      <c r="BS494" s="403"/>
      <c r="BT494" s="403"/>
      <c r="BU494" s="403"/>
      <c r="BV494" s="403"/>
      <c r="BW494" s="403"/>
      <c r="BX494" s="403"/>
      <c r="BY494" s="403"/>
      <c r="BZ494" s="403"/>
      <c r="CA494" s="403"/>
      <c r="CB494" s="403"/>
      <c r="CC494" s="403"/>
      <c r="CD494" s="403"/>
      <c r="CE494" s="403"/>
      <c r="CF494" s="403"/>
      <c r="CG494" s="403"/>
      <c r="CH494" s="403"/>
      <c r="CI494" s="403"/>
      <c r="CJ494" s="403"/>
      <c r="CK494" s="403"/>
      <c r="CL494" s="403"/>
      <c r="CM494" s="403"/>
      <c r="CN494" s="403"/>
      <c r="CO494" s="403"/>
      <c r="CP494" s="403"/>
      <c r="CQ494" s="403"/>
      <c r="CR494" s="403"/>
      <c r="CS494" s="403"/>
      <c r="CT494" s="403"/>
      <c r="CU494" s="403"/>
      <c r="CV494" s="403"/>
      <c r="CW494" s="403"/>
      <c r="CX494" s="403"/>
      <c r="CY494" s="403"/>
      <c r="CZ494" s="403"/>
      <c r="DA494" s="403"/>
      <c r="DB494" s="403"/>
      <c r="DC494" s="403"/>
      <c r="DD494" s="403"/>
      <c r="DE494" s="403"/>
      <c r="DF494" s="403"/>
      <c r="DG494" s="403"/>
      <c r="DH494" s="403"/>
      <c r="DI494" s="403"/>
    </row>
    <row r="495" spans="1:113" ht="30.75" thickBot="1" x14ac:dyDescent="0.3">
      <c r="A495" s="408"/>
      <c r="B495" s="414"/>
      <c r="C495" s="414"/>
      <c r="D495" s="415"/>
      <c r="E495" s="68" t="s">
        <v>22</v>
      </c>
      <c r="F495" s="68" t="s">
        <v>600</v>
      </c>
      <c r="G495" s="68" t="s">
        <v>601</v>
      </c>
      <c r="H495" s="68" t="s">
        <v>589</v>
      </c>
      <c r="I495" s="68" t="s">
        <v>601</v>
      </c>
      <c r="J495" s="411"/>
      <c r="K495" s="418"/>
      <c r="L495"/>
      <c r="M495" s="403"/>
      <c r="N495" s="400" t="s">
        <v>925</v>
      </c>
      <c r="O495" s="400" t="s">
        <v>926</v>
      </c>
      <c r="P495" s="400"/>
      <c r="Q495" s="400"/>
      <c r="R495" s="400"/>
      <c r="S495" s="398"/>
      <c r="T495" s="398"/>
      <c r="U495" s="398"/>
      <c r="V495" s="398"/>
      <c r="W495" s="398"/>
      <c r="X495" s="398"/>
      <c r="Y495" s="398"/>
      <c r="Z495" s="398"/>
      <c r="AA495" s="398"/>
      <c r="AB495" s="398"/>
      <c r="AC495" s="398"/>
      <c r="AD495" s="398"/>
      <c r="AE495" s="398"/>
      <c r="AF495" s="398"/>
      <c r="AG495" s="398"/>
      <c r="AH495" s="398"/>
      <c r="AI495" s="398"/>
      <c r="AJ495" s="398"/>
      <c r="AK495" s="398"/>
      <c r="AL495" s="398"/>
      <c r="AM495" s="398"/>
      <c r="AN495" s="398"/>
      <c r="AO495" s="398"/>
      <c r="AP495" s="398"/>
      <c r="AQ495" s="398"/>
      <c r="AR495" s="398"/>
      <c r="AS495" s="398"/>
      <c r="AT495" s="398"/>
      <c r="AU495" s="398"/>
      <c r="AV495" s="398"/>
      <c r="AW495" s="398"/>
      <c r="AX495" s="398"/>
      <c r="AY495" s="398"/>
      <c r="AZ495" s="398"/>
      <c r="BA495" s="398"/>
      <c r="BB495" s="398"/>
      <c r="BC495" s="398"/>
      <c r="BD495" s="398"/>
      <c r="BE495" s="398"/>
      <c r="BF495" s="398"/>
      <c r="BG495" s="398"/>
      <c r="BH495" s="398"/>
      <c r="BI495" s="398"/>
      <c r="BJ495" s="398"/>
      <c r="BK495" s="398"/>
      <c r="BL495" s="398"/>
      <c r="BM495" s="398"/>
      <c r="BN495" s="398"/>
      <c r="BO495" s="398"/>
      <c r="BP495" s="398"/>
      <c r="BQ495" s="398"/>
      <c r="BR495" s="398"/>
      <c r="BS495" s="398"/>
      <c r="BT495" s="398"/>
      <c r="BU495" s="398"/>
      <c r="BV495" s="398"/>
      <c r="BW495" s="398"/>
      <c r="BX495" s="398"/>
      <c r="BY495" s="398"/>
      <c r="BZ495" s="398"/>
      <c r="CA495" s="398"/>
      <c r="CB495" s="398"/>
      <c r="CC495" s="398"/>
      <c r="CD495" s="398"/>
      <c r="CE495" s="398"/>
      <c r="CF495" s="398"/>
      <c r="CG495" s="398"/>
      <c r="CH495" s="398"/>
      <c r="CI495" s="398"/>
      <c r="CJ495" s="398"/>
      <c r="CK495" s="398"/>
      <c r="CL495" s="398"/>
      <c r="CM495" s="398"/>
      <c r="CN495" s="398"/>
      <c r="CO495" s="398"/>
      <c r="CP495" s="398"/>
      <c r="CQ495" s="398"/>
      <c r="CR495" s="398"/>
      <c r="CS495" s="398"/>
      <c r="CT495" s="398"/>
      <c r="CU495" s="398"/>
      <c r="CV495" s="398"/>
      <c r="CW495" s="398"/>
      <c r="CX495" s="398"/>
      <c r="CY495" s="398"/>
      <c r="CZ495" s="398"/>
      <c r="DA495" s="398"/>
      <c r="DB495" s="398"/>
      <c r="DC495" s="398"/>
      <c r="DD495" s="398"/>
      <c r="DE495" s="398"/>
      <c r="DF495" s="398"/>
      <c r="DG495" s="398"/>
      <c r="DH495" s="398"/>
      <c r="DI495" s="398"/>
    </row>
    <row r="496" spans="1:113" ht="15.75" thickBot="1" x14ac:dyDescent="0.3">
      <c r="A496" s="409"/>
      <c r="B496" s="185">
        <v>1</v>
      </c>
      <c r="C496" s="185">
        <v>2</v>
      </c>
      <c r="D496" s="185">
        <v>3</v>
      </c>
      <c r="E496" s="70">
        <v>4</v>
      </c>
      <c r="F496" s="70">
        <f>+E496+1</f>
        <v>5</v>
      </c>
      <c r="G496" s="70" t="s">
        <v>652</v>
      </c>
      <c r="H496" s="70">
        <v>7</v>
      </c>
      <c r="I496" s="71" t="s">
        <v>651</v>
      </c>
      <c r="J496" s="42" t="s">
        <v>650</v>
      </c>
      <c r="K496" s="42" t="s">
        <v>653</v>
      </c>
      <c r="L496"/>
      <c r="M496" s="403"/>
      <c r="N496" s="402"/>
      <c r="O496" s="402"/>
      <c r="P496" s="402"/>
      <c r="Q496" s="402"/>
      <c r="R496" s="402"/>
      <c r="S496" s="399"/>
      <c r="T496" s="399"/>
      <c r="U496" s="399"/>
      <c r="V496" s="399"/>
      <c r="W496" s="399"/>
      <c r="X496" s="399"/>
      <c r="Y496" s="399"/>
      <c r="Z496" s="399"/>
      <c r="AA496" s="399"/>
      <c r="AB496" s="399"/>
      <c r="AC496" s="399"/>
      <c r="AD496" s="399"/>
      <c r="AE496" s="399"/>
      <c r="AF496" s="399"/>
      <c r="AG496" s="399"/>
      <c r="AH496" s="399"/>
      <c r="AI496" s="399"/>
      <c r="AJ496" s="399"/>
      <c r="AK496" s="399"/>
      <c r="AL496" s="399"/>
      <c r="AM496" s="399"/>
      <c r="AN496" s="399"/>
      <c r="AO496" s="399"/>
      <c r="AP496" s="399"/>
      <c r="AQ496" s="399"/>
      <c r="AR496" s="399"/>
      <c r="AS496" s="399"/>
      <c r="AT496" s="399"/>
      <c r="AU496" s="399"/>
      <c r="AV496" s="399"/>
      <c r="AW496" s="399"/>
      <c r="AX496" s="399"/>
      <c r="AY496" s="399"/>
      <c r="AZ496" s="399"/>
      <c r="BA496" s="399"/>
      <c r="BB496" s="399"/>
      <c r="BC496" s="399"/>
      <c r="BD496" s="399"/>
      <c r="BE496" s="399"/>
      <c r="BF496" s="399"/>
      <c r="BG496" s="399"/>
      <c r="BH496" s="399"/>
      <c r="BI496" s="399"/>
      <c r="BJ496" s="399"/>
      <c r="BK496" s="399"/>
      <c r="BL496" s="399"/>
      <c r="BM496" s="399"/>
      <c r="BN496" s="399"/>
      <c r="BO496" s="399"/>
      <c r="BP496" s="399"/>
      <c r="BQ496" s="399"/>
      <c r="BR496" s="399"/>
      <c r="BS496" s="399"/>
      <c r="BT496" s="399"/>
      <c r="BU496" s="399"/>
      <c r="BV496" s="399"/>
      <c r="BW496" s="399"/>
      <c r="BX496" s="399"/>
      <c r="BY496" s="399"/>
      <c r="BZ496" s="399"/>
      <c r="CA496" s="399"/>
      <c r="CB496" s="399"/>
      <c r="CC496" s="399"/>
      <c r="CD496" s="399"/>
      <c r="CE496" s="399"/>
      <c r="CF496" s="399"/>
      <c r="CG496" s="399"/>
      <c r="CH496" s="399"/>
      <c r="CI496" s="399"/>
      <c r="CJ496" s="399"/>
      <c r="CK496" s="399"/>
      <c r="CL496" s="399"/>
      <c r="CM496" s="399"/>
      <c r="CN496" s="399"/>
      <c r="CO496" s="399"/>
      <c r="CP496" s="399"/>
      <c r="CQ496" s="399"/>
      <c r="CR496" s="399"/>
      <c r="CS496" s="399"/>
      <c r="CT496" s="399"/>
      <c r="CU496" s="399"/>
      <c r="CV496" s="399"/>
      <c r="CW496" s="399"/>
      <c r="CX496" s="399"/>
      <c r="CY496" s="399"/>
      <c r="CZ496" s="399"/>
      <c r="DA496" s="399"/>
      <c r="DB496" s="399"/>
      <c r="DC496" s="399"/>
      <c r="DD496" s="399"/>
      <c r="DE496" s="399"/>
      <c r="DF496" s="399"/>
      <c r="DG496" s="399"/>
      <c r="DH496" s="399"/>
      <c r="DI496" s="399"/>
    </row>
    <row r="497" spans="1:113" x14ac:dyDescent="0.25">
      <c r="A497" s="160"/>
      <c r="B497" s="72" t="s">
        <v>712</v>
      </c>
      <c r="C497" s="54"/>
      <c r="D497" s="54"/>
      <c r="E497" s="54"/>
      <c r="F497" s="54"/>
      <c r="G497" s="54"/>
      <c r="H497" s="54"/>
      <c r="I497" s="54"/>
      <c r="J497" s="54"/>
      <c r="K497" s="54"/>
      <c r="L497"/>
      <c r="M497" s="314">
        <f t="shared" ref="M497:M515" si="146">SUM(N497:DJ497)</f>
        <v>0</v>
      </c>
      <c r="N497" s="310"/>
      <c r="O497" s="315"/>
      <c r="P497" s="315"/>
      <c r="Q497" s="315"/>
      <c r="R497" s="315"/>
      <c r="S497" s="55"/>
      <c r="T497" s="55"/>
      <c r="U497" s="55"/>
      <c r="V497" s="55"/>
      <c r="W497" s="55"/>
      <c r="X497" s="55"/>
      <c r="Y497" s="55"/>
      <c r="Z497" s="55"/>
      <c r="AA497" s="55"/>
      <c r="AB497" s="55"/>
      <c r="AC497" s="55"/>
      <c r="AD497" s="55"/>
      <c r="AE497" s="55"/>
      <c r="AF497" s="55"/>
      <c r="AG497" s="55"/>
      <c r="AH497" s="55"/>
      <c r="AI497" s="55"/>
      <c r="AJ497" s="55"/>
      <c r="AK497" s="55"/>
      <c r="AL497" s="55"/>
      <c r="AM497" s="55"/>
      <c r="AN497" s="55"/>
      <c r="AO497" s="55"/>
      <c r="AP497" s="55"/>
      <c r="AQ497" s="55"/>
      <c r="AR497" s="55"/>
      <c r="AS497" s="55"/>
      <c r="AT497" s="55"/>
      <c r="AU497" s="55"/>
      <c r="AV497" s="55"/>
      <c r="AW497" s="55"/>
      <c r="AX497" s="55"/>
      <c r="AY497" s="55"/>
      <c r="AZ497" s="55"/>
      <c r="BA497" s="55"/>
      <c r="BB497" s="55"/>
      <c r="BC497" s="55"/>
      <c r="BD497" s="55"/>
      <c r="BE497" s="55"/>
      <c r="BF497" s="55"/>
      <c r="BG497" s="55"/>
      <c r="BH497" s="55"/>
      <c r="BI497" s="55"/>
      <c r="BJ497" s="55"/>
      <c r="BK497" s="55"/>
      <c r="BL497" s="55"/>
      <c r="BM497" s="55"/>
      <c r="BN497" s="55"/>
      <c r="BO497" s="55"/>
      <c r="BP497" s="55"/>
      <c r="BQ497" s="55"/>
      <c r="BR497" s="55"/>
      <c r="BS497" s="55"/>
      <c r="BT497" s="55"/>
      <c r="BU497" s="55"/>
      <c r="BV497" s="55"/>
      <c r="BW497" s="55"/>
      <c r="BX497" s="55"/>
      <c r="BY497" s="55"/>
      <c r="BZ497" s="55"/>
      <c r="CA497" s="55"/>
      <c r="CB497" s="55"/>
      <c r="CC497" s="55"/>
      <c r="CD497" s="55"/>
      <c r="CE497" s="55"/>
      <c r="CF497" s="55"/>
      <c r="CG497" s="55"/>
      <c r="CH497" s="55"/>
      <c r="CI497" s="55"/>
      <c r="CJ497" s="55"/>
      <c r="CK497" s="55"/>
      <c r="CL497" s="55"/>
      <c r="CM497" s="55"/>
      <c r="CN497" s="55"/>
      <c r="CO497" s="55"/>
      <c r="CP497" s="55"/>
      <c r="CQ497" s="55"/>
      <c r="CR497" s="55"/>
      <c r="CS497" s="55"/>
      <c r="CT497" s="55"/>
      <c r="CU497" s="55"/>
      <c r="CV497" s="55"/>
      <c r="CW497" s="55"/>
      <c r="CX497" s="55"/>
      <c r="CY497" s="55"/>
      <c r="CZ497" s="55"/>
      <c r="DA497" s="55"/>
      <c r="DB497" s="55"/>
      <c r="DC497" s="55"/>
      <c r="DD497" s="55"/>
      <c r="DE497" s="55"/>
      <c r="DF497" s="55"/>
      <c r="DG497" s="55"/>
      <c r="DH497" s="55"/>
      <c r="DI497" s="55"/>
    </row>
    <row r="498" spans="1:113" x14ac:dyDescent="0.25">
      <c r="A498" s="152">
        <v>1</v>
      </c>
      <c r="B498" s="60" t="s">
        <v>451</v>
      </c>
      <c r="C498" s="173">
        <v>12500</v>
      </c>
      <c r="D498" s="174">
        <v>2514.64</v>
      </c>
      <c r="E498" s="43">
        <v>194</v>
      </c>
      <c r="F498" s="60"/>
      <c r="G498" s="139">
        <f t="shared" ref="G498:G514" si="147">+E498+F498</f>
        <v>194</v>
      </c>
      <c r="H498" s="55"/>
      <c r="I498" s="56">
        <f t="shared" ref="I498:I514" si="148">+G498-H498</f>
        <v>194</v>
      </c>
      <c r="J498" s="56">
        <f t="shared" ref="J498:J514" si="149">I498*C498</f>
        <v>2425000</v>
      </c>
      <c r="K498" s="57">
        <f t="shared" ref="K498:K514" si="150">+D498*I498</f>
        <v>487840.16</v>
      </c>
      <c r="L498"/>
      <c r="M498" s="314">
        <f t="shared" si="146"/>
        <v>0</v>
      </c>
      <c r="N498" s="310"/>
      <c r="O498" s="315"/>
      <c r="P498" s="315"/>
      <c r="Q498" s="315"/>
      <c r="R498" s="315"/>
      <c r="S498" s="55"/>
      <c r="T498" s="55"/>
      <c r="U498" s="55"/>
      <c r="V498" s="55"/>
      <c r="W498" s="55"/>
      <c r="X498" s="55"/>
      <c r="Y498" s="55"/>
      <c r="Z498" s="55"/>
      <c r="AA498" s="55"/>
      <c r="AB498" s="55"/>
      <c r="AC498" s="55"/>
      <c r="AD498" s="55"/>
      <c r="AE498" s="55"/>
      <c r="AF498" s="55"/>
      <c r="AG498" s="55"/>
      <c r="AH498" s="55"/>
      <c r="AI498" s="55"/>
      <c r="AJ498" s="55"/>
      <c r="AK498" s="55"/>
      <c r="AL498" s="55"/>
      <c r="AM498" s="55"/>
      <c r="AN498" s="55"/>
      <c r="AO498" s="55"/>
      <c r="AP498" s="55"/>
      <c r="AQ498" s="55"/>
      <c r="AR498" s="55"/>
      <c r="AS498" s="55"/>
      <c r="AT498" s="55"/>
      <c r="AU498" s="55"/>
      <c r="AV498" s="55"/>
      <c r="AW498" s="55"/>
      <c r="AX498" s="55"/>
      <c r="AY498" s="55"/>
      <c r="AZ498" s="55"/>
      <c r="BA498" s="55"/>
      <c r="BB498" s="55"/>
      <c r="BC498" s="55"/>
      <c r="BD498" s="55"/>
      <c r="BE498" s="55"/>
      <c r="BF498" s="55"/>
      <c r="BG498" s="55"/>
      <c r="BH498" s="55"/>
      <c r="BI498" s="55"/>
      <c r="BJ498" s="55"/>
      <c r="BK498" s="55"/>
      <c r="BL498" s="55"/>
      <c r="BM498" s="55"/>
      <c r="BN498" s="55"/>
      <c r="BO498" s="55"/>
      <c r="BP498" s="55"/>
      <c r="BQ498" s="55"/>
      <c r="BR498" s="55"/>
      <c r="BS498" s="55"/>
      <c r="BT498" s="55"/>
      <c r="BU498" s="55"/>
      <c r="BV498" s="55"/>
      <c r="BW498" s="55"/>
      <c r="BX498" s="55"/>
      <c r="BY498" s="55"/>
      <c r="BZ498" s="55"/>
      <c r="CA498" s="55"/>
      <c r="CB498" s="55"/>
      <c r="CC498" s="55"/>
      <c r="CD498" s="55"/>
      <c r="CE498" s="55"/>
      <c r="CF498" s="55"/>
      <c r="CG498" s="55"/>
      <c r="CH498" s="55"/>
      <c r="CI498" s="55"/>
      <c r="CJ498" s="55"/>
      <c r="CK498" s="55"/>
      <c r="CL498" s="55"/>
      <c r="CM498" s="55"/>
      <c r="CN498" s="55"/>
      <c r="CO498" s="55"/>
      <c r="CP498" s="55"/>
      <c r="CQ498" s="55"/>
      <c r="CR498" s="55"/>
      <c r="CS498" s="55"/>
      <c r="CT498" s="55"/>
      <c r="CU498" s="55"/>
      <c r="CV498" s="55"/>
      <c r="CW498" s="55"/>
      <c r="CX498" s="55"/>
      <c r="CY498" s="55"/>
      <c r="CZ498" s="55"/>
      <c r="DA498" s="55"/>
      <c r="DB498" s="55"/>
      <c r="DC498" s="55"/>
      <c r="DD498" s="55"/>
      <c r="DE498" s="55"/>
      <c r="DF498" s="55"/>
      <c r="DG498" s="55"/>
      <c r="DH498" s="55"/>
      <c r="DI498" s="55"/>
    </row>
    <row r="499" spans="1:113" x14ac:dyDescent="0.25">
      <c r="A499" s="152">
        <v>2</v>
      </c>
      <c r="B499" s="60" t="s">
        <v>452</v>
      </c>
      <c r="C499" s="173">
        <v>10000</v>
      </c>
      <c r="D499" s="174">
        <v>2517</v>
      </c>
      <c r="E499" s="43">
        <v>95</v>
      </c>
      <c r="F499" s="60"/>
      <c r="G499" s="139">
        <f t="shared" si="147"/>
        <v>95</v>
      </c>
      <c r="H499" s="55"/>
      <c r="I499" s="56">
        <f t="shared" si="148"/>
        <v>95</v>
      </c>
      <c r="J499" s="56">
        <f t="shared" si="149"/>
        <v>950000</v>
      </c>
      <c r="K499" s="57">
        <f t="shared" si="150"/>
        <v>239115</v>
      </c>
      <c r="L499"/>
      <c r="M499" s="314">
        <f t="shared" si="146"/>
        <v>0</v>
      </c>
      <c r="N499" s="310"/>
      <c r="O499" s="315"/>
      <c r="P499" s="315"/>
      <c r="Q499" s="315"/>
      <c r="R499" s="315"/>
      <c r="S499" s="55"/>
      <c r="T499" s="55"/>
      <c r="U499" s="55"/>
      <c r="V499" s="55"/>
      <c r="W499" s="55"/>
      <c r="X499" s="55"/>
      <c r="Y499" s="55"/>
      <c r="Z499" s="55"/>
      <c r="AA499" s="55"/>
      <c r="AB499" s="55"/>
      <c r="AC499" s="55"/>
      <c r="AD499" s="55"/>
      <c r="AE499" s="55"/>
      <c r="AF499" s="55"/>
      <c r="AG499" s="55"/>
      <c r="AH499" s="55"/>
      <c r="AI499" s="55"/>
      <c r="AJ499" s="55"/>
      <c r="AK499" s="55"/>
      <c r="AL499" s="55"/>
      <c r="AM499" s="55"/>
      <c r="AN499" s="55"/>
      <c r="AO499" s="55"/>
      <c r="AP499" s="55"/>
      <c r="AQ499" s="55"/>
      <c r="AR499" s="55"/>
      <c r="AS499" s="55"/>
      <c r="AT499" s="55"/>
      <c r="AU499" s="55"/>
      <c r="AV499" s="55"/>
      <c r="AW499" s="55"/>
      <c r="AX499" s="55"/>
      <c r="AY499" s="55"/>
      <c r="AZ499" s="55"/>
      <c r="BA499" s="55"/>
      <c r="BB499" s="55"/>
      <c r="BC499" s="55"/>
      <c r="BD499" s="55"/>
      <c r="BE499" s="55"/>
      <c r="BF499" s="55"/>
      <c r="BG499" s="55"/>
      <c r="BH499" s="55"/>
      <c r="BI499" s="55"/>
      <c r="BJ499" s="55"/>
      <c r="BK499" s="55"/>
      <c r="BL499" s="55"/>
      <c r="BM499" s="55"/>
      <c r="BN499" s="55"/>
      <c r="BO499" s="55"/>
      <c r="BP499" s="55"/>
      <c r="BQ499" s="55"/>
      <c r="BR499" s="55"/>
      <c r="BS499" s="55"/>
      <c r="BT499" s="55"/>
      <c r="BU499" s="55"/>
      <c r="BV499" s="55"/>
      <c r="BW499" s="55"/>
      <c r="BX499" s="55"/>
      <c r="BY499" s="55"/>
      <c r="BZ499" s="55"/>
      <c r="CA499" s="55"/>
      <c r="CB499" s="55"/>
      <c r="CC499" s="55"/>
      <c r="CD499" s="55"/>
      <c r="CE499" s="55"/>
      <c r="CF499" s="55"/>
      <c r="CG499" s="55"/>
      <c r="CH499" s="55"/>
      <c r="CI499" s="55"/>
      <c r="CJ499" s="55"/>
      <c r="CK499" s="55"/>
      <c r="CL499" s="55"/>
      <c r="CM499" s="55"/>
      <c r="CN499" s="55"/>
      <c r="CO499" s="55"/>
      <c r="CP499" s="55"/>
      <c r="CQ499" s="55"/>
      <c r="CR499" s="55"/>
      <c r="CS499" s="55"/>
      <c r="CT499" s="55"/>
      <c r="CU499" s="55"/>
      <c r="CV499" s="55"/>
      <c r="CW499" s="55"/>
      <c r="CX499" s="55"/>
      <c r="CY499" s="55"/>
      <c r="CZ499" s="55"/>
      <c r="DA499" s="55"/>
      <c r="DB499" s="55"/>
      <c r="DC499" s="55"/>
      <c r="DD499" s="55"/>
      <c r="DE499" s="55"/>
      <c r="DF499" s="55"/>
      <c r="DG499" s="55"/>
      <c r="DH499" s="55"/>
      <c r="DI499" s="55"/>
    </row>
    <row r="500" spans="1:113" x14ac:dyDescent="0.25">
      <c r="A500" s="152">
        <v>3</v>
      </c>
      <c r="B500" s="60" t="s">
        <v>453</v>
      </c>
      <c r="C500" s="173">
        <v>12500</v>
      </c>
      <c r="D500" s="34">
        <v>3279.5</v>
      </c>
      <c r="E500" s="43">
        <v>296</v>
      </c>
      <c r="F500" s="60"/>
      <c r="G500" s="139">
        <f t="shared" si="147"/>
        <v>296</v>
      </c>
      <c r="H500" s="55"/>
      <c r="I500" s="56">
        <f t="shared" si="148"/>
        <v>296</v>
      </c>
      <c r="J500" s="56">
        <f t="shared" si="149"/>
        <v>3700000</v>
      </c>
      <c r="K500" s="57">
        <f t="shared" si="150"/>
        <v>970732</v>
      </c>
      <c r="L500"/>
      <c r="M500" s="314">
        <f t="shared" si="146"/>
        <v>0</v>
      </c>
      <c r="N500" s="310"/>
      <c r="O500" s="315"/>
      <c r="P500" s="315"/>
      <c r="Q500" s="315"/>
      <c r="R500" s="315"/>
      <c r="S500" s="55"/>
      <c r="T500" s="55"/>
      <c r="U500" s="55"/>
      <c r="V500" s="55"/>
      <c r="W500" s="55"/>
      <c r="X500" s="55"/>
      <c r="Y500" s="55"/>
      <c r="Z500" s="55"/>
      <c r="AA500" s="55"/>
      <c r="AB500" s="55"/>
      <c r="AC500" s="55"/>
      <c r="AD500" s="55"/>
      <c r="AE500" s="55"/>
      <c r="AF500" s="55"/>
      <c r="AG500" s="55"/>
      <c r="AH500" s="55"/>
      <c r="AI500" s="55"/>
      <c r="AJ500" s="55"/>
      <c r="AK500" s="55"/>
      <c r="AL500" s="55"/>
      <c r="AM500" s="55"/>
      <c r="AN500" s="55"/>
      <c r="AO500" s="55"/>
      <c r="AP500" s="55"/>
      <c r="AQ500" s="55"/>
      <c r="AR500" s="55"/>
      <c r="AS500" s="55"/>
      <c r="AT500" s="55"/>
      <c r="AU500" s="55"/>
      <c r="AV500" s="55"/>
      <c r="AW500" s="55"/>
      <c r="AX500" s="55"/>
      <c r="AY500" s="55"/>
      <c r="AZ500" s="55"/>
      <c r="BA500" s="55"/>
      <c r="BB500" s="55"/>
      <c r="BC500" s="55"/>
      <c r="BD500" s="55"/>
      <c r="BE500" s="55"/>
      <c r="BF500" s="55"/>
      <c r="BG500" s="55"/>
      <c r="BH500" s="55"/>
      <c r="BI500" s="55"/>
      <c r="BJ500" s="55"/>
      <c r="BK500" s="55"/>
      <c r="BL500" s="55"/>
      <c r="BM500" s="55"/>
      <c r="BN500" s="55"/>
      <c r="BO500" s="55"/>
      <c r="BP500" s="55"/>
      <c r="BQ500" s="55"/>
      <c r="BR500" s="55"/>
      <c r="BS500" s="55"/>
      <c r="BT500" s="55"/>
      <c r="BU500" s="55"/>
      <c r="BV500" s="55"/>
      <c r="BW500" s="55"/>
      <c r="BX500" s="55"/>
      <c r="BY500" s="55"/>
      <c r="BZ500" s="55"/>
      <c r="CA500" s="55"/>
      <c r="CB500" s="55"/>
      <c r="CC500" s="55"/>
      <c r="CD500" s="55"/>
      <c r="CE500" s="55"/>
      <c r="CF500" s="55"/>
      <c r="CG500" s="55"/>
      <c r="CH500" s="55"/>
      <c r="CI500" s="55"/>
      <c r="CJ500" s="55"/>
      <c r="CK500" s="55"/>
      <c r="CL500" s="55"/>
      <c r="CM500" s="55"/>
      <c r="CN500" s="55"/>
      <c r="CO500" s="55"/>
      <c r="CP500" s="55"/>
      <c r="CQ500" s="55"/>
      <c r="CR500" s="55"/>
      <c r="CS500" s="55"/>
      <c r="CT500" s="55"/>
      <c r="CU500" s="55"/>
      <c r="CV500" s="55"/>
      <c r="CW500" s="55"/>
      <c r="CX500" s="55"/>
      <c r="CY500" s="55"/>
      <c r="CZ500" s="55"/>
      <c r="DA500" s="55"/>
      <c r="DB500" s="55"/>
      <c r="DC500" s="55"/>
      <c r="DD500" s="55"/>
      <c r="DE500" s="55"/>
      <c r="DF500" s="55"/>
      <c r="DG500" s="55"/>
      <c r="DH500" s="55"/>
      <c r="DI500" s="55"/>
    </row>
    <row r="501" spans="1:113" x14ac:dyDescent="0.25">
      <c r="A501" s="152">
        <v>4</v>
      </c>
      <c r="B501" s="221" t="s">
        <v>454</v>
      </c>
      <c r="C501" s="173">
        <v>64500</v>
      </c>
      <c r="D501" s="34">
        <v>6738.71</v>
      </c>
      <c r="E501" s="43">
        <v>200</v>
      </c>
      <c r="F501" s="60"/>
      <c r="G501" s="139">
        <f t="shared" si="147"/>
        <v>200</v>
      </c>
      <c r="H501" s="55"/>
      <c r="I501" s="56">
        <f t="shared" si="148"/>
        <v>200</v>
      </c>
      <c r="J501" s="56">
        <f t="shared" si="149"/>
        <v>12900000</v>
      </c>
      <c r="K501" s="57">
        <f t="shared" si="150"/>
        <v>1347742</v>
      </c>
      <c r="L501"/>
      <c r="M501" s="314">
        <f t="shared" si="146"/>
        <v>0</v>
      </c>
      <c r="N501" s="310"/>
      <c r="O501" s="315"/>
      <c r="P501" s="315"/>
      <c r="Q501" s="315"/>
      <c r="R501" s="315"/>
      <c r="S501" s="55"/>
      <c r="T501" s="55"/>
      <c r="U501" s="55"/>
      <c r="V501" s="55"/>
      <c r="W501" s="55"/>
      <c r="X501" s="55"/>
      <c r="Y501" s="55"/>
      <c r="Z501" s="55"/>
      <c r="AA501" s="55"/>
      <c r="AB501" s="55"/>
      <c r="AC501" s="55"/>
      <c r="AD501" s="55"/>
      <c r="AE501" s="55"/>
      <c r="AF501" s="55"/>
      <c r="AG501" s="55"/>
      <c r="AH501" s="55"/>
      <c r="AI501" s="55"/>
      <c r="AJ501" s="55"/>
      <c r="AK501" s="55"/>
      <c r="AL501" s="55"/>
      <c r="AM501" s="55"/>
      <c r="AN501" s="55"/>
      <c r="AO501" s="55"/>
      <c r="AP501" s="55"/>
      <c r="AQ501" s="55"/>
      <c r="AR501" s="55"/>
      <c r="AS501" s="55"/>
      <c r="AT501" s="55"/>
      <c r="AU501" s="55"/>
      <c r="AV501" s="55"/>
      <c r="AW501" s="55"/>
      <c r="AX501" s="55"/>
      <c r="AY501" s="55"/>
      <c r="AZ501" s="55"/>
      <c r="BA501" s="55"/>
      <c r="BB501" s="55"/>
      <c r="BC501" s="55"/>
      <c r="BD501" s="55"/>
      <c r="BE501" s="55"/>
      <c r="BF501" s="55"/>
      <c r="BG501" s="55"/>
      <c r="BH501" s="55"/>
      <c r="BI501" s="55"/>
      <c r="BJ501" s="55"/>
      <c r="BK501" s="55"/>
      <c r="BL501" s="55"/>
      <c r="BM501" s="55"/>
      <c r="BN501" s="55"/>
      <c r="BO501" s="55"/>
      <c r="BP501" s="55"/>
      <c r="BQ501" s="55"/>
      <c r="BR501" s="55"/>
      <c r="BS501" s="55"/>
      <c r="BT501" s="55"/>
      <c r="BU501" s="55"/>
      <c r="BV501" s="55"/>
      <c r="BW501" s="55"/>
      <c r="BX501" s="55"/>
      <c r="BY501" s="55"/>
      <c r="BZ501" s="55"/>
      <c r="CA501" s="55"/>
      <c r="CB501" s="55"/>
      <c r="CC501" s="55"/>
      <c r="CD501" s="55"/>
      <c r="CE501" s="55"/>
      <c r="CF501" s="55"/>
      <c r="CG501" s="55"/>
      <c r="CH501" s="55"/>
      <c r="CI501" s="55"/>
      <c r="CJ501" s="55"/>
      <c r="CK501" s="55"/>
      <c r="CL501" s="55"/>
      <c r="CM501" s="55"/>
      <c r="CN501" s="55"/>
      <c r="CO501" s="55"/>
      <c r="CP501" s="55"/>
      <c r="CQ501" s="55"/>
      <c r="CR501" s="55"/>
      <c r="CS501" s="55"/>
      <c r="CT501" s="55"/>
      <c r="CU501" s="55"/>
      <c r="CV501" s="55"/>
      <c r="CW501" s="55"/>
      <c r="CX501" s="55"/>
      <c r="CY501" s="55"/>
      <c r="CZ501" s="55"/>
      <c r="DA501" s="55"/>
      <c r="DB501" s="55"/>
      <c r="DC501" s="55"/>
      <c r="DD501" s="55"/>
      <c r="DE501" s="55"/>
      <c r="DF501" s="55"/>
      <c r="DG501" s="55"/>
      <c r="DH501" s="55"/>
      <c r="DI501" s="55"/>
    </row>
    <row r="502" spans="1:113" x14ac:dyDescent="0.25">
      <c r="A502" s="152">
        <v>5</v>
      </c>
      <c r="B502" s="60" t="s">
        <v>455</v>
      </c>
      <c r="C502" s="43">
        <v>25500</v>
      </c>
      <c r="D502" s="60">
        <v>2888.71</v>
      </c>
      <c r="E502" s="43">
        <v>190</v>
      </c>
      <c r="F502" s="60"/>
      <c r="G502" s="139">
        <f t="shared" si="147"/>
        <v>190</v>
      </c>
      <c r="H502" s="55"/>
      <c r="I502" s="56">
        <f t="shared" si="148"/>
        <v>190</v>
      </c>
      <c r="J502" s="56">
        <f t="shared" si="149"/>
        <v>4845000</v>
      </c>
      <c r="K502" s="57">
        <f t="shared" si="150"/>
        <v>548854.9</v>
      </c>
      <c r="L502"/>
      <c r="M502" s="314">
        <f t="shared" si="146"/>
        <v>0</v>
      </c>
      <c r="N502" s="310"/>
      <c r="O502" s="315"/>
      <c r="P502" s="315"/>
      <c r="Q502" s="315"/>
      <c r="R502" s="315"/>
      <c r="S502" s="55"/>
      <c r="T502" s="55"/>
      <c r="U502" s="55"/>
      <c r="V502" s="55"/>
      <c r="W502" s="55"/>
      <c r="X502" s="55"/>
      <c r="Y502" s="55"/>
      <c r="Z502" s="55"/>
      <c r="AA502" s="55"/>
      <c r="AB502" s="55"/>
      <c r="AC502" s="55"/>
      <c r="AD502" s="55"/>
      <c r="AE502" s="55"/>
      <c r="AF502" s="55"/>
      <c r="AG502" s="55"/>
      <c r="AH502" s="55"/>
      <c r="AI502" s="55"/>
      <c r="AJ502" s="55"/>
      <c r="AK502" s="55"/>
      <c r="AL502" s="55"/>
      <c r="AM502" s="55"/>
      <c r="AN502" s="55"/>
      <c r="AO502" s="55"/>
      <c r="AP502" s="55"/>
      <c r="AQ502" s="55"/>
      <c r="AR502" s="55"/>
      <c r="AS502" s="55"/>
      <c r="AT502" s="55"/>
      <c r="AU502" s="55"/>
      <c r="AV502" s="55"/>
      <c r="AW502" s="55"/>
      <c r="AX502" s="55"/>
      <c r="AY502" s="55"/>
      <c r="AZ502" s="55"/>
      <c r="BA502" s="55"/>
      <c r="BB502" s="55"/>
      <c r="BC502" s="55"/>
      <c r="BD502" s="55"/>
      <c r="BE502" s="55"/>
      <c r="BF502" s="55"/>
      <c r="BG502" s="55"/>
      <c r="BH502" s="55"/>
      <c r="BI502" s="55"/>
      <c r="BJ502" s="55"/>
      <c r="BK502" s="55"/>
      <c r="BL502" s="55"/>
      <c r="BM502" s="55"/>
      <c r="BN502" s="55"/>
      <c r="BO502" s="55"/>
      <c r="BP502" s="55"/>
      <c r="BQ502" s="55"/>
      <c r="BR502" s="55"/>
      <c r="BS502" s="55"/>
      <c r="BT502" s="55"/>
      <c r="BU502" s="55"/>
      <c r="BV502" s="55"/>
      <c r="BW502" s="55"/>
      <c r="BX502" s="55"/>
      <c r="BY502" s="55"/>
      <c r="BZ502" s="55"/>
      <c r="CA502" s="55"/>
      <c r="CB502" s="55"/>
      <c r="CC502" s="55"/>
      <c r="CD502" s="55"/>
      <c r="CE502" s="55"/>
      <c r="CF502" s="55"/>
      <c r="CG502" s="55"/>
      <c r="CH502" s="55"/>
      <c r="CI502" s="55"/>
      <c r="CJ502" s="55"/>
      <c r="CK502" s="55"/>
      <c r="CL502" s="55"/>
      <c r="CM502" s="55"/>
      <c r="CN502" s="55"/>
      <c r="CO502" s="55"/>
      <c r="CP502" s="55"/>
      <c r="CQ502" s="55"/>
      <c r="CR502" s="55"/>
      <c r="CS502" s="55"/>
      <c r="CT502" s="55"/>
      <c r="CU502" s="55"/>
      <c r="CV502" s="55"/>
      <c r="CW502" s="55"/>
      <c r="CX502" s="55"/>
      <c r="CY502" s="55"/>
      <c r="CZ502" s="55"/>
      <c r="DA502" s="55"/>
      <c r="DB502" s="55"/>
      <c r="DC502" s="55"/>
      <c r="DD502" s="55"/>
      <c r="DE502" s="55"/>
      <c r="DF502" s="55"/>
      <c r="DG502" s="55"/>
      <c r="DH502" s="55"/>
      <c r="DI502" s="55"/>
    </row>
    <row r="503" spans="1:113" x14ac:dyDescent="0.25">
      <c r="A503" s="152">
        <v>6</v>
      </c>
      <c r="B503" s="60" t="s">
        <v>456</v>
      </c>
      <c r="C503" s="43">
        <v>12000</v>
      </c>
      <c r="D503" s="60">
        <v>2511.7399999999998</v>
      </c>
      <c r="E503" s="43">
        <v>100</v>
      </c>
      <c r="F503" s="60"/>
      <c r="G503" s="139">
        <f t="shared" si="147"/>
        <v>100</v>
      </c>
      <c r="H503" s="55"/>
      <c r="I503" s="56">
        <f t="shared" si="148"/>
        <v>100</v>
      </c>
      <c r="J503" s="56">
        <f t="shared" si="149"/>
        <v>1200000</v>
      </c>
      <c r="K503" s="57">
        <f t="shared" si="150"/>
        <v>251173.99999999997</v>
      </c>
      <c r="L503"/>
      <c r="M503" s="314">
        <f t="shared" si="146"/>
        <v>0</v>
      </c>
      <c r="N503" s="310"/>
      <c r="O503" s="315"/>
      <c r="P503" s="315"/>
      <c r="Q503" s="315"/>
      <c r="R503" s="315"/>
      <c r="S503" s="55"/>
      <c r="T503" s="55"/>
      <c r="U503" s="55"/>
      <c r="V503" s="55"/>
      <c r="W503" s="55"/>
      <c r="X503" s="55"/>
      <c r="Y503" s="55"/>
      <c r="Z503" s="55"/>
      <c r="AA503" s="55"/>
      <c r="AB503" s="55"/>
      <c r="AC503" s="55"/>
      <c r="AD503" s="55"/>
      <c r="AE503" s="55"/>
      <c r="AF503" s="55"/>
      <c r="AG503" s="55"/>
      <c r="AH503" s="55"/>
      <c r="AI503" s="55"/>
      <c r="AJ503" s="55"/>
      <c r="AK503" s="55"/>
      <c r="AL503" s="55"/>
      <c r="AM503" s="55"/>
      <c r="AN503" s="55"/>
      <c r="AO503" s="55"/>
      <c r="AP503" s="55"/>
      <c r="AQ503" s="55"/>
      <c r="AR503" s="55"/>
      <c r="AS503" s="55"/>
      <c r="AT503" s="55"/>
      <c r="AU503" s="55"/>
      <c r="AV503" s="55"/>
      <c r="AW503" s="55"/>
      <c r="AX503" s="55"/>
      <c r="AY503" s="55"/>
      <c r="AZ503" s="55"/>
      <c r="BA503" s="55"/>
      <c r="BB503" s="55"/>
      <c r="BC503" s="55"/>
      <c r="BD503" s="55"/>
      <c r="BE503" s="55"/>
      <c r="BF503" s="55"/>
      <c r="BG503" s="55"/>
      <c r="BH503" s="55"/>
      <c r="BI503" s="55"/>
      <c r="BJ503" s="55"/>
      <c r="BK503" s="55"/>
      <c r="BL503" s="55"/>
      <c r="BM503" s="55"/>
      <c r="BN503" s="55"/>
      <c r="BO503" s="55"/>
      <c r="BP503" s="55"/>
      <c r="BQ503" s="55"/>
      <c r="BR503" s="55"/>
      <c r="BS503" s="55"/>
      <c r="BT503" s="55"/>
      <c r="BU503" s="55"/>
      <c r="BV503" s="55"/>
      <c r="BW503" s="55"/>
      <c r="BX503" s="55"/>
      <c r="BY503" s="55"/>
      <c r="BZ503" s="55"/>
      <c r="CA503" s="55"/>
      <c r="CB503" s="55"/>
      <c r="CC503" s="55"/>
      <c r="CD503" s="55"/>
      <c r="CE503" s="55"/>
      <c r="CF503" s="55"/>
      <c r="CG503" s="55"/>
      <c r="CH503" s="55"/>
      <c r="CI503" s="55"/>
      <c r="CJ503" s="55"/>
      <c r="CK503" s="55"/>
      <c r="CL503" s="55"/>
      <c r="CM503" s="55"/>
      <c r="CN503" s="55"/>
      <c r="CO503" s="55"/>
      <c r="CP503" s="55"/>
      <c r="CQ503" s="55"/>
      <c r="CR503" s="55"/>
      <c r="CS503" s="55"/>
      <c r="CT503" s="55"/>
      <c r="CU503" s="55"/>
      <c r="CV503" s="55"/>
      <c r="CW503" s="55"/>
      <c r="CX503" s="55"/>
      <c r="CY503" s="55"/>
      <c r="CZ503" s="55"/>
      <c r="DA503" s="55"/>
      <c r="DB503" s="55"/>
      <c r="DC503" s="55"/>
      <c r="DD503" s="55"/>
      <c r="DE503" s="55"/>
      <c r="DF503" s="55"/>
      <c r="DG503" s="55"/>
      <c r="DH503" s="55"/>
      <c r="DI503" s="55"/>
    </row>
    <row r="504" spans="1:113" x14ac:dyDescent="0.25">
      <c r="A504" s="152">
        <v>7</v>
      </c>
      <c r="B504" s="60" t="s">
        <v>318</v>
      </c>
      <c r="C504" s="43">
        <v>9000</v>
      </c>
      <c r="D504" s="60">
        <v>2462.66</v>
      </c>
      <c r="E504" s="43">
        <v>150</v>
      </c>
      <c r="F504" s="60"/>
      <c r="G504" s="139">
        <f t="shared" si="147"/>
        <v>150</v>
      </c>
      <c r="H504" s="55"/>
      <c r="I504" s="56">
        <f t="shared" si="148"/>
        <v>150</v>
      </c>
      <c r="J504" s="56">
        <f t="shared" si="149"/>
        <v>1350000</v>
      </c>
      <c r="K504" s="57">
        <f t="shared" si="150"/>
        <v>369399</v>
      </c>
      <c r="L504"/>
      <c r="M504" s="314">
        <f t="shared" si="146"/>
        <v>0</v>
      </c>
      <c r="N504" s="310"/>
      <c r="O504" s="315"/>
      <c r="P504" s="315"/>
      <c r="Q504" s="315"/>
      <c r="R504" s="315"/>
      <c r="S504" s="55"/>
      <c r="T504" s="55"/>
      <c r="U504" s="55"/>
      <c r="V504" s="55"/>
      <c r="W504" s="55"/>
      <c r="X504" s="55"/>
      <c r="Y504" s="55"/>
      <c r="Z504" s="55"/>
      <c r="AA504" s="55"/>
      <c r="AB504" s="55"/>
      <c r="AC504" s="55"/>
      <c r="AD504" s="55"/>
      <c r="AE504" s="55"/>
      <c r="AF504" s="55"/>
      <c r="AG504" s="55"/>
      <c r="AH504" s="55"/>
      <c r="AI504" s="55"/>
      <c r="AJ504" s="55"/>
      <c r="AK504" s="55"/>
      <c r="AL504" s="55"/>
      <c r="AM504" s="55"/>
      <c r="AN504" s="55"/>
      <c r="AO504" s="55"/>
      <c r="AP504" s="55"/>
      <c r="AQ504" s="55"/>
      <c r="AR504" s="55"/>
      <c r="AS504" s="55"/>
      <c r="AT504" s="55"/>
      <c r="AU504" s="55"/>
      <c r="AV504" s="55"/>
      <c r="AW504" s="55"/>
      <c r="AX504" s="55"/>
      <c r="AY504" s="55"/>
      <c r="AZ504" s="55"/>
      <c r="BA504" s="55"/>
      <c r="BB504" s="55"/>
      <c r="BC504" s="55"/>
      <c r="BD504" s="55"/>
      <c r="BE504" s="55"/>
      <c r="BF504" s="55"/>
      <c r="BG504" s="55"/>
      <c r="BH504" s="55"/>
      <c r="BI504" s="55"/>
      <c r="BJ504" s="55"/>
      <c r="BK504" s="55"/>
      <c r="BL504" s="55"/>
      <c r="BM504" s="55"/>
      <c r="BN504" s="55"/>
      <c r="BO504" s="55"/>
      <c r="BP504" s="55"/>
      <c r="BQ504" s="55"/>
      <c r="BR504" s="55"/>
      <c r="BS504" s="55"/>
      <c r="BT504" s="55"/>
      <c r="BU504" s="55"/>
      <c r="BV504" s="55"/>
      <c r="BW504" s="55"/>
      <c r="BX504" s="55"/>
      <c r="BY504" s="55"/>
      <c r="BZ504" s="55"/>
      <c r="CA504" s="55"/>
      <c r="CB504" s="55"/>
      <c r="CC504" s="55"/>
      <c r="CD504" s="55"/>
      <c r="CE504" s="55"/>
      <c r="CF504" s="55"/>
      <c r="CG504" s="55"/>
      <c r="CH504" s="55"/>
      <c r="CI504" s="55"/>
      <c r="CJ504" s="55"/>
      <c r="CK504" s="55"/>
      <c r="CL504" s="55"/>
      <c r="CM504" s="55"/>
      <c r="CN504" s="55"/>
      <c r="CO504" s="55"/>
      <c r="CP504" s="55"/>
      <c r="CQ504" s="55"/>
      <c r="CR504" s="55"/>
      <c r="CS504" s="55"/>
      <c r="CT504" s="55"/>
      <c r="CU504" s="55"/>
      <c r="CV504" s="55"/>
      <c r="CW504" s="55"/>
      <c r="CX504" s="55"/>
      <c r="CY504" s="55"/>
      <c r="CZ504" s="55"/>
      <c r="DA504" s="55"/>
      <c r="DB504" s="55"/>
      <c r="DC504" s="55"/>
      <c r="DD504" s="55"/>
      <c r="DE504" s="55"/>
      <c r="DF504" s="55"/>
      <c r="DG504" s="55"/>
      <c r="DH504" s="55"/>
      <c r="DI504" s="55"/>
    </row>
    <row r="505" spans="1:113" x14ac:dyDescent="0.25">
      <c r="A505" s="152">
        <v>8</v>
      </c>
      <c r="B505" s="60" t="s">
        <v>559</v>
      </c>
      <c r="C505" s="43">
        <v>23000</v>
      </c>
      <c r="D505" s="60">
        <v>3056.32</v>
      </c>
      <c r="E505" s="43">
        <v>200</v>
      </c>
      <c r="F505" s="60"/>
      <c r="G505" s="139">
        <f t="shared" si="147"/>
        <v>200</v>
      </c>
      <c r="H505" s="55"/>
      <c r="I505" s="56">
        <f t="shared" si="148"/>
        <v>200</v>
      </c>
      <c r="J505" s="56">
        <f t="shared" si="149"/>
        <v>4600000</v>
      </c>
      <c r="K505" s="57">
        <f t="shared" si="150"/>
        <v>611264</v>
      </c>
      <c r="L505"/>
      <c r="M505" s="314">
        <f t="shared" si="146"/>
        <v>0</v>
      </c>
      <c r="N505" s="310"/>
      <c r="O505" s="315"/>
      <c r="P505" s="315"/>
      <c r="Q505" s="315"/>
      <c r="R505" s="315"/>
      <c r="S505" s="55"/>
      <c r="T505" s="55"/>
      <c r="U505" s="55"/>
      <c r="V505" s="55"/>
      <c r="W505" s="55"/>
      <c r="X505" s="55"/>
      <c r="Y505" s="55"/>
      <c r="Z505" s="55"/>
      <c r="AA505" s="55"/>
      <c r="AB505" s="55"/>
      <c r="AC505" s="55"/>
      <c r="AD505" s="55"/>
      <c r="AE505" s="55"/>
      <c r="AF505" s="55"/>
      <c r="AG505" s="55"/>
      <c r="AH505" s="55"/>
      <c r="AI505" s="55"/>
      <c r="AJ505" s="55"/>
      <c r="AK505" s="55"/>
      <c r="AL505" s="55"/>
      <c r="AM505" s="55"/>
      <c r="AN505" s="55"/>
      <c r="AO505" s="55"/>
      <c r="AP505" s="55"/>
      <c r="AQ505" s="55"/>
      <c r="AR505" s="55"/>
      <c r="AS505" s="55"/>
      <c r="AT505" s="55"/>
      <c r="AU505" s="55"/>
      <c r="AV505" s="55"/>
      <c r="AW505" s="55"/>
      <c r="AX505" s="55"/>
      <c r="AY505" s="55"/>
      <c r="AZ505" s="55"/>
      <c r="BA505" s="55"/>
      <c r="BB505" s="55"/>
      <c r="BC505" s="55"/>
      <c r="BD505" s="55"/>
      <c r="BE505" s="55"/>
      <c r="BF505" s="55"/>
      <c r="BG505" s="55"/>
      <c r="BH505" s="55"/>
      <c r="BI505" s="55"/>
      <c r="BJ505" s="55"/>
      <c r="BK505" s="55"/>
      <c r="BL505" s="55"/>
      <c r="BM505" s="55"/>
      <c r="BN505" s="55"/>
      <c r="BO505" s="55"/>
      <c r="BP505" s="55"/>
      <c r="BQ505" s="55"/>
      <c r="BR505" s="55"/>
      <c r="BS505" s="55"/>
      <c r="BT505" s="55"/>
      <c r="BU505" s="55"/>
      <c r="BV505" s="55"/>
      <c r="BW505" s="55"/>
      <c r="BX505" s="55"/>
      <c r="BY505" s="55"/>
      <c r="BZ505" s="55"/>
      <c r="CA505" s="55"/>
      <c r="CB505" s="55"/>
      <c r="CC505" s="55"/>
      <c r="CD505" s="55"/>
      <c r="CE505" s="55"/>
      <c r="CF505" s="55"/>
      <c r="CG505" s="55"/>
      <c r="CH505" s="55"/>
      <c r="CI505" s="55"/>
      <c r="CJ505" s="55"/>
      <c r="CK505" s="55"/>
      <c r="CL505" s="55"/>
      <c r="CM505" s="55"/>
      <c r="CN505" s="55"/>
      <c r="CO505" s="55"/>
      <c r="CP505" s="55"/>
      <c r="CQ505" s="55"/>
      <c r="CR505" s="55"/>
      <c r="CS505" s="55"/>
      <c r="CT505" s="55"/>
      <c r="CU505" s="55"/>
      <c r="CV505" s="55"/>
      <c r="CW505" s="55"/>
      <c r="CX505" s="55"/>
      <c r="CY505" s="55"/>
      <c r="CZ505" s="55"/>
      <c r="DA505" s="55"/>
      <c r="DB505" s="55"/>
      <c r="DC505" s="55"/>
      <c r="DD505" s="55"/>
      <c r="DE505" s="55"/>
      <c r="DF505" s="55"/>
      <c r="DG505" s="55"/>
      <c r="DH505" s="55"/>
      <c r="DI505" s="55"/>
    </row>
    <row r="506" spans="1:113" x14ac:dyDescent="0.25">
      <c r="A506" s="152">
        <v>9</v>
      </c>
      <c r="B506" s="60" t="s">
        <v>574</v>
      </c>
      <c r="C506" s="43">
        <v>28000</v>
      </c>
      <c r="D506" s="60">
        <v>4947.6000000000004</v>
      </c>
      <c r="E506" s="43">
        <v>192</v>
      </c>
      <c r="F506" s="60"/>
      <c r="G506" s="139">
        <f t="shared" si="147"/>
        <v>192</v>
      </c>
      <c r="H506" s="55"/>
      <c r="I506" s="56">
        <f t="shared" si="148"/>
        <v>192</v>
      </c>
      <c r="J506" s="56">
        <f t="shared" si="149"/>
        <v>5376000</v>
      </c>
      <c r="K506" s="57">
        <f t="shared" si="150"/>
        <v>949939.20000000007</v>
      </c>
      <c r="L506"/>
      <c r="M506" s="314">
        <f t="shared" si="146"/>
        <v>0</v>
      </c>
      <c r="N506" s="310"/>
      <c r="O506" s="315"/>
      <c r="P506" s="315"/>
      <c r="Q506" s="315"/>
      <c r="R506" s="315"/>
      <c r="S506" s="55"/>
      <c r="T506" s="55"/>
      <c r="U506" s="55"/>
      <c r="V506" s="55"/>
      <c r="W506" s="55"/>
      <c r="X506" s="55"/>
      <c r="Y506" s="55"/>
      <c r="Z506" s="55"/>
      <c r="AA506" s="55"/>
      <c r="AB506" s="55"/>
      <c r="AC506" s="55"/>
      <c r="AD506" s="55"/>
      <c r="AE506" s="55"/>
      <c r="AF506" s="55"/>
      <c r="AG506" s="55"/>
      <c r="AH506" s="55"/>
      <c r="AI506" s="55"/>
      <c r="AJ506" s="55"/>
      <c r="AK506" s="55"/>
      <c r="AL506" s="55"/>
      <c r="AM506" s="55"/>
      <c r="AN506" s="55"/>
      <c r="AO506" s="55"/>
      <c r="AP506" s="55"/>
      <c r="AQ506" s="55"/>
      <c r="AR506" s="55"/>
      <c r="AS506" s="55"/>
      <c r="AT506" s="55"/>
      <c r="AU506" s="55"/>
      <c r="AV506" s="55"/>
      <c r="AW506" s="55"/>
      <c r="AX506" s="55"/>
      <c r="AY506" s="55"/>
      <c r="AZ506" s="55"/>
      <c r="BA506" s="55"/>
      <c r="BB506" s="55"/>
      <c r="BC506" s="55"/>
      <c r="BD506" s="55"/>
      <c r="BE506" s="55"/>
      <c r="BF506" s="55"/>
      <c r="BG506" s="55"/>
      <c r="BH506" s="55"/>
      <c r="BI506" s="55"/>
      <c r="BJ506" s="55"/>
      <c r="BK506" s="55"/>
      <c r="BL506" s="55"/>
      <c r="BM506" s="55"/>
      <c r="BN506" s="55"/>
      <c r="BO506" s="55"/>
      <c r="BP506" s="55"/>
      <c r="BQ506" s="55"/>
      <c r="BR506" s="55"/>
      <c r="BS506" s="55"/>
      <c r="BT506" s="55"/>
      <c r="BU506" s="55"/>
      <c r="BV506" s="55"/>
      <c r="BW506" s="55"/>
      <c r="BX506" s="55"/>
      <c r="BY506" s="55"/>
      <c r="BZ506" s="55"/>
      <c r="CA506" s="55"/>
      <c r="CB506" s="55"/>
      <c r="CC506" s="55"/>
      <c r="CD506" s="55"/>
      <c r="CE506" s="55"/>
      <c r="CF506" s="55"/>
      <c r="CG506" s="55"/>
      <c r="CH506" s="55"/>
      <c r="CI506" s="55"/>
      <c r="CJ506" s="55"/>
      <c r="CK506" s="55"/>
      <c r="CL506" s="55"/>
      <c r="CM506" s="55"/>
      <c r="CN506" s="55"/>
      <c r="CO506" s="55"/>
      <c r="CP506" s="55"/>
      <c r="CQ506" s="55"/>
      <c r="CR506" s="55"/>
      <c r="CS506" s="55"/>
      <c r="CT506" s="55"/>
      <c r="CU506" s="55"/>
      <c r="CV506" s="55"/>
      <c r="CW506" s="55"/>
      <c r="CX506" s="55"/>
      <c r="CY506" s="55"/>
      <c r="CZ506" s="55"/>
      <c r="DA506" s="55"/>
      <c r="DB506" s="55"/>
      <c r="DC506" s="55"/>
      <c r="DD506" s="55"/>
      <c r="DE506" s="55"/>
      <c r="DF506" s="55"/>
      <c r="DG506" s="55"/>
      <c r="DH506" s="55"/>
      <c r="DI506" s="55"/>
    </row>
    <row r="507" spans="1:113" x14ac:dyDescent="0.25">
      <c r="A507" s="152">
        <v>10</v>
      </c>
      <c r="B507" s="60" t="s">
        <v>575</v>
      </c>
      <c r="C507" s="43">
        <v>9000</v>
      </c>
      <c r="D507" s="60">
        <v>2329.92</v>
      </c>
      <c r="E507" s="43">
        <v>130</v>
      </c>
      <c r="F507" s="60"/>
      <c r="G507" s="139">
        <f t="shared" si="147"/>
        <v>130</v>
      </c>
      <c r="H507" s="55"/>
      <c r="I507" s="56">
        <f t="shared" si="148"/>
        <v>130</v>
      </c>
      <c r="J507" s="56">
        <f t="shared" si="149"/>
        <v>1170000</v>
      </c>
      <c r="K507" s="57">
        <f t="shared" si="150"/>
        <v>302889.60000000003</v>
      </c>
      <c r="L507"/>
      <c r="M507" s="314">
        <f t="shared" si="146"/>
        <v>0</v>
      </c>
      <c r="N507" s="310"/>
      <c r="O507" s="315"/>
      <c r="P507" s="315"/>
      <c r="Q507" s="315"/>
      <c r="R507" s="315"/>
      <c r="S507" s="55"/>
      <c r="T507" s="55"/>
      <c r="U507" s="55"/>
      <c r="V507" s="55"/>
      <c r="W507" s="55"/>
      <c r="X507" s="55"/>
      <c r="Y507" s="55"/>
      <c r="Z507" s="55"/>
      <c r="AA507" s="55"/>
      <c r="AB507" s="55"/>
      <c r="AC507" s="55"/>
      <c r="AD507" s="55"/>
      <c r="AE507" s="55"/>
      <c r="AF507" s="55"/>
      <c r="AG507" s="55"/>
      <c r="AH507" s="55"/>
      <c r="AI507" s="55"/>
      <c r="AJ507" s="55"/>
      <c r="AK507" s="55"/>
      <c r="AL507" s="55"/>
      <c r="AM507" s="55"/>
      <c r="AN507" s="55"/>
      <c r="AO507" s="55"/>
      <c r="AP507" s="55"/>
      <c r="AQ507" s="55"/>
      <c r="AR507" s="55"/>
      <c r="AS507" s="55"/>
      <c r="AT507" s="55"/>
      <c r="AU507" s="55"/>
      <c r="AV507" s="55"/>
      <c r="AW507" s="55"/>
      <c r="AX507" s="55"/>
      <c r="AY507" s="55"/>
      <c r="AZ507" s="55"/>
      <c r="BA507" s="55"/>
      <c r="BB507" s="55"/>
      <c r="BC507" s="55"/>
      <c r="BD507" s="55"/>
      <c r="BE507" s="55"/>
      <c r="BF507" s="55"/>
      <c r="BG507" s="55"/>
      <c r="BH507" s="55"/>
      <c r="BI507" s="55"/>
      <c r="BJ507" s="55"/>
      <c r="BK507" s="55"/>
      <c r="BL507" s="55"/>
      <c r="BM507" s="55"/>
      <c r="BN507" s="55"/>
      <c r="BO507" s="55"/>
      <c r="BP507" s="55"/>
      <c r="BQ507" s="55"/>
      <c r="BR507" s="55"/>
      <c r="BS507" s="55"/>
      <c r="BT507" s="55"/>
      <c r="BU507" s="55"/>
      <c r="BV507" s="55"/>
      <c r="BW507" s="55"/>
      <c r="BX507" s="55"/>
      <c r="BY507" s="55"/>
      <c r="BZ507" s="55"/>
      <c r="CA507" s="55"/>
      <c r="CB507" s="55"/>
      <c r="CC507" s="55"/>
      <c r="CD507" s="55"/>
      <c r="CE507" s="55"/>
      <c r="CF507" s="55"/>
      <c r="CG507" s="55"/>
      <c r="CH507" s="55"/>
      <c r="CI507" s="55"/>
      <c r="CJ507" s="55"/>
      <c r="CK507" s="55"/>
      <c r="CL507" s="55"/>
      <c r="CM507" s="55"/>
      <c r="CN507" s="55"/>
      <c r="CO507" s="55"/>
      <c r="CP507" s="55"/>
      <c r="CQ507" s="55"/>
      <c r="CR507" s="55"/>
      <c r="CS507" s="55"/>
      <c r="CT507" s="55"/>
      <c r="CU507" s="55"/>
      <c r="CV507" s="55"/>
      <c r="CW507" s="55"/>
      <c r="CX507" s="55"/>
      <c r="CY507" s="55"/>
      <c r="CZ507" s="55"/>
      <c r="DA507" s="55"/>
      <c r="DB507" s="55"/>
      <c r="DC507" s="55"/>
      <c r="DD507" s="55"/>
      <c r="DE507" s="55"/>
      <c r="DF507" s="55"/>
      <c r="DG507" s="55"/>
      <c r="DH507" s="55"/>
      <c r="DI507" s="55"/>
    </row>
    <row r="508" spans="1:113" x14ac:dyDescent="0.25">
      <c r="A508" s="152">
        <v>11</v>
      </c>
      <c r="B508" s="60" t="s">
        <v>576</v>
      </c>
      <c r="C508" s="43">
        <v>15000</v>
      </c>
      <c r="D508" s="60">
        <v>2713.12</v>
      </c>
      <c r="E508" s="43">
        <v>200</v>
      </c>
      <c r="F508" s="60"/>
      <c r="G508" s="139">
        <f t="shared" si="147"/>
        <v>200</v>
      </c>
      <c r="H508" s="55"/>
      <c r="I508" s="56">
        <f t="shared" si="148"/>
        <v>200</v>
      </c>
      <c r="J508" s="56">
        <f t="shared" si="149"/>
        <v>3000000</v>
      </c>
      <c r="K508" s="57">
        <f t="shared" si="150"/>
        <v>542624</v>
      </c>
      <c r="L508"/>
      <c r="M508" s="314">
        <f t="shared" si="146"/>
        <v>0</v>
      </c>
      <c r="N508" s="310"/>
      <c r="O508" s="315"/>
      <c r="P508" s="315"/>
      <c r="Q508" s="315"/>
      <c r="R508" s="315"/>
      <c r="S508" s="55"/>
      <c r="T508" s="55"/>
      <c r="U508" s="55"/>
      <c r="V508" s="55"/>
      <c r="W508" s="55"/>
      <c r="X508" s="55"/>
      <c r="Y508" s="55"/>
      <c r="Z508" s="55"/>
      <c r="AA508" s="55"/>
      <c r="AB508" s="55"/>
      <c r="AC508" s="55"/>
      <c r="AD508" s="55"/>
      <c r="AE508" s="55"/>
      <c r="AF508" s="55"/>
      <c r="AG508" s="55"/>
      <c r="AH508" s="55"/>
      <c r="AI508" s="55"/>
      <c r="AJ508" s="55"/>
      <c r="AK508" s="55"/>
      <c r="AL508" s="55"/>
      <c r="AM508" s="55"/>
      <c r="AN508" s="55"/>
      <c r="AO508" s="55"/>
      <c r="AP508" s="55"/>
      <c r="AQ508" s="55"/>
      <c r="AR508" s="55"/>
      <c r="AS508" s="55"/>
      <c r="AT508" s="55"/>
      <c r="AU508" s="55"/>
      <c r="AV508" s="55"/>
      <c r="AW508" s="55"/>
      <c r="AX508" s="55"/>
      <c r="AY508" s="55"/>
      <c r="AZ508" s="55"/>
      <c r="BA508" s="55"/>
      <c r="BB508" s="55"/>
      <c r="BC508" s="55"/>
      <c r="BD508" s="55"/>
      <c r="BE508" s="55"/>
      <c r="BF508" s="55"/>
      <c r="BG508" s="55"/>
      <c r="BH508" s="55"/>
      <c r="BI508" s="55"/>
      <c r="BJ508" s="55"/>
      <c r="BK508" s="55"/>
      <c r="BL508" s="55"/>
      <c r="BM508" s="55"/>
      <c r="BN508" s="55"/>
      <c r="BO508" s="55"/>
      <c r="BP508" s="55"/>
      <c r="BQ508" s="55"/>
      <c r="BR508" s="55"/>
      <c r="BS508" s="55"/>
      <c r="BT508" s="55"/>
      <c r="BU508" s="55"/>
      <c r="BV508" s="55"/>
      <c r="BW508" s="55"/>
      <c r="BX508" s="55"/>
      <c r="BY508" s="55"/>
      <c r="BZ508" s="55"/>
      <c r="CA508" s="55"/>
      <c r="CB508" s="55"/>
      <c r="CC508" s="55"/>
      <c r="CD508" s="55"/>
      <c r="CE508" s="55"/>
      <c r="CF508" s="55"/>
      <c r="CG508" s="55"/>
      <c r="CH508" s="55"/>
      <c r="CI508" s="55"/>
      <c r="CJ508" s="55"/>
      <c r="CK508" s="55"/>
      <c r="CL508" s="55"/>
      <c r="CM508" s="55"/>
      <c r="CN508" s="55"/>
      <c r="CO508" s="55"/>
      <c r="CP508" s="55"/>
      <c r="CQ508" s="55"/>
      <c r="CR508" s="55"/>
      <c r="CS508" s="55"/>
      <c r="CT508" s="55"/>
      <c r="CU508" s="55"/>
      <c r="CV508" s="55"/>
      <c r="CW508" s="55"/>
      <c r="CX508" s="55"/>
      <c r="CY508" s="55"/>
      <c r="CZ508" s="55"/>
      <c r="DA508" s="55"/>
      <c r="DB508" s="55"/>
      <c r="DC508" s="55"/>
      <c r="DD508" s="55"/>
      <c r="DE508" s="55"/>
      <c r="DF508" s="55"/>
      <c r="DG508" s="55"/>
      <c r="DH508" s="55"/>
      <c r="DI508" s="55"/>
    </row>
    <row r="509" spans="1:113" x14ac:dyDescent="0.25">
      <c r="A509" s="152">
        <v>12</v>
      </c>
      <c r="B509" s="60" t="s">
        <v>577</v>
      </c>
      <c r="C509" s="43">
        <v>33000</v>
      </c>
      <c r="D509" s="60">
        <v>2399.7199999999998</v>
      </c>
      <c r="E509" s="43">
        <v>200</v>
      </c>
      <c r="F509" s="60"/>
      <c r="G509" s="139">
        <f t="shared" si="147"/>
        <v>200</v>
      </c>
      <c r="H509" s="55"/>
      <c r="I509" s="56">
        <f t="shared" si="148"/>
        <v>200</v>
      </c>
      <c r="J509" s="56">
        <f t="shared" si="149"/>
        <v>6600000</v>
      </c>
      <c r="K509" s="57">
        <f t="shared" si="150"/>
        <v>479943.99999999994</v>
      </c>
      <c r="L509"/>
      <c r="M509" s="314">
        <f t="shared" si="146"/>
        <v>0</v>
      </c>
      <c r="N509" s="310"/>
      <c r="O509" s="315"/>
      <c r="P509" s="315"/>
      <c r="Q509" s="315"/>
      <c r="R509" s="315"/>
      <c r="S509" s="55"/>
      <c r="T509" s="55"/>
      <c r="U509" s="55"/>
      <c r="V509" s="55"/>
      <c r="W509" s="55"/>
      <c r="X509" s="55"/>
      <c r="Y509" s="55"/>
      <c r="Z509" s="55"/>
      <c r="AA509" s="55"/>
      <c r="AB509" s="55"/>
      <c r="AC509" s="55"/>
      <c r="AD509" s="55"/>
      <c r="AE509" s="55"/>
      <c r="AF509" s="55"/>
      <c r="AG509" s="55"/>
      <c r="AH509" s="55"/>
      <c r="AI509" s="55"/>
      <c r="AJ509" s="55"/>
      <c r="AK509" s="55"/>
      <c r="AL509" s="55"/>
      <c r="AM509" s="55"/>
      <c r="AN509" s="55"/>
      <c r="AO509" s="55"/>
      <c r="AP509" s="55"/>
      <c r="AQ509" s="55"/>
      <c r="AR509" s="55"/>
      <c r="AS509" s="55"/>
      <c r="AT509" s="55"/>
      <c r="AU509" s="55"/>
      <c r="AV509" s="55"/>
      <c r="AW509" s="55"/>
      <c r="AX509" s="55"/>
      <c r="AY509" s="55"/>
      <c r="AZ509" s="55"/>
      <c r="BA509" s="55"/>
      <c r="BB509" s="55"/>
      <c r="BC509" s="55"/>
      <c r="BD509" s="55"/>
      <c r="BE509" s="55"/>
      <c r="BF509" s="55"/>
      <c r="BG509" s="55"/>
      <c r="BH509" s="55"/>
      <c r="BI509" s="55"/>
      <c r="BJ509" s="55"/>
      <c r="BK509" s="55"/>
      <c r="BL509" s="55"/>
      <c r="BM509" s="55"/>
      <c r="BN509" s="55"/>
      <c r="BO509" s="55"/>
      <c r="BP509" s="55"/>
      <c r="BQ509" s="55"/>
      <c r="BR509" s="55"/>
      <c r="BS509" s="55"/>
      <c r="BT509" s="55"/>
      <c r="BU509" s="55"/>
      <c r="BV509" s="55"/>
      <c r="BW509" s="55"/>
      <c r="BX509" s="55"/>
      <c r="BY509" s="55"/>
      <c r="BZ509" s="55"/>
      <c r="CA509" s="55"/>
      <c r="CB509" s="55"/>
      <c r="CC509" s="55"/>
      <c r="CD509" s="55"/>
      <c r="CE509" s="55"/>
      <c r="CF509" s="55"/>
      <c r="CG509" s="55"/>
      <c r="CH509" s="55"/>
      <c r="CI509" s="55"/>
      <c r="CJ509" s="55"/>
      <c r="CK509" s="55"/>
      <c r="CL509" s="55"/>
      <c r="CM509" s="55"/>
      <c r="CN509" s="55"/>
      <c r="CO509" s="55"/>
      <c r="CP509" s="55"/>
      <c r="CQ509" s="55"/>
      <c r="CR509" s="55"/>
      <c r="CS509" s="55"/>
      <c r="CT509" s="55"/>
      <c r="CU509" s="55"/>
      <c r="CV509" s="55"/>
      <c r="CW509" s="55"/>
      <c r="CX509" s="55"/>
      <c r="CY509" s="55"/>
      <c r="CZ509" s="55"/>
      <c r="DA509" s="55"/>
      <c r="DB509" s="55"/>
      <c r="DC509" s="55"/>
      <c r="DD509" s="55"/>
      <c r="DE509" s="55"/>
      <c r="DF509" s="55"/>
      <c r="DG509" s="55"/>
      <c r="DH509" s="55"/>
      <c r="DI509" s="55"/>
    </row>
    <row r="510" spans="1:113" x14ac:dyDescent="0.25">
      <c r="A510" s="152">
        <v>13</v>
      </c>
      <c r="B510" s="60" t="s">
        <v>578</v>
      </c>
      <c r="C510" s="43">
        <v>12000</v>
      </c>
      <c r="D510" s="60">
        <v>3357.22</v>
      </c>
      <c r="E510" s="43">
        <v>200</v>
      </c>
      <c r="F510" s="60"/>
      <c r="G510" s="139">
        <f t="shared" si="147"/>
        <v>200</v>
      </c>
      <c r="H510" s="55"/>
      <c r="I510" s="56">
        <f t="shared" si="148"/>
        <v>200</v>
      </c>
      <c r="J510" s="56">
        <f t="shared" si="149"/>
        <v>2400000</v>
      </c>
      <c r="K510" s="57">
        <f t="shared" si="150"/>
        <v>671444</v>
      </c>
      <c r="L510"/>
      <c r="M510" s="314">
        <f t="shared" si="146"/>
        <v>0</v>
      </c>
      <c r="N510" s="310"/>
      <c r="O510" s="315"/>
      <c r="P510" s="315"/>
      <c r="Q510" s="315"/>
      <c r="R510" s="315"/>
      <c r="S510" s="55"/>
      <c r="T510" s="55"/>
      <c r="U510" s="55"/>
      <c r="V510" s="55"/>
      <c r="W510" s="55"/>
      <c r="X510" s="55"/>
      <c r="Y510" s="55"/>
      <c r="Z510" s="55"/>
      <c r="AA510" s="55"/>
      <c r="AB510" s="55"/>
      <c r="AC510" s="55"/>
      <c r="AD510" s="55"/>
      <c r="AE510" s="55"/>
      <c r="AF510" s="55"/>
      <c r="AG510" s="55"/>
      <c r="AH510" s="55"/>
      <c r="AI510" s="55"/>
      <c r="AJ510" s="55"/>
      <c r="AK510" s="55"/>
      <c r="AL510" s="55"/>
      <c r="AM510" s="55"/>
      <c r="AN510" s="55"/>
      <c r="AO510" s="55"/>
      <c r="AP510" s="55"/>
      <c r="AQ510" s="55"/>
      <c r="AR510" s="55"/>
      <c r="AS510" s="55"/>
      <c r="AT510" s="55"/>
      <c r="AU510" s="55"/>
      <c r="AV510" s="55"/>
      <c r="AW510" s="55"/>
      <c r="AX510" s="55"/>
      <c r="AY510" s="55"/>
      <c r="AZ510" s="55"/>
      <c r="BA510" s="55"/>
      <c r="BB510" s="55"/>
      <c r="BC510" s="55"/>
      <c r="BD510" s="55"/>
      <c r="BE510" s="55"/>
      <c r="BF510" s="55"/>
      <c r="BG510" s="55"/>
      <c r="BH510" s="55"/>
      <c r="BI510" s="55"/>
      <c r="BJ510" s="55"/>
      <c r="BK510" s="55"/>
      <c r="BL510" s="55"/>
      <c r="BM510" s="55"/>
      <c r="BN510" s="55"/>
      <c r="BO510" s="55"/>
      <c r="BP510" s="55"/>
      <c r="BQ510" s="55"/>
      <c r="BR510" s="55"/>
      <c r="BS510" s="55"/>
      <c r="BT510" s="55"/>
      <c r="BU510" s="55"/>
      <c r="BV510" s="55"/>
      <c r="BW510" s="55"/>
      <c r="BX510" s="55"/>
      <c r="BY510" s="55"/>
      <c r="BZ510" s="55"/>
      <c r="CA510" s="55"/>
      <c r="CB510" s="55"/>
      <c r="CC510" s="55"/>
      <c r="CD510" s="55"/>
      <c r="CE510" s="55"/>
      <c r="CF510" s="55"/>
      <c r="CG510" s="55"/>
      <c r="CH510" s="55"/>
      <c r="CI510" s="55"/>
      <c r="CJ510" s="55"/>
      <c r="CK510" s="55"/>
      <c r="CL510" s="55"/>
      <c r="CM510" s="55"/>
      <c r="CN510" s="55"/>
      <c r="CO510" s="55"/>
      <c r="CP510" s="55"/>
      <c r="CQ510" s="55"/>
      <c r="CR510" s="55"/>
      <c r="CS510" s="55"/>
      <c r="CT510" s="55"/>
      <c r="CU510" s="55"/>
      <c r="CV510" s="55"/>
      <c r="CW510" s="55"/>
      <c r="CX510" s="55"/>
      <c r="CY510" s="55"/>
      <c r="CZ510" s="55"/>
      <c r="DA510" s="55"/>
      <c r="DB510" s="55"/>
      <c r="DC510" s="55"/>
      <c r="DD510" s="55"/>
      <c r="DE510" s="55"/>
      <c r="DF510" s="55"/>
      <c r="DG510" s="55"/>
      <c r="DH510" s="55"/>
      <c r="DI510" s="55"/>
    </row>
    <row r="511" spans="1:113" x14ac:dyDescent="0.25">
      <c r="A511" s="152">
        <v>14</v>
      </c>
      <c r="B511" s="60" t="s">
        <v>557</v>
      </c>
      <c r="C511" s="43">
        <v>9000</v>
      </c>
      <c r="D511" s="60">
        <v>2343.2600000000002</v>
      </c>
      <c r="E511" s="43">
        <v>200</v>
      </c>
      <c r="F511" s="60"/>
      <c r="G511" s="139">
        <f t="shared" si="147"/>
        <v>200</v>
      </c>
      <c r="H511" s="55"/>
      <c r="I511" s="56">
        <f t="shared" si="148"/>
        <v>200</v>
      </c>
      <c r="J511" s="56">
        <f t="shared" si="149"/>
        <v>1800000</v>
      </c>
      <c r="K511" s="57">
        <f t="shared" si="150"/>
        <v>468652.00000000006</v>
      </c>
      <c r="L511"/>
      <c r="M511" s="314">
        <f t="shared" si="146"/>
        <v>0</v>
      </c>
      <c r="N511" s="310"/>
      <c r="O511" s="315"/>
      <c r="P511" s="315"/>
      <c r="Q511" s="315"/>
      <c r="R511" s="315"/>
      <c r="S511" s="55"/>
      <c r="T511" s="55"/>
      <c r="U511" s="55"/>
      <c r="V511" s="55"/>
      <c r="W511" s="55"/>
      <c r="X511" s="55"/>
      <c r="Y511" s="55"/>
      <c r="Z511" s="55"/>
      <c r="AA511" s="55"/>
      <c r="AB511" s="55"/>
      <c r="AC511" s="55"/>
      <c r="AD511" s="55"/>
      <c r="AE511" s="55"/>
      <c r="AF511" s="55"/>
      <c r="AG511" s="55"/>
      <c r="AH511" s="55"/>
      <c r="AI511" s="55"/>
      <c r="AJ511" s="55"/>
      <c r="AK511" s="55"/>
      <c r="AL511" s="55"/>
      <c r="AM511" s="55"/>
      <c r="AN511" s="55"/>
      <c r="AO511" s="55"/>
      <c r="AP511" s="55"/>
      <c r="AQ511" s="55"/>
      <c r="AR511" s="55"/>
      <c r="AS511" s="55"/>
      <c r="AT511" s="55"/>
      <c r="AU511" s="55"/>
      <c r="AV511" s="55"/>
      <c r="AW511" s="55"/>
      <c r="AX511" s="55"/>
      <c r="AY511" s="55"/>
      <c r="AZ511" s="55"/>
      <c r="BA511" s="55"/>
      <c r="BB511" s="55"/>
      <c r="BC511" s="55"/>
      <c r="BD511" s="55"/>
      <c r="BE511" s="55"/>
      <c r="BF511" s="55"/>
      <c r="BG511" s="55"/>
      <c r="BH511" s="55"/>
      <c r="BI511" s="55"/>
      <c r="BJ511" s="55"/>
      <c r="BK511" s="55"/>
      <c r="BL511" s="55"/>
      <c r="BM511" s="55"/>
      <c r="BN511" s="55"/>
      <c r="BO511" s="55"/>
      <c r="BP511" s="55"/>
      <c r="BQ511" s="55"/>
      <c r="BR511" s="55"/>
      <c r="BS511" s="55"/>
      <c r="BT511" s="55"/>
      <c r="BU511" s="55"/>
      <c r="BV511" s="55"/>
      <c r="BW511" s="55"/>
      <c r="BX511" s="55"/>
      <c r="BY511" s="55"/>
      <c r="BZ511" s="55"/>
      <c r="CA511" s="55"/>
      <c r="CB511" s="55"/>
      <c r="CC511" s="55"/>
      <c r="CD511" s="55"/>
      <c r="CE511" s="55"/>
      <c r="CF511" s="55"/>
      <c r="CG511" s="55"/>
      <c r="CH511" s="55"/>
      <c r="CI511" s="55"/>
      <c r="CJ511" s="55"/>
      <c r="CK511" s="55"/>
      <c r="CL511" s="55"/>
      <c r="CM511" s="55"/>
      <c r="CN511" s="55"/>
      <c r="CO511" s="55"/>
      <c r="CP511" s="55"/>
      <c r="CQ511" s="55"/>
      <c r="CR511" s="55"/>
      <c r="CS511" s="55"/>
      <c r="CT511" s="55"/>
      <c r="CU511" s="55"/>
      <c r="CV511" s="55"/>
      <c r="CW511" s="55"/>
      <c r="CX511" s="55"/>
      <c r="CY511" s="55"/>
      <c r="CZ511" s="55"/>
      <c r="DA511" s="55"/>
      <c r="DB511" s="55"/>
      <c r="DC511" s="55"/>
      <c r="DD511" s="55"/>
      <c r="DE511" s="55"/>
      <c r="DF511" s="55"/>
      <c r="DG511" s="55"/>
      <c r="DH511" s="55"/>
      <c r="DI511" s="55"/>
    </row>
    <row r="512" spans="1:113" x14ac:dyDescent="0.25">
      <c r="A512" s="152">
        <v>15</v>
      </c>
      <c r="B512" s="60" t="s">
        <v>579</v>
      </c>
      <c r="C512" s="43">
        <v>9000</v>
      </c>
      <c r="D512" s="60">
        <v>3584</v>
      </c>
      <c r="E512" s="43">
        <v>200</v>
      </c>
      <c r="F512" s="60"/>
      <c r="G512" s="139">
        <f t="shared" si="147"/>
        <v>200</v>
      </c>
      <c r="H512" s="55"/>
      <c r="I512" s="56">
        <f t="shared" si="148"/>
        <v>200</v>
      </c>
      <c r="J512" s="56">
        <f t="shared" si="149"/>
        <v>1800000</v>
      </c>
      <c r="K512" s="57">
        <f t="shared" si="150"/>
        <v>716800</v>
      </c>
      <c r="L512"/>
      <c r="M512" s="314">
        <f t="shared" si="146"/>
        <v>0</v>
      </c>
      <c r="N512" s="310"/>
      <c r="O512" s="315"/>
      <c r="P512" s="315"/>
      <c r="Q512" s="315"/>
      <c r="R512" s="315"/>
      <c r="S512" s="55"/>
      <c r="T512" s="55"/>
      <c r="U512" s="55"/>
      <c r="V512" s="55"/>
      <c r="W512" s="55"/>
      <c r="X512" s="55"/>
      <c r="Y512" s="55"/>
      <c r="Z512" s="55"/>
      <c r="AA512" s="55"/>
      <c r="AB512" s="55"/>
      <c r="AC512" s="55"/>
      <c r="AD512" s="55"/>
      <c r="AE512" s="55"/>
      <c r="AF512" s="55"/>
      <c r="AG512" s="55"/>
      <c r="AH512" s="55"/>
      <c r="AI512" s="55"/>
      <c r="AJ512" s="55"/>
      <c r="AK512" s="55"/>
      <c r="AL512" s="55"/>
      <c r="AM512" s="55"/>
      <c r="AN512" s="55"/>
      <c r="AO512" s="55"/>
      <c r="AP512" s="55"/>
      <c r="AQ512" s="55"/>
      <c r="AR512" s="55"/>
      <c r="AS512" s="55"/>
      <c r="AT512" s="55"/>
      <c r="AU512" s="55"/>
      <c r="AV512" s="55"/>
      <c r="AW512" s="55"/>
      <c r="AX512" s="55"/>
      <c r="AY512" s="55"/>
      <c r="AZ512" s="55"/>
      <c r="BA512" s="55"/>
      <c r="BB512" s="55"/>
      <c r="BC512" s="55"/>
      <c r="BD512" s="55"/>
      <c r="BE512" s="55"/>
      <c r="BF512" s="55"/>
      <c r="BG512" s="55"/>
      <c r="BH512" s="55"/>
      <c r="BI512" s="55"/>
      <c r="BJ512" s="55"/>
      <c r="BK512" s="55"/>
      <c r="BL512" s="55"/>
      <c r="BM512" s="55"/>
      <c r="BN512" s="55"/>
      <c r="BO512" s="55"/>
      <c r="BP512" s="55"/>
      <c r="BQ512" s="55"/>
      <c r="BR512" s="55"/>
      <c r="BS512" s="55"/>
      <c r="BT512" s="55"/>
      <c r="BU512" s="55"/>
      <c r="BV512" s="55"/>
      <c r="BW512" s="55"/>
      <c r="BX512" s="55"/>
      <c r="BY512" s="55"/>
      <c r="BZ512" s="55"/>
      <c r="CA512" s="55"/>
      <c r="CB512" s="55"/>
      <c r="CC512" s="55"/>
      <c r="CD512" s="55"/>
      <c r="CE512" s="55"/>
      <c r="CF512" s="55"/>
      <c r="CG512" s="55"/>
      <c r="CH512" s="55"/>
      <c r="CI512" s="55"/>
      <c r="CJ512" s="55"/>
      <c r="CK512" s="55"/>
      <c r="CL512" s="55"/>
      <c r="CM512" s="55"/>
      <c r="CN512" s="55"/>
      <c r="CO512" s="55"/>
      <c r="CP512" s="55"/>
      <c r="CQ512" s="55"/>
      <c r="CR512" s="55"/>
      <c r="CS512" s="55"/>
      <c r="CT512" s="55"/>
      <c r="CU512" s="55"/>
      <c r="CV512" s="55"/>
      <c r="CW512" s="55"/>
      <c r="CX512" s="55"/>
      <c r="CY512" s="55"/>
      <c r="CZ512" s="55"/>
      <c r="DA512" s="55"/>
      <c r="DB512" s="55"/>
      <c r="DC512" s="55"/>
      <c r="DD512" s="55"/>
      <c r="DE512" s="55"/>
      <c r="DF512" s="55"/>
      <c r="DG512" s="55"/>
      <c r="DH512" s="55"/>
      <c r="DI512" s="55"/>
    </row>
    <row r="513" spans="1:113" x14ac:dyDescent="0.25">
      <c r="A513" s="152">
        <v>16</v>
      </c>
      <c r="B513" s="60" t="s">
        <v>580</v>
      </c>
      <c r="C513" s="43">
        <v>13000</v>
      </c>
      <c r="D513" s="60">
        <v>3076.5</v>
      </c>
      <c r="E513" s="43">
        <v>200</v>
      </c>
      <c r="F513" s="60"/>
      <c r="G513" s="139">
        <f t="shared" si="147"/>
        <v>200</v>
      </c>
      <c r="H513" s="55"/>
      <c r="I513" s="56">
        <f t="shared" si="148"/>
        <v>200</v>
      </c>
      <c r="J513" s="56">
        <f t="shared" si="149"/>
        <v>2600000</v>
      </c>
      <c r="K513" s="57">
        <f t="shared" si="150"/>
        <v>615300</v>
      </c>
      <c r="L513"/>
      <c r="M513" s="314">
        <f t="shared" si="146"/>
        <v>0</v>
      </c>
      <c r="N513" s="310"/>
      <c r="O513" s="315"/>
      <c r="P513" s="315"/>
      <c r="Q513" s="315"/>
      <c r="R513" s="315"/>
      <c r="S513" s="55"/>
      <c r="T513" s="55"/>
      <c r="U513" s="55"/>
      <c r="V513" s="55"/>
      <c r="W513" s="55"/>
      <c r="X513" s="55"/>
      <c r="Y513" s="55"/>
      <c r="Z513" s="55"/>
      <c r="AA513" s="55"/>
      <c r="AB513" s="55"/>
      <c r="AC513" s="55"/>
      <c r="AD513" s="55"/>
      <c r="AE513" s="55"/>
      <c r="AF513" s="55"/>
      <c r="AG513" s="55"/>
      <c r="AH513" s="55"/>
      <c r="AI513" s="55"/>
      <c r="AJ513" s="55"/>
      <c r="AK513" s="55"/>
      <c r="AL513" s="55"/>
      <c r="AM513" s="55"/>
      <c r="AN513" s="55"/>
      <c r="AO513" s="55"/>
      <c r="AP513" s="55"/>
      <c r="AQ513" s="55"/>
      <c r="AR513" s="55"/>
      <c r="AS513" s="55"/>
      <c r="AT513" s="55"/>
      <c r="AU513" s="55"/>
      <c r="AV513" s="55"/>
      <c r="AW513" s="55"/>
      <c r="AX513" s="55"/>
      <c r="AY513" s="55"/>
      <c r="AZ513" s="55"/>
      <c r="BA513" s="55"/>
      <c r="BB513" s="55"/>
      <c r="BC513" s="55"/>
      <c r="BD513" s="55"/>
      <c r="BE513" s="55"/>
      <c r="BF513" s="55"/>
      <c r="BG513" s="55"/>
      <c r="BH513" s="55"/>
      <c r="BI513" s="55"/>
      <c r="BJ513" s="55"/>
      <c r="BK513" s="55"/>
      <c r="BL513" s="55"/>
      <c r="BM513" s="55"/>
      <c r="BN513" s="55"/>
      <c r="BO513" s="55"/>
      <c r="BP513" s="55"/>
      <c r="BQ513" s="55"/>
      <c r="BR513" s="55"/>
      <c r="BS513" s="55"/>
      <c r="BT513" s="55"/>
      <c r="BU513" s="55"/>
      <c r="BV513" s="55"/>
      <c r="BW513" s="55"/>
      <c r="BX513" s="55"/>
      <c r="BY513" s="55"/>
      <c r="BZ513" s="55"/>
      <c r="CA513" s="55"/>
      <c r="CB513" s="55"/>
      <c r="CC513" s="55"/>
      <c r="CD513" s="55"/>
      <c r="CE513" s="55"/>
      <c r="CF513" s="55"/>
      <c r="CG513" s="55"/>
      <c r="CH513" s="55"/>
      <c r="CI513" s="55"/>
      <c r="CJ513" s="55"/>
      <c r="CK513" s="55"/>
      <c r="CL513" s="55"/>
      <c r="CM513" s="55"/>
      <c r="CN513" s="55"/>
      <c r="CO513" s="55"/>
      <c r="CP513" s="55"/>
      <c r="CQ513" s="55"/>
      <c r="CR513" s="55"/>
      <c r="CS513" s="55"/>
      <c r="CT513" s="55"/>
      <c r="CU513" s="55"/>
      <c r="CV513" s="55"/>
      <c r="CW513" s="55"/>
      <c r="CX513" s="55"/>
      <c r="CY513" s="55"/>
      <c r="CZ513" s="55"/>
      <c r="DA513" s="55"/>
      <c r="DB513" s="55"/>
      <c r="DC513" s="55"/>
      <c r="DD513" s="55"/>
      <c r="DE513" s="55"/>
      <c r="DF513" s="55"/>
      <c r="DG513" s="55"/>
      <c r="DH513" s="55"/>
      <c r="DI513" s="55"/>
    </row>
    <row r="514" spans="1:113" ht="15.75" thickBot="1" x14ac:dyDescent="0.3">
      <c r="A514" s="153">
        <v>17</v>
      </c>
      <c r="B514" s="156" t="s">
        <v>581</v>
      </c>
      <c r="C514" s="154">
        <v>13000</v>
      </c>
      <c r="D514" s="156">
        <v>2343.2600000000002</v>
      </c>
      <c r="E514" s="154">
        <v>1700</v>
      </c>
      <c r="F514" s="156"/>
      <c r="G514" s="147">
        <f t="shared" si="147"/>
        <v>1700</v>
      </c>
      <c r="H514" s="58"/>
      <c r="I514" s="64">
        <f t="shared" si="148"/>
        <v>1700</v>
      </c>
      <c r="J514" s="64">
        <f t="shared" si="149"/>
        <v>22100000</v>
      </c>
      <c r="K514" s="65">
        <f t="shared" si="150"/>
        <v>3983542.0000000005</v>
      </c>
      <c r="L514"/>
      <c r="M514" s="314">
        <f t="shared" si="146"/>
        <v>0</v>
      </c>
      <c r="N514" s="310"/>
      <c r="O514" s="315"/>
      <c r="P514" s="315"/>
      <c r="Q514" s="315"/>
      <c r="R514" s="315"/>
      <c r="S514" s="55"/>
      <c r="T514" s="55"/>
      <c r="U514" s="55"/>
      <c r="V514" s="55"/>
      <c r="W514" s="55"/>
      <c r="X514" s="55"/>
      <c r="Y514" s="55"/>
      <c r="Z514" s="55"/>
      <c r="AA514" s="55"/>
      <c r="AB514" s="55"/>
      <c r="AC514" s="55"/>
      <c r="AD514" s="55"/>
      <c r="AE514" s="55"/>
      <c r="AF514" s="55"/>
      <c r="AG514" s="55"/>
      <c r="AH514" s="55"/>
      <c r="AI514" s="55"/>
      <c r="AJ514" s="55"/>
      <c r="AK514" s="55"/>
      <c r="AL514" s="55"/>
      <c r="AM514" s="55"/>
      <c r="AN514" s="55"/>
      <c r="AO514" s="55"/>
      <c r="AP514" s="55"/>
      <c r="AQ514" s="55"/>
      <c r="AR514" s="55"/>
      <c r="AS514" s="55"/>
      <c r="AT514" s="55"/>
      <c r="AU514" s="55"/>
      <c r="AV514" s="55"/>
      <c r="AW514" s="55"/>
      <c r="AX514" s="55"/>
      <c r="AY514" s="55"/>
      <c r="AZ514" s="55"/>
      <c r="BA514" s="55"/>
      <c r="BB514" s="55"/>
      <c r="BC514" s="55"/>
      <c r="BD514" s="55"/>
      <c r="BE514" s="55"/>
      <c r="BF514" s="55"/>
      <c r="BG514" s="55"/>
      <c r="BH514" s="55"/>
      <c r="BI514" s="55"/>
      <c r="BJ514" s="55"/>
      <c r="BK514" s="55"/>
      <c r="BL514" s="55"/>
      <c r="BM514" s="55"/>
      <c r="BN514" s="55"/>
      <c r="BO514" s="55"/>
      <c r="BP514" s="55"/>
      <c r="BQ514" s="55"/>
      <c r="BR514" s="55"/>
      <c r="BS514" s="55"/>
      <c r="BT514" s="55"/>
      <c r="BU514" s="55"/>
      <c r="BV514" s="55"/>
      <c r="BW514" s="55"/>
      <c r="BX514" s="55"/>
      <c r="BY514" s="55"/>
      <c r="BZ514" s="55"/>
      <c r="CA514" s="55"/>
      <c r="CB514" s="55"/>
      <c r="CC514" s="55"/>
      <c r="CD514" s="55"/>
      <c r="CE514" s="55"/>
      <c r="CF514" s="55"/>
      <c r="CG514" s="55"/>
      <c r="CH514" s="55"/>
      <c r="CI514" s="55"/>
      <c r="CJ514" s="55"/>
      <c r="CK514" s="55"/>
      <c r="CL514" s="55"/>
      <c r="CM514" s="55"/>
      <c r="CN514" s="55"/>
      <c r="CO514" s="55"/>
      <c r="CP514" s="55"/>
      <c r="CQ514" s="55"/>
      <c r="CR514" s="55"/>
      <c r="CS514" s="55"/>
      <c r="CT514" s="55"/>
      <c r="CU514" s="55"/>
      <c r="CV514" s="55"/>
      <c r="CW514" s="55"/>
      <c r="CX514" s="55"/>
      <c r="CY514" s="55"/>
      <c r="CZ514" s="55"/>
      <c r="DA514" s="55"/>
      <c r="DB514" s="55"/>
      <c r="DC514" s="55"/>
      <c r="DD514" s="55"/>
      <c r="DE514" s="55"/>
      <c r="DF514" s="55"/>
      <c r="DG514" s="55"/>
      <c r="DH514" s="55"/>
      <c r="DI514" s="55"/>
    </row>
    <row r="515" spans="1:113" ht="15.75" thickBot="1" x14ac:dyDescent="0.3">
      <c r="A515" s="128"/>
      <c r="B515" s="119" t="s">
        <v>686</v>
      </c>
      <c r="C515" s="36"/>
      <c r="D515" s="36"/>
      <c r="E515" s="29">
        <f>SUM(E498:E514)</f>
        <v>4647</v>
      </c>
      <c r="F515" s="29">
        <f t="shared" ref="F515:K515" si="151">SUM(F498:F514)</f>
        <v>0</v>
      </c>
      <c r="G515" s="29">
        <f t="shared" si="151"/>
        <v>4647</v>
      </c>
      <c r="H515" s="29">
        <f t="shared" si="151"/>
        <v>0</v>
      </c>
      <c r="I515" s="29">
        <f>SUM(I498:I514)</f>
        <v>4647</v>
      </c>
      <c r="J515" s="29">
        <f t="shared" si="151"/>
        <v>78816000</v>
      </c>
      <c r="K515" s="47">
        <f t="shared" si="151"/>
        <v>13557255.859999999</v>
      </c>
      <c r="L515"/>
      <c r="M515" s="326">
        <f t="shared" si="146"/>
        <v>0</v>
      </c>
      <c r="N515" s="325"/>
      <c r="O515" s="325"/>
      <c r="P515" s="325"/>
      <c r="Q515" s="325"/>
      <c r="R515" s="325"/>
      <c r="S515" s="324"/>
      <c r="T515" s="324"/>
      <c r="U515" s="324"/>
      <c r="V515" s="324"/>
      <c r="W515" s="324"/>
      <c r="X515" s="324"/>
      <c r="Y515" s="324"/>
      <c r="Z515" s="324"/>
      <c r="AA515" s="324"/>
      <c r="AB515" s="324"/>
      <c r="AC515" s="324"/>
      <c r="AD515" s="324"/>
      <c r="AE515" s="324"/>
      <c r="AF515" s="324"/>
      <c r="AG515" s="324"/>
      <c r="AH515" s="324"/>
      <c r="AI515" s="324"/>
      <c r="AJ515" s="324"/>
      <c r="AK515" s="324"/>
      <c r="AL515" s="324"/>
      <c r="AM515" s="324"/>
      <c r="AN515" s="324"/>
      <c r="AO515" s="324"/>
      <c r="AP515" s="324"/>
      <c r="AQ515" s="324"/>
      <c r="AR515" s="324"/>
      <c r="AS515" s="324"/>
      <c r="AT515" s="324"/>
      <c r="AU515" s="324"/>
      <c r="AV515" s="324"/>
      <c r="AW515" s="324"/>
      <c r="AX515" s="324"/>
      <c r="AY515" s="324"/>
      <c r="AZ515" s="324"/>
      <c r="BA515" s="324"/>
      <c r="BB515" s="324"/>
      <c r="BC515" s="324"/>
      <c r="BD515" s="324"/>
      <c r="BE515" s="324"/>
      <c r="BF515" s="324"/>
      <c r="BG515" s="324"/>
      <c r="BH515" s="324"/>
      <c r="BI515" s="324"/>
      <c r="BJ515" s="324"/>
      <c r="BK515" s="324"/>
      <c r="BL515" s="324"/>
      <c r="BM515" s="324"/>
      <c r="BN515" s="324"/>
      <c r="BO515" s="324"/>
      <c r="BP515" s="324"/>
      <c r="BQ515" s="324"/>
      <c r="BR515" s="324"/>
      <c r="BS515" s="324"/>
      <c r="BT515" s="324"/>
      <c r="BU515" s="324"/>
      <c r="BV515" s="324"/>
      <c r="BW515" s="324"/>
      <c r="BX515" s="324"/>
      <c r="BY515" s="324"/>
      <c r="BZ515" s="324"/>
      <c r="CA515" s="324"/>
      <c r="CB515" s="324"/>
      <c r="CC515" s="324"/>
      <c r="CD515" s="324"/>
      <c r="CE515" s="324"/>
      <c r="CF515" s="324"/>
      <c r="CG515" s="324"/>
      <c r="CH515" s="324"/>
      <c r="CI515" s="324"/>
      <c r="CJ515" s="324"/>
      <c r="CK515" s="324"/>
      <c r="CL515" s="324"/>
      <c r="CM515" s="324"/>
      <c r="CN515" s="324"/>
      <c r="CO515" s="324"/>
      <c r="CP515" s="324"/>
      <c r="CQ515" s="324"/>
      <c r="CR515" s="324"/>
      <c r="CS515" s="324"/>
      <c r="CT515" s="324"/>
      <c r="CU515" s="324"/>
      <c r="CV515" s="324"/>
      <c r="CW515" s="324"/>
      <c r="CX515" s="324"/>
      <c r="CY515" s="324"/>
      <c r="CZ515" s="324"/>
      <c r="DA515" s="324"/>
      <c r="DB515" s="324"/>
      <c r="DC515" s="324"/>
      <c r="DD515" s="324"/>
      <c r="DE515" s="324"/>
      <c r="DF515" s="324"/>
      <c r="DG515" s="324"/>
      <c r="DH515" s="324"/>
      <c r="DI515" s="324"/>
    </row>
    <row r="516" spans="1:113" ht="15.75" thickBot="1" x14ac:dyDescent="0.3">
      <c r="B516" s="161"/>
      <c r="C516" s="162"/>
      <c r="D516" s="163"/>
      <c r="E516" s="164"/>
      <c r="F516" s="67"/>
      <c r="G516" s="164"/>
      <c r="H516" s="164"/>
      <c r="I516" s="164"/>
      <c r="J516" s="164"/>
      <c r="K516" s="163"/>
      <c r="L516"/>
      <c r="M516"/>
      <c r="N516"/>
      <c r="O516"/>
      <c r="P516"/>
      <c r="Q516"/>
      <c r="R516"/>
      <c r="S516"/>
      <c r="T516"/>
      <c r="U516"/>
      <c r="V516"/>
    </row>
    <row r="517" spans="1:113" ht="15.75" thickBot="1" x14ac:dyDescent="0.3">
      <c r="A517" s="407" t="s">
        <v>657</v>
      </c>
      <c r="B517" s="414" t="s">
        <v>708</v>
      </c>
      <c r="C517" s="414" t="s">
        <v>1</v>
      </c>
      <c r="D517" s="415" t="s">
        <v>649</v>
      </c>
      <c r="E517" s="416" t="s">
        <v>19</v>
      </c>
      <c r="F517" s="416"/>
      <c r="G517" s="416"/>
      <c r="H517" s="416"/>
      <c r="I517" s="416"/>
      <c r="J517" s="410" t="s">
        <v>21</v>
      </c>
      <c r="K517" s="417" t="s">
        <v>602</v>
      </c>
      <c r="L517"/>
      <c r="M517" s="403" t="s">
        <v>601</v>
      </c>
      <c r="N517" s="403" t="s">
        <v>924</v>
      </c>
      <c r="O517" s="403"/>
      <c r="P517" s="403"/>
      <c r="Q517" s="403"/>
      <c r="R517" s="403"/>
      <c r="S517" s="403"/>
      <c r="T517" s="403"/>
      <c r="U517" s="403"/>
      <c r="V517" s="403"/>
      <c r="W517" s="403"/>
      <c r="X517" s="403"/>
      <c r="Y517" s="403"/>
      <c r="Z517" s="403"/>
      <c r="AA517" s="403"/>
      <c r="AB517" s="403"/>
      <c r="AC517" s="403"/>
      <c r="AD517" s="403"/>
      <c r="AE517" s="403"/>
      <c r="AF517" s="403"/>
      <c r="AG517" s="403"/>
      <c r="AH517" s="403"/>
      <c r="AI517" s="403"/>
      <c r="AJ517" s="403"/>
      <c r="AK517" s="403"/>
      <c r="AL517" s="403"/>
      <c r="AM517" s="403"/>
      <c r="AN517" s="403"/>
      <c r="AO517" s="403"/>
      <c r="AP517" s="403"/>
      <c r="AQ517" s="403"/>
      <c r="AR517" s="403"/>
      <c r="AS517" s="403"/>
      <c r="AT517" s="403"/>
      <c r="AU517" s="403"/>
      <c r="AV517" s="403"/>
      <c r="AW517" s="403"/>
      <c r="AX517" s="403"/>
      <c r="AY517" s="403"/>
      <c r="AZ517" s="403"/>
      <c r="BA517" s="403"/>
      <c r="BB517" s="403"/>
      <c r="BC517" s="403"/>
      <c r="BD517" s="403"/>
      <c r="BE517" s="403"/>
      <c r="BF517" s="403"/>
      <c r="BG517" s="403"/>
      <c r="BH517" s="403"/>
      <c r="BI517" s="403"/>
      <c r="BJ517" s="403"/>
      <c r="BK517" s="403"/>
      <c r="BL517" s="403"/>
      <c r="BM517" s="403"/>
      <c r="BN517" s="403"/>
      <c r="BO517" s="403"/>
      <c r="BP517" s="403"/>
      <c r="BQ517" s="403"/>
      <c r="BR517" s="403"/>
      <c r="BS517" s="403"/>
      <c r="BT517" s="403"/>
      <c r="BU517" s="403"/>
      <c r="BV517" s="403"/>
      <c r="BW517" s="403"/>
      <c r="BX517" s="403"/>
      <c r="BY517" s="403"/>
      <c r="BZ517" s="403"/>
      <c r="CA517" s="403"/>
      <c r="CB517" s="403"/>
      <c r="CC517" s="403"/>
      <c r="CD517" s="403"/>
      <c r="CE517" s="403"/>
      <c r="CF517" s="403"/>
      <c r="CG517" s="403"/>
      <c r="CH517" s="403"/>
      <c r="CI517" s="403"/>
      <c r="CJ517" s="403"/>
      <c r="CK517" s="403"/>
      <c r="CL517" s="403"/>
      <c r="CM517" s="403"/>
      <c r="CN517" s="403"/>
      <c r="CO517" s="403"/>
      <c r="CP517" s="403"/>
      <c r="CQ517" s="403"/>
      <c r="CR517" s="403"/>
      <c r="CS517" s="403"/>
      <c r="CT517" s="403"/>
      <c r="CU517" s="403"/>
      <c r="CV517" s="403"/>
      <c r="CW517" s="403"/>
      <c r="CX517" s="403"/>
      <c r="CY517" s="403"/>
      <c r="CZ517" s="403"/>
      <c r="DA517" s="403"/>
      <c r="DB517" s="403"/>
      <c r="DC517" s="403"/>
      <c r="DD517" s="403"/>
      <c r="DE517" s="403"/>
      <c r="DF517" s="403"/>
      <c r="DG517" s="403"/>
      <c r="DH517" s="403"/>
      <c r="DI517" s="403"/>
    </row>
    <row r="518" spans="1:113" ht="30.75" thickBot="1" x14ac:dyDescent="0.3">
      <c r="A518" s="408"/>
      <c r="B518" s="414"/>
      <c r="C518" s="414"/>
      <c r="D518" s="415"/>
      <c r="E518" s="68" t="s">
        <v>22</v>
      </c>
      <c r="F518" s="68" t="s">
        <v>600</v>
      </c>
      <c r="G518" s="68" t="s">
        <v>601</v>
      </c>
      <c r="H518" s="68" t="s">
        <v>589</v>
      </c>
      <c r="I518" s="68" t="s">
        <v>601</v>
      </c>
      <c r="J518" s="411"/>
      <c r="K518" s="418"/>
      <c r="L518"/>
      <c r="M518" s="403"/>
      <c r="N518" s="400" t="s">
        <v>925</v>
      </c>
      <c r="O518" s="400" t="s">
        <v>926</v>
      </c>
      <c r="P518" s="400"/>
      <c r="Q518" s="400"/>
      <c r="R518" s="400"/>
      <c r="S518" s="398"/>
      <c r="T518" s="398"/>
      <c r="U518" s="398"/>
      <c r="V518" s="398"/>
      <c r="W518" s="398"/>
      <c r="X518" s="398"/>
      <c r="Y518" s="398"/>
      <c r="Z518" s="398"/>
      <c r="AA518" s="398"/>
      <c r="AB518" s="398"/>
      <c r="AC518" s="398"/>
      <c r="AD518" s="398"/>
      <c r="AE518" s="398"/>
      <c r="AF518" s="398"/>
      <c r="AG518" s="398"/>
      <c r="AH518" s="398"/>
      <c r="AI518" s="398"/>
      <c r="AJ518" s="398"/>
      <c r="AK518" s="398"/>
      <c r="AL518" s="398"/>
      <c r="AM518" s="398"/>
      <c r="AN518" s="398"/>
      <c r="AO518" s="398"/>
      <c r="AP518" s="398"/>
      <c r="AQ518" s="398"/>
      <c r="AR518" s="398"/>
      <c r="AS518" s="398"/>
      <c r="AT518" s="398"/>
      <c r="AU518" s="398"/>
      <c r="AV518" s="398"/>
      <c r="AW518" s="398"/>
      <c r="AX518" s="398"/>
      <c r="AY518" s="398"/>
      <c r="AZ518" s="398"/>
      <c r="BA518" s="398"/>
      <c r="BB518" s="398"/>
      <c r="BC518" s="398"/>
      <c r="BD518" s="398"/>
      <c r="BE518" s="398"/>
      <c r="BF518" s="398"/>
      <c r="BG518" s="398"/>
      <c r="BH518" s="398"/>
      <c r="BI518" s="398"/>
      <c r="BJ518" s="398"/>
      <c r="BK518" s="398"/>
      <c r="BL518" s="398"/>
      <c r="BM518" s="398"/>
      <c r="BN518" s="398"/>
      <c r="BO518" s="398"/>
      <c r="BP518" s="398"/>
      <c r="BQ518" s="398"/>
      <c r="BR518" s="398"/>
      <c r="BS518" s="398"/>
      <c r="BT518" s="398"/>
      <c r="BU518" s="398"/>
      <c r="BV518" s="398"/>
      <c r="BW518" s="398"/>
      <c r="BX518" s="398"/>
      <c r="BY518" s="398"/>
      <c r="BZ518" s="398"/>
      <c r="CA518" s="398"/>
      <c r="CB518" s="398"/>
      <c r="CC518" s="398"/>
      <c r="CD518" s="398"/>
      <c r="CE518" s="398"/>
      <c r="CF518" s="398"/>
      <c r="CG518" s="398"/>
      <c r="CH518" s="398"/>
      <c r="CI518" s="398"/>
      <c r="CJ518" s="398"/>
      <c r="CK518" s="398"/>
      <c r="CL518" s="398"/>
      <c r="CM518" s="398"/>
      <c r="CN518" s="398"/>
      <c r="CO518" s="398"/>
      <c r="CP518" s="398"/>
      <c r="CQ518" s="398"/>
      <c r="CR518" s="398"/>
      <c r="CS518" s="398"/>
      <c r="CT518" s="398"/>
      <c r="CU518" s="398"/>
      <c r="CV518" s="398"/>
      <c r="CW518" s="398"/>
      <c r="CX518" s="398"/>
      <c r="CY518" s="398"/>
      <c r="CZ518" s="398"/>
      <c r="DA518" s="398"/>
      <c r="DB518" s="398"/>
      <c r="DC518" s="398"/>
      <c r="DD518" s="398"/>
      <c r="DE518" s="398"/>
      <c r="DF518" s="398"/>
      <c r="DG518" s="398"/>
      <c r="DH518" s="398"/>
      <c r="DI518" s="398"/>
    </row>
    <row r="519" spans="1:113" ht="15.75" thickBot="1" x14ac:dyDescent="0.3">
      <c r="A519" s="409"/>
      <c r="B519" s="185">
        <v>1</v>
      </c>
      <c r="C519" s="185">
        <v>2</v>
      </c>
      <c r="D519" s="185">
        <v>3</v>
      </c>
      <c r="E519" s="70">
        <v>4</v>
      </c>
      <c r="F519" s="70">
        <f>+E519+1</f>
        <v>5</v>
      </c>
      <c r="G519" s="70" t="s">
        <v>652</v>
      </c>
      <c r="H519" s="70">
        <v>7</v>
      </c>
      <c r="I519" s="71" t="s">
        <v>651</v>
      </c>
      <c r="J519" s="42" t="s">
        <v>650</v>
      </c>
      <c r="K519" s="42" t="s">
        <v>653</v>
      </c>
      <c r="L519"/>
      <c r="M519" s="403"/>
      <c r="N519" s="402"/>
      <c r="O519" s="402"/>
      <c r="P519" s="402"/>
      <c r="Q519" s="402"/>
      <c r="R519" s="402"/>
      <c r="S519" s="399"/>
      <c r="T519" s="399"/>
      <c r="U519" s="399"/>
      <c r="V519" s="399"/>
      <c r="W519" s="399"/>
      <c r="X519" s="399"/>
      <c r="Y519" s="399"/>
      <c r="Z519" s="399"/>
      <c r="AA519" s="399"/>
      <c r="AB519" s="399"/>
      <c r="AC519" s="399"/>
      <c r="AD519" s="399"/>
      <c r="AE519" s="399"/>
      <c r="AF519" s="399"/>
      <c r="AG519" s="399"/>
      <c r="AH519" s="399"/>
      <c r="AI519" s="399"/>
      <c r="AJ519" s="399"/>
      <c r="AK519" s="399"/>
      <c r="AL519" s="399"/>
      <c r="AM519" s="399"/>
      <c r="AN519" s="399"/>
      <c r="AO519" s="399"/>
      <c r="AP519" s="399"/>
      <c r="AQ519" s="399"/>
      <c r="AR519" s="399"/>
      <c r="AS519" s="399"/>
      <c r="AT519" s="399"/>
      <c r="AU519" s="399"/>
      <c r="AV519" s="399"/>
      <c r="AW519" s="399"/>
      <c r="AX519" s="399"/>
      <c r="AY519" s="399"/>
      <c r="AZ519" s="399"/>
      <c r="BA519" s="399"/>
      <c r="BB519" s="399"/>
      <c r="BC519" s="399"/>
      <c r="BD519" s="399"/>
      <c r="BE519" s="399"/>
      <c r="BF519" s="399"/>
      <c r="BG519" s="399"/>
      <c r="BH519" s="399"/>
      <c r="BI519" s="399"/>
      <c r="BJ519" s="399"/>
      <c r="BK519" s="399"/>
      <c r="BL519" s="399"/>
      <c r="BM519" s="399"/>
      <c r="BN519" s="399"/>
      <c r="BO519" s="399"/>
      <c r="BP519" s="399"/>
      <c r="BQ519" s="399"/>
      <c r="BR519" s="399"/>
      <c r="BS519" s="399"/>
      <c r="BT519" s="399"/>
      <c r="BU519" s="399"/>
      <c r="BV519" s="399"/>
      <c r="BW519" s="399"/>
      <c r="BX519" s="399"/>
      <c r="BY519" s="399"/>
      <c r="BZ519" s="399"/>
      <c r="CA519" s="399"/>
      <c r="CB519" s="399"/>
      <c r="CC519" s="399"/>
      <c r="CD519" s="399"/>
      <c r="CE519" s="399"/>
      <c r="CF519" s="399"/>
      <c r="CG519" s="399"/>
      <c r="CH519" s="399"/>
      <c r="CI519" s="399"/>
      <c r="CJ519" s="399"/>
      <c r="CK519" s="399"/>
      <c r="CL519" s="399"/>
      <c r="CM519" s="399"/>
      <c r="CN519" s="399"/>
      <c r="CO519" s="399"/>
      <c r="CP519" s="399"/>
      <c r="CQ519" s="399"/>
      <c r="CR519" s="399"/>
      <c r="CS519" s="399"/>
      <c r="CT519" s="399"/>
      <c r="CU519" s="399"/>
      <c r="CV519" s="399"/>
      <c r="CW519" s="399"/>
      <c r="CX519" s="399"/>
      <c r="CY519" s="399"/>
      <c r="CZ519" s="399"/>
      <c r="DA519" s="399"/>
      <c r="DB519" s="399"/>
      <c r="DC519" s="399"/>
      <c r="DD519" s="399"/>
      <c r="DE519" s="399"/>
      <c r="DF519" s="399"/>
      <c r="DG519" s="399"/>
      <c r="DH519" s="399"/>
      <c r="DI519" s="399"/>
    </row>
    <row r="520" spans="1:113" x14ac:dyDescent="0.25">
      <c r="A520" s="160"/>
      <c r="B520" s="72" t="s">
        <v>715</v>
      </c>
      <c r="C520" s="54"/>
      <c r="D520" s="54"/>
      <c r="E520" s="54"/>
      <c r="F520" s="54"/>
      <c r="G520" s="54"/>
      <c r="H520" s="54"/>
      <c r="I520" s="54"/>
      <c r="J520" s="54"/>
      <c r="K520" s="54"/>
      <c r="L520"/>
      <c r="M520" s="314">
        <f t="shared" ref="M520:M538" si="152">SUM(N520:DJ520)</f>
        <v>0</v>
      </c>
      <c r="N520" s="310"/>
      <c r="O520" s="315"/>
      <c r="P520" s="315"/>
      <c r="Q520" s="315"/>
      <c r="R520" s="315"/>
      <c r="S520" s="55"/>
      <c r="T520" s="55"/>
      <c r="U520" s="55"/>
      <c r="V520" s="55"/>
      <c r="W520" s="55"/>
      <c r="X520" s="55"/>
      <c r="Y520" s="55"/>
      <c r="Z520" s="55"/>
      <c r="AA520" s="55"/>
      <c r="AB520" s="55"/>
      <c r="AC520" s="55"/>
      <c r="AD520" s="55"/>
      <c r="AE520" s="55"/>
      <c r="AF520" s="55"/>
      <c r="AG520" s="55"/>
      <c r="AH520" s="55"/>
      <c r="AI520" s="55"/>
      <c r="AJ520" s="55"/>
      <c r="AK520" s="55"/>
      <c r="AL520" s="55"/>
      <c r="AM520" s="55"/>
      <c r="AN520" s="55"/>
      <c r="AO520" s="55"/>
      <c r="AP520" s="55"/>
      <c r="AQ520" s="55"/>
      <c r="AR520" s="55"/>
      <c r="AS520" s="55"/>
      <c r="AT520" s="55"/>
      <c r="AU520" s="55"/>
      <c r="AV520" s="55"/>
      <c r="AW520" s="55"/>
      <c r="AX520" s="55"/>
      <c r="AY520" s="55"/>
      <c r="AZ520" s="55"/>
      <c r="BA520" s="55"/>
      <c r="BB520" s="55"/>
      <c r="BC520" s="55"/>
      <c r="BD520" s="55"/>
      <c r="BE520" s="55"/>
      <c r="BF520" s="55"/>
      <c r="BG520" s="55"/>
      <c r="BH520" s="55"/>
      <c r="BI520" s="55"/>
      <c r="BJ520" s="55"/>
      <c r="BK520" s="55"/>
      <c r="BL520" s="55"/>
      <c r="BM520" s="55"/>
      <c r="BN520" s="55"/>
      <c r="BO520" s="55"/>
      <c r="BP520" s="55"/>
      <c r="BQ520" s="55"/>
      <c r="BR520" s="55"/>
      <c r="BS520" s="55"/>
      <c r="BT520" s="55"/>
      <c r="BU520" s="55"/>
      <c r="BV520" s="55"/>
      <c r="BW520" s="55"/>
      <c r="BX520" s="55"/>
      <c r="BY520" s="55"/>
      <c r="BZ520" s="55"/>
      <c r="CA520" s="55"/>
      <c r="CB520" s="55"/>
      <c r="CC520" s="55"/>
      <c r="CD520" s="55"/>
      <c r="CE520" s="55"/>
      <c r="CF520" s="55"/>
      <c r="CG520" s="55"/>
      <c r="CH520" s="55"/>
      <c r="CI520" s="55"/>
      <c r="CJ520" s="55"/>
      <c r="CK520" s="55"/>
      <c r="CL520" s="55"/>
      <c r="CM520" s="55"/>
      <c r="CN520" s="55"/>
      <c r="CO520" s="55"/>
      <c r="CP520" s="55"/>
      <c r="CQ520" s="55"/>
      <c r="CR520" s="55"/>
      <c r="CS520" s="55"/>
      <c r="CT520" s="55"/>
      <c r="CU520" s="55"/>
      <c r="CV520" s="55"/>
      <c r="CW520" s="55"/>
      <c r="CX520" s="55"/>
      <c r="CY520" s="55"/>
      <c r="CZ520" s="55"/>
      <c r="DA520" s="55"/>
      <c r="DB520" s="55"/>
      <c r="DC520" s="55"/>
      <c r="DD520" s="55"/>
      <c r="DE520" s="55"/>
      <c r="DF520" s="55"/>
      <c r="DG520" s="55"/>
      <c r="DH520" s="55"/>
      <c r="DI520" s="55"/>
    </row>
    <row r="521" spans="1:113" x14ac:dyDescent="0.25">
      <c r="A521" s="152">
        <v>1</v>
      </c>
      <c r="B521" s="60" t="s">
        <v>596</v>
      </c>
      <c r="C521" s="43">
        <v>12000</v>
      </c>
      <c r="D521" s="60">
        <v>2289.9899999999998</v>
      </c>
      <c r="E521" s="43">
        <v>200</v>
      </c>
      <c r="F521" s="60"/>
      <c r="G521" s="139">
        <f t="shared" ref="G521:G537" si="153">+E521+F521</f>
        <v>200</v>
      </c>
      <c r="H521" s="55"/>
      <c r="I521" s="56">
        <f t="shared" ref="I521:I537" si="154">+G521-H521</f>
        <v>200</v>
      </c>
      <c r="J521" s="56">
        <f t="shared" ref="J521:J537" si="155">I521*C521</f>
        <v>2400000</v>
      </c>
      <c r="K521" s="57">
        <f t="shared" ref="K521:K537" si="156">+D521*I521</f>
        <v>457997.99999999994</v>
      </c>
      <c r="L521"/>
      <c r="M521" s="314">
        <f t="shared" si="152"/>
        <v>0</v>
      </c>
      <c r="N521" s="310"/>
      <c r="O521" s="315"/>
      <c r="P521" s="315"/>
      <c r="Q521" s="315"/>
      <c r="R521" s="315"/>
      <c r="S521" s="55"/>
      <c r="T521" s="55"/>
      <c r="U521" s="55"/>
      <c r="V521" s="55"/>
      <c r="W521" s="55"/>
      <c r="X521" s="55"/>
      <c r="Y521" s="55"/>
      <c r="Z521" s="55"/>
      <c r="AA521" s="55"/>
      <c r="AB521" s="55"/>
      <c r="AC521" s="55"/>
      <c r="AD521" s="55"/>
      <c r="AE521" s="55"/>
      <c r="AF521" s="55"/>
      <c r="AG521" s="55"/>
      <c r="AH521" s="55"/>
      <c r="AI521" s="55"/>
      <c r="AJ521" s="55"/>
      <c r="AK521" s="55"/>
      <c r="AL521" s="55"/>
      <c r="AM521" s="55"/>
      <c r="AN521" s="55"/>
      <c r="AO521" s="55"/>
      <c r="AP521" s="55"/>
      <c r="AQ521" s="55"/>
      <c r="AR521" s="55"/>
      <c r="AS521" s="55"/>
      <c r="AT521" s="55"/>
      <c r="AU521" s="55"/>
      <c r="AV521" s="55"/>
      <c r="AW521" s="55"/>
      <c r="AX521" s="55"/>
      <c r="AY521" s="55"/>
      <c r="AZ521" s="55"/>
      <c r="BA521" s="55"/>
      <c r="BB521" s="55"/>
      <c r="BC521" s="55"/>
      <c r="BD521" s="55"/>
      <c r="BE521" s="55"/>
      <c r="BF521" s="55"/>
      <c r="BG521" s="55"/>
      <c r="BH521" s="55"/>
      <c r="BI521" s="55"/>
      <c r="BJ521" s="55"/>
      <c r="BK521" s="55"/>
      <c r="BL521" s="55"/>
      <c r="BM521" s="55"/>
      <c r="BN521" s="55"/>
      <c r="BO521" s="55"/>
      <c r="BP521" s="55"/>
      <c r="BQ521" s="55"/>
      <c r="BR521" s="55"/>
      <c r="BS521" s="55"/>
      <c r="BT521" s="55"/>
      <c r="BU521" s="55"/>
      <c r="BV521" s="55"/>
      <c r="BW521" s="55"/>
      <c r="BX521" s="55"/>
      <c r="BY521" s="55"/>
      <c r="BZ521" s="55"/>
      <c r="CA521" s="55"/>
      <c r="CB521" s="55"/>
      <c r="CC521" s="55"/>
      <c r="CD521" s="55"/>
      <c r="CE521" s="55"/>
      <c r="CF521" s="55"/>
      <c r="CG521" s="55"/>
      <c r="CH521" s="55"/>
      <c r="CI521" s="55"/>
      <c r="CJ521" s="55"/>
      <c r="CK521" s="55"/>
      <c r="CL521" s="55"/>
      <c r="CM521" s="55"/>
      <c r="CN521" s="55"/>
      <c r="CO521" s="55"/>
      <c r="CP521" s="55"/>
      <c r="CQ521" s="55"/>
      <c r="CR521" s="55"/>
      <c r="CS521" s="55"/>
      <c r="CT521" s="55"/>
      <c r="CU521" s="55"/>
      <c r="CV521" s="55"/>
      <c r="CW521" s="55"/>
      <c r="CX521" s="55"/>
      <c r="CY521" s="55"/>
      <c r="CZ521" s="55"/>
      <c r="DA521" s="55"/>
      <c r="DB521" s="55"/>
      <c r="DC521" s="55"/>
      <c r="DD521" s="55"/>
      <c r="DE521" s="55"/>
      <c r="DF521" s="55"/>
      <c r="DG521" s="55"/>
      <c r="DH521" s="55"/>
      <c r="DI521" s="55"/>
    </row>
    <row r="522" spans="1:113" x14ac:dyDescent="0.25">
      <c r="A522" s="152">
        <v>2</v>
      </c>
      <c r="B522" s="60" t="s">
        <v>597</v>
      </c>
      <c r="C522" s="43">
        <v>13000</v>
      </c>
      <c r="D522" s="60">
        <v>3037.5</v>
      </c>
      <c r="E522" s="43">
        <v>200</v>
      </c>
      <c r="F522" s="60"/>
      <c r="G522" s="139">
        <f t="shared" si="153"/>
        <v>200</v>
      </c>
      <c r="H522" s="55"/>
      <c r="I522" s="56">
        <f t="shared" si="154"/>
        <v>200</v>
      </c>
      <c r="J522" s="56">
        <f t="shared" si="155"/>
        <v>2600000</v>
      </c>
      <c r="K522" s="57">
        <f t="shared" si="156"/>
        <v>607500</v>
      </c>
      <c r="L522"/>
      <c r="M522" s="314">
        <f t="shared" si="152"/>
        <v>0</v>
      </c>
      <c r="N522" s="310"/>
      <c r="O522" s="315"/>
      <c r="P522" s="315"/>
      <c r="Q522" s="315"/>
      <c r="R522" s="315"/>
      <c r="S522" s="55"/>
      <c r="T522" s="55"/>
      <c r="U522" s="55"/>
      <c r="V522" s="55"/>
      <c r="W522" s="55"/>
      <c r="X522" s="55"/>
      <c r="Y522" s="55"/>
      <c r="Z522" s="55"/>
      <c r="AA522" s="55"/>
      <c r="AB522" s="55"/>
      <c r="AC522" s="55"/>
      <c r="AD522" s="55"/>
      <c r="AE522" s="55"/>
      <c r="AF522" s="55"/>
      <c r="AG522" s="55"/>
      <c r="AH522" s="55"/>
      <c r="AI522" s="55"/>
      <c r="AJ522" s="55"/>
      <c r="AK522" s="55"/>
      <c r="AL522" s="55"/>
      <c r="AM522" s="55"/>
      <c r="AN522" s="55"/>
      <c r="AO522" s="55"/>
      <c r="AP522" s="55"/>
      <c r="AQ522" s="55"/>
      <c r="AR522" s="55"/>
      <c r="AS522" s="55"/>
      <c r="AT522" s="55"/>
      <c r="AU522" s="55"/>
      <c r="AV522" s="55"/>
      <c r="AW522" s="55"/>
      <c r="AX522" s="55"/>
      <c r="AY522" s="55"/>
      <c r="AZ522" s="55"/>
      <c r="BA522" s="55"/>
      <c r="BB522" s="55"/>
      <c r="BC522" s="55"/>
      <c r="BD522" s="55"/>
      <c r="BE522" s="55"/>
      <c r="BF522" s="55"/>
      <c r="BG522" s="55"/>
      <c r="BH522" s="55"/>
      <c r="BI522" s="55"/>
      <c r="BJ522" s="55"/>
      <c r="BK522" s="55"/>
      <c r="BL522" s="55"/>
      <c r="BM522" s="55"/>
      <c r="BN522" s="55"/>
      <c r="BO522" s="55"/>
      <c r="BP522" s="55"/>
      <c r="BQ522" s="55"/>
      <c r="BR522" s="55"/>
      <c r="BS522" s="55"/>
      <c r="BT522" s="55"/>
      <c r="BU522" s="55"/>
      <c r="BV522" s="55"/>
      <c r="BW522" s="55"/>
      <c r="BX522" s="55"/>
      <c r="BY522" s="55"/>
      <c r="BZ522" s="55"/>
      <c r="CA522" s="55"/>
      <c r="CB522" s="55"/>
      <c r="CC522" s="55"/>
      <c r="CD522" s="55"/>
      <c r="CE522" s="55"/>
      <c r="CF522" s="55"/>
      <c r="CG522" s="55"/>
      <c r="CH522" s="55"/>
      <c r="CI522" s="55"/>
      <c r="CJ522" s="55"/>
      <c r="CK522" s="55"/>
      <c r="CL522" s="55"/>
      <c r="CM522" s="55"/>
      <c r="CN522" s="55"/>
      <c r="CO522" s="55"/>
      <c r="CP522" s="55"/>
      <c r="CQ522" s="55"/>
      <c r="CR522" s="55"/>
      <c r="CS522" s="55"/>
      <c r="CT522" s="55"/>
      <c r="CU522" s="55"/>
      <c r="CV522" s="55"/>
      <c r="CW522" s="55"/>
      <c r="CX522" s="55"/>
      <c r="CY522" s="55"/>
      <c r="CZ522" s="55"/>
      <c r="DA522" s="55"/>
      <c r="DB522" s="55"/>
      <c r="DC522" s="55"/>
      <c r="DD522" s="55"/>
      <c r="DE522" s="55"/>
      <c r="DF522" s="55"/>
      <c r="DG522" s="55"/>
      <c r="DH522" s="55"/>
      <c r="DI522" s="55"/>
    </row>
    <row r="523" spans="1:113" x14ac:dyDescent="0.25">
      <c r="A523" s="152">
        <v>3</v>
      </c>
      <c r="B523" s="60" t="s">
        <v>604</v>
      </c>
      <c r="C523" s="43">
        <v>42000</v>
      </c>
      <c r="D523" s="60">
        <v>3571.48</v>
      </c>
      <c r="E523" s="43">
        <v>170</v>
      </c>
      <c r="F523" s="60"/>
      <c r="G523" s="139">
        <f t="shared" si="153"/>
        <v>170</v>
      </c>
      <c r="H523" s="55"/>
      <c r="I523" s="56">
        <f t="shared" si="154"/>
        <v>170</v>
      </c>
      <c r="J523" s="56">
        <f t="shared" si="155"/>
        <v>7140000</v>
      </c>
      <c r="K523" s="57">
        <f t="shared" si="156"/>
        <v>607151.6</v>
      </c>
      <c r="L523"/>
      <c r="M523" s="314">
        <f t="shared" si="152"/>
        <v>0</v>
      </c>
      <c r="N523" s="310"/>
      <c r="O523" s="315"/>
      <c r="P523" s="315"/>
      <c r="Q523" s="315"/>
      <c r="R523" s="315"/>
      <c r="S523" s="55"/>
      <c r="T523" s="55"/>
      <c r="U523" s="55"/>
      <c r="V523" s="55"/>
      <c r="W523" s="55"/>
      <c r="X523" s="55"/>
      <c r="Y523" s="55"/>
      <c r="Z523" s="55"/>
      <c r="AA523" s="55"/>
      <c r="AB523" s="55"/>
      <c r="AC523" s="55"/>
      <c r="AD523" s="55"/>
      <c r="AE523" s="55"/>
      <c r="AF523" s="55"/>
      <c r="AG523" s="55"/>
      <c r="AH523" s="55"/>
      <c r="AI523" s="55"/>
      <c r="AJ523" s="55"/>
      <c r="AK523" s="55"/>
      <c r="AL523" s="55"/>
      <c r="AM523" s="55"/>
      <c r="AN523" s="55"/>
      <c r="AO523" s="55"/>
      <c r="AP523" s="55"/>
      <c r="AQ523" s="55"/>
      <c r="AR523" s="55"/>
      <c r="AS523" s="55"/>
      <c r="AT523" s="55"/>
      <c r="AU523" s="55"/>
      <c r="AV523" s="55"/>
      <c r="AW523" s="55"/>
      <c r="AX523" s="55"/>
      <c r="AY523" s="55"/>
      <c r="AZ523" s="55"/>
      <c r="BA523" s="55"/>
      <c r="BB523" s="55"/>
      <c r="BC523" s="55"/>
      <c r="BD523" s="55"/>
      <c r="BE523" s="55"/>
      <c r="BF523" s="55"/>
      <c r="BG523" s="55"/>
      <c r="BH523" s="55"/>
      <c r="BI523" s="55"/>
      <c r="BJ523" s="55"/>
      <c r="BK523" s="55"/>
      <c r="BL523" s="55"/>
      <c r="BM523" s="55"/>
      <c r="BN523" s="55"/>
      <c r="BO523" s="55"/>
      <c r="BP523" s="55"/>
      <c r="BQ523" s="55"/>
      <c r="BR523" s="55"/>
      <c r="BS523" s="55"/>
      <c r="BT523" s="55"/>
      <c r="BU523" s="55"/>
      <c r="BV523" s="55"/>
      <c r="BW523" s="55"/>
      <c r="BX523" s="55"/>
      <c r="BY523" s="55"/>
      <c r="BZ523" s="55"/>
      <c r="CA523" s="55"/>
      <c r="CB523" s="55"/>
      <c r="CC523" s="55"/>
      <c r="CD523" s="55"/>
      <c r="CE523" s="55"/>
      <c r="CF523" s="55"/>
      <c r="CG523" s="55"/>
      <c r="CH523" s="55"/>
      <c r="CI523" s="55"/>
      <c r="CJ523" s="55"/>
      <c r="CK523" s="55"/>
      <c r="CL523" s="55"/>
      <c r="CM523" s="55"/>
      <c r="CN523" s="55"/>
      <c r="CO523" s="55"/>
      <c r="CP523" s="55"/>
      <c r="CQ523" s="55"/>
      <c r="CR523" s="55"/>
      <c r="CS523" s="55"/>
      <c r="CT523" s="55"/>
      <c r="CU523" s="55"/>
      <c r="CV523" s="55"/>
      <c r="CW523" s="55"/>
      <c r="CX523" s="55"/>
      <c r="CY523" s="55"/>
      <c r="CZ523" s="55"/>
      <c r="DA523" s="55"/>
      <c r="DB523" s="55"/>
      <c r="DC523" s="55"/>
      <c r="DD523" s="55"/>
      <c r="DE523" s="55"/>
      <c r="DF523" s="55"/>
      <c r="DG523" s="55"/>
      <c r="DH523" s="55"/>
      <c r="DI523" s="55"/>
    </row>
    <row r="524" spans="1:113" x14ac:dyDescent="0.25">
      <c r="A524" s="152">
        <v>4</v>
      </c>
      <c r="B524" s="220" t="s">
        <v>759</v>
      </c>
      <c r="C524" s="43">
        <v>12000</v>
      </c>
      <c r="D524" s="60">
        <v>2555.0700000000002</v>
      </c>
      <c r="E524" s="43">
        <v>200</v>
      </c>
      <c r="F524" s="60"/>
      <c r="G524" s="139">
        <f t="shared" si="153"/>
        <v>200</v>
      </c>
      <c r="H524" s="55"/>
      <c r="I524" s="56">
        <f t="shared" si="154"/>
        <v>200</v>
      </c>
      <c r="J524" s="56">
        <f t="shared" si="155"/>
        <v>2400000</v>
      </c>
      <c r="K524" s="57">
        <f t="shared" si="156"/>
        <v>511014.00000000006</v>
      </c>
      <c r="L524"/>
      <c r="M524" s="314">
        <f t="shared" si="152"/>
        <v>0</v>
      </c>
      <c r="N524" s="310"/>
      <c r="O524" s="315"/>
      <c r="P524" s="315"/>
      <c r="Q524" s="315"/>
      <c r="R524" s="315"/>
      <c r="S524" s="55"/>
      <c r="T524" s="55"/>
      <c r="U524" s="55"/>
      <c r="V524" s="55"/>
      <c r="W524" s="55"/>
      <c r="X524" s="55"/>
      <c r="Y524" s="55"/>
      <c r="Z524" s="55"/>
      <c r="AA524" s="55"/>
      <c r="AB524" s="55"/>
      <c r="AC524" s="55"/>
      <c r="AD524" s="55"/>
      <c r="AE524" s="55"/>
      <c r="AF524" s="55"/>
      <c r="AG524" s="55"/>
      <c r="AH524" s="55"/>
      <c r="AI524" s="55"/>
      <c r="AJ524" s="55"/>
      <c r="AK524" s="55"/>
      <c r="AL524" s="55"/>
      <c r="AM524" s="55"/>
      <c r="AN524" s="55"/>
      <c r="AO524" s="55"/>
      <c r="AP524" s="55"/>
      <c r="AQ524" s="55"/>
      <c r="AR524" s="55"/>
      <c r="AS524" s="55"/>
      <c r="AT524" s="55"/>
      <c r="AU524" s="55"/>
      <c r="AV524" s="55"/>
      <c r="AW524" s="55"/>
      <c r="AX524" s="55"/>
      <c r="AY524" s="55"/>
      <c r="AZ524" s="55"/>
      <c r="BA524" s="55"/>
      <c r="BB524" s="55"/>
      <c r="BC524" s="55"/>
      <c r="BD524" s="55"/>
      <c r="BE524" s="55"/>
      <c r="BF524" s="55"/>
      <c r="BG524" s="55"/>
      <c r="BH524" s="55"/>
      <c r="BI524" s="55"/>
      <c r="BJ524" s="55"/>
      <c r="BK524" s="55"/>
      <c r="BL524" s="55"/>
      <c r="BM524" s="55"/>
      <c r="BN524" s="55"/>
      <c r="BO524" s="55"/>
      <c r="BP524" s="55"/>
      <c r="BQ524" s="55"/>
      <c r="BR524" s="55"/>
      <c r="BS524" s="55"/>
      <c r="BT524" s="55"/>
      <c r="BU524" s="55"/>
      <c r="BV524" s="55"/>
      <c r="BW524" s="55"/>
      <c r="BX524" s="55"/>
      <c r="BY524" s="55"/>
      <c r="BZ524" s="55"/>
      <c r="CA524" s="55"/>
      <c r="CB524" s="55"/>
      <c r="CC524" s="55"/>
      <c r="CD524" s="55"/>
      <c r="CE524" s="55"/>
      <c r="CF524" s="55"/>
      <c r="CG524" s="55"/>
      <c r="CH524" s="55"/>
      <c r="CI524" s="55"/>
      <c r="CJ524" s="55"/>
      <c r="CK524" s="55"/>
      <c r="CL524" s="55"/>
      <c r="CM524" s="55"/>
      <c r="CN524" s="55"/>
      <c r="CO524" s="55"/>
      <c r="CP524" s="55"/>
      <c r="CQ524" s="55"/>
      <c r="CR524" s="55"/>
      <c r="CS524" s="55"/>
      <c r="CT524" s="55"/>
      <c r="CU524" s="55"/>
      <c r="CV524" s="55"/>
      <c r="CW524" s="55"/>
      <c r="CX524" s="55"/>
      <c r="CY524" s="55"/>
      <c r="CZ524" s="55"/>
      <c r="DA524" s="55"/>
      <c r="DB524" s="55"/>
      <c r="DC524" s="55"/>
      <c r="DD524" s="55"/>
      <c r="DE524" s="55"/>
      <c r="DF524" s="55"/>
      <c r="DG524" s="55"/>
      <c r="DH524" s="55"/>
      <c r="DI524" s="55"/>
    </row>
    <row r="525" spans="1:113" x14ac:dyDescent="0.25">
      <c r="A525" s="152">
        <v>5</v>
      </c>
      <c r="B525" s="60" t="s">
        <v>605</v>
      </c>
      <c r="C525" s="43">
        <v>19000</v>
      </c>
      <c r="D525" s="60">
        <v>2440.58</v>
      </c>
      <c r="E525" s="43">
        <v>198</v>
      </c>
      <c r="F525" s="60"/>
      <c r="G525" s="139">
        <f t="shared" si="153"/>
        <v>198</v>
      </c>
      <c r="H525" s="55"/>
      <c r="I525" s="56">
        <f t="shared" si="154"/>
        <v>198</v>
      </c>
      <c r="J525" s="56">
        <f t="shared" si="155"/>
        <v>3762000</v>
      </c>
      <c r="K525" s="57">
        <f t="shared" si="156"/>
        <v>483234.83999999997</v>
      </c>
      <c r="L525"/>
      <c r="M525" s="314">
        <f t="shared" si="152"/>
        <v>0</v>
      </c>
      <c r="N525" s="310"/>
      <c r="O525" s="315"/>
      <c r="P525" s="315"/>
      <c r="Q525" s="315"/>
      <c r="R525" s="315"/>
      <c r="S525" s="55"/>
      <c r="T525" s="55"/>
      <c r="U525" s="55"/>
      <c r="V525" s="55"/>
      <c r="W525" s="55"/>
      <c r="X525" s="55"/>
      <c r="Y525" s="55"/>
      <c r="Z525" s="55"/>
      <c r="AA525" s="55"/>
      <c r="AB525" s="55"/>
      <c r="AC525" s="55"/>
      <c r="AD525" s="55"/>
      <c r="AE525" s="55"/>
      <c r="AF525" s="55"/>
      <c r="AG525" s="55"/>
      <c r="AH525" s="55"/>
      <c r="AI525" s="55"/>
      <c r="AJ525" s="55"/>
      <c r="AK525" s="55"/>
      <c r="AL525" s="55"/>
      <c r="AM525" s="55"/>
      <c r="AN525" s="55"/>
      <c r="AO525" s="55"/>
      <c r="AP525" s="55"/>
      <c r="AQ525" s="55"/>
      <c r="AR525" s="55"/>
      <c r="AS525" s="55"/>
      <c r="AT525" s="55"/>
      <c r="AU525" s="55"/>
      <c r="AV525" s="55"/>
      <c r="AW525" s="55"/>
      <c r="AX525" s="55"/>
      <c r="AY525" s="55"/>
      <c r="AZ525" s="55"/>
      <c r="BA525" s="55"/>
      <c r="BB525" s="55"/>
      <c r="BC525" s="55"/>
      <c r="BD525" s="55"/>
      <c r="BE525" s="55"/>
      <c r="BF525" s="55"/>
      <c r="BG525" s="55"/>
      <c r="BH525" s="55"/>
      <c r="BI525" s="55"/>
      <c r="BJ525" s="55"/>
      <c r="BK525" s="55"/>
      <c r="BL525" s="55"/>
      <c r="BM525" s="55"/>
      <c r="BN525" s="55"/>
      <c r="BO525" s="55"/>
      <c r="BP525" s="55"/>
      <c r="BQ525" s="55"/>
      <c r="BR525" s="55"/>
      <c r="BS525" s="55"/>
      <c r="BT525" s="55"/>
      <c r="BU525" s="55"/>
      <c r="BV525" s="55"/>
      <c r="BW525" s="55"/>
      <c r="BX525" s="55"/>
      <c r="BY525" s="55"/>
      <c r="BZ525" s="55"/>
      <c r="CA525" s="55"/>
      <c r="CB525" s="55"/>
      <c r="CC525" s="55"/>
      <c r="CD525" s="55"/>
      <c r="CE525" s="55"/>
      <c r="CF525" s="55"/>
      <c r="CG525" s="55"/>
      <c r="CH525" s="55"/>
      <c r="CI525" s="55"/>
      <c r="CJ525" s="55"/>
      <c r="CK525" s="55"/>
      <c r="CL525" s="55"/>
      <c r="CM525" s="55"/>
      <c r="CN525" s="55"/>
      <c r="CO525" s="55"/>
      <c r="CP525" s="55"/>
      <c r="CQ525" s="55"/>
      <c r="CR525" s="55"/>
      <c r="CS525" s="55"/>
      <c r="CT525" s="55"/>
      <c r="CU525" s="55"/>
      <c r="CV525" s="55"/>
      <c r="CW525" s="55"/>
      <c r="CX525" s="55"/>
      <c r="CY525" s="55"/>
      <c r="CZ525" s="55"/>
      <c r="DA525" s="55"/>
      <c r="DB525" s="55"/>
      <c r="DC525" s="55"/>
      <c r="DD525" s="55"/>
      <c r="DE525" s="55"/>
      <c r="DF525" s="55"/>
      <c r="DG525" s="55"/>
      <c r="DH525" s="55"/>
      <c r="DI525" s="55"/>
    </row>
    <row r="526" spans="1:113" x14ac:dyDescent="0.25">
      <c r="A526" s="152">
        <v>6</v>
      </c>
      <c r="B526" s="60" t="s">
        <v>606</v>
      </c>
      <c r="C526" s="43">
        <v>30000</v>
      </c>
      <c r="D526" s="60">
        <v>2679.76</v>
      </c>
      <c r="E526" s="43">
        <v>170</v>
      </c>
      <c r="F526" s="60"/>
      <c r="G526" s="139">
        <f t="shared" si="153"/>
        <v>170</v>
      </c>
      <c r="H526" s="55"/>
      <c r="I526" s="56">
        <f t="shared" si="154"/>
        <v>170</v>
      </c>
      <c r="J526" s="56">
        <f t="shared" si="155"/>
        <v>5100000</v>
      </c>
      <c r="K526" s="57">
        <f t="shared" si="156"/>
        <v>455559.2</v>
      </c>
      <c r="L526"/>
      <c r="M526" s="314">
        <f t="shared" si="152"/>
        <v>0</v>
      </c>
      <c r="N526" s="310"/>
      <c r="O526" s="315"/>
      <c r="P526" s="315"/>
      <c r="Q526" s="315"/>
      <c r="R526" s="315"/>
      <c r="S526" s="55"/>
      <c r="T526" s="55"/>
      <c r="U526" s="55"/>
      <c r="V526" s="55"/>
      <c r="W526" s="55"/>
      <c r="X526" s="55"/>
      <c r="Y526" s="55"/>
      <c r="Z526" s="55"/>
      <c r="AA526" s="55"/>
      <c r="AB526" s="55"/>
      <c r="AC526" s="55"/>
      <c r="AD526" s="55"/>
      <c r="AE526" s="55"/>
      <c r="AF526" s="55"/>
      <c r="AG526" s="55"/>
      <c r="AH526" s="55"/>
      <c r="AI526" s="55"/>
      <c r="AJ526" s="55"/>
      <c r="AK526" s="55"/>
      <c r="AL526" s="55"/>
      <c r="AM526" s="55"/>
      <c r="AN526" s="55"/>
      <c r="AO526" s="55"/>
      <c r="AP526" s="55"/>
      <c r="AQ526" s="55"/>
      <c r="AR526" s="55"/>
      <c r="AS526" s="55"/>
      <c r="AT526" s="55"/>
      <c r="AU526" s="55"/>
      <c r="AV526" s="55"/>
      <c r="AW526" s="55"/>
      <c r="AX526" s="55"/>
      <c r="AY526" s="55"/>
      <c r="AZ526" s="55"/>
      <c r="BA526" s="55"/>
      <c r="BB526" s="55"/>
      <c r="BC526" s="55"/>
      <c r="BD526" s="55"/>
      <c r="BE526" s="55"/>
      <c r="BF526" s="55"/>
      <c r="BG526" s="55"/>
      <c r="BH526" s="55"/>
      <c r="BI526" s="55"/>
      <c r="BJ526" s="55"/>
      <c r="BK526" s="55"/>
      <c r="BL526" s="55"/>
      <c r="BM526" s="55"/>
      <c r="BN526" s="55"/>
      <c r="BO526" s="55"/>
      <c r="BP526" s="55"/>
      <c r="BQ526" s="55"/>
      <c r="BR526" s="55"/>
      <c r="BS526" s="55"/>
      <c r="BT526" s="55"/>
      <c r="BU526" s="55"/>
      <c r="BV526" s="55"/>
      <c r="BW526" s="55"/>
      <c r="BX526" s="55"/>
      <c r="BY526" s="55"/>
      <c r="BZ526" s="55"/>
      <c r="CA526" s="55"/>
      <c r="CB526" s="55"/>
      <c r="CC526" s="55"/>
      <c r="CD526" s="55"/>
      <c r="CE526" s="55"/>
      <c r="CF526" s="55"/>
      <c r="CG526" s="55"/>
      <c r="CH526" s="55"/>
      <c r="CI526" s="55"/>
      <c r="CJ526" s="55"/>
      <c r="CK526" s="55"/>
      <c r="CL526" s="55"/>
      <c r="CM526" s="55"/>
      <c r="CN526" s="55"/>
      <c r="CO526" s="55"/>
      <c r="CP526" s="55"/>
      <c r="CQ526" s="55"/>
      <c r="CR526" s="55"/>
      <c r="CS526" s="55"/>
      <c r="CT526" s="55"/>
      <c r="CU526" s="55"/>
      <c r="CV526" s="55"/>
      <c r="CW526" s="55"/>
      <c r="CX526" s="55"/>
      <c r="CY526" s="55"/>
      <c r="CZ526" s="55"/>
      <c r="DA526" s="55"/>
      <c r="DB526" s="55"/>
      <c r="DC526" s="55"/>
      <c r="DD526" s="55"/>
      <c r="DE526" s="55"/>
      <c r="DF526" s="55"/>
      <c r="DG526" s="55"/>
      <c r="DH526" s="55"/>
      <c r="DI526" s="55"/>
    </row>
    <row r="527" spans="1:113" x14ac:dyDescent="0.25">
      <c r="A527" s="152">
        <v>7</v>
      </c>
      <c r="B527" s="60" t="s">
        <v>318</v>
      </c>
      <c r="C527" s="43">
        <v>6000</v>
      </c>
      <c r="D527" s="60">
        <v>2321.5</v>
      </c>
      <c r="E527" s="43">
        <v>180</v>
      </c>
      <c r="F527" s="60"/>
      <c r="G527" s="139">
        <f t="shared" si="153"/>
        <v>180</v>
      </c>
      <c r="H527" s="55"/>
      <c r="I527" s="56">
        <f t="shared" si="154"/>
        <v>180</v>
      </c>
      <c r="J527" s="56">
        <f t="shared" si="155"/>
        <v>1080000</v>
      </c>
      <c r="K527" s="57">
        <f t="shared" si="156"/>
        <v>417870</v>
      </c>
      <c r="L527"/>
      <c r="M527" s="314">
        <f t="shared" si="152"/>
        <v>0</v>
      </c>
      <c r="N527" s="310"/>
      <c r="O527" s="315"/>
      <c r="P527" s="315"/>
      <c r="Q527" s="315"/>
      <c r="R527" s="315"/>
      <c r="S527" s="55"/>
      <c r="T527" s="55"/>
      <c r="U527" s="55"/>
      <c r="V527" s="55"/>
      <c r="W527" s="55"/>
      <c r="X527" s="55"/>
      <c r="Y527" s="55"/>
      <c r="Z527" s="55"/>
      <c r="AA527" s="55"/>
      <c r="AB527" s="55"/>
      <c r="AC527" s="55"/>
      <c r="AD527" s="55"/>
      <c r="AE527" s="55"/>
      <c r="AF527" s="55"/>
      <c r="AG527" s="55"/>
      <c r="AH527" s="55"/>
      <c r="AI527" s="55"/>
      <c r="AJ527" s="55"/>
      <c r="AK527" s="55"/>
      <c r="AL527" s="55"/>
      <c r="AM527" s="55"/>
      <c r="AN527" s="55"/>
      <c r="AO527" s="55"/>
      <c r="AP527" s="55"/>
      <c r="AQ527" s="55"/>
      <c r="AR527" s="55"/>
      <c r="AS527" s="55"/>
      <c r="AT527" s="55"/>
      <c r="AU527" s="55"/>
      <c r="AV527" s="55"/>
      <c r="AW527" s="55"/>
      <c r="AX527" s="55"/>
      <c r="AY527" s="55"/>
      <c r="AZ527" s="55"/>
      <c r="BA527" s="55"/>
      <c r="BB527" s="55"/>
      <c r="BC527" s="55"/>
      <c r="BD527" s="55"/>
      <c r="BE527" s="55"/>
      <c r="BF527" s="55"/>
      <c r="BG527" s="55"/>
      <c r="BH527" s="55"/>
      <c r="BI527" s="55"/>
      <c r="BJ527" s="55"/>
      <c r="BK527" s="55"/>
      <c r="BL527" s="55"/>
      <c r="BM527" s="55"/>
      <c r="BN527" s="55"/>
      <c r="BO527" s="55"/>
      <c r="BP527" s="55"/>
      <c r="BQ527" s="55"/>
      <c r="BR527" s="55"/>
      <c r="BS527" s="55"/>
      <c r="BT527" s="55"/>
      <c r="BU527" s="55"/>
      <c r="BV527" s="55"/>
      <c r="BW527" s="55"/>
      <c r="BX527" s="55"/>
      <c r="BY527" s="55"/>
      <c r="BZ527" s="55"/>
      <c r="CA527" s="55"/>
      <c r="CB527" s="55"/>
      <c r="CC527" s="55"/>
      <c r="CD527" s="55"/>
      <c r="CE527" s="55"/>
      <c r="CF527" s="55"/>
      <c r="CG527" s="55"/>
      <c r="CH527" s="55"/>
      <c r="CI527" s="55"/>
      <c r="CJ527" s="55"/>
      <c r="CK527" s="55"/>
      <c r="CL527" s="55"/>
      <c r="CM527" s="55"/>
      <c r="CN527" s="55"/>
      <c r="CO527" s="55"/>
      <c r="CP527" s="55"/>
      <c r="CQ527" s="55"/>
      <c r="CR527" s="55"/>
      <c r="CS527" s="55"/>
      <c r="CT527" s="55"/>
      <c r="CU527" s="55"/>
      <c r="CV527" s="55"/>
      <c r="CW527" s="55"/>
      <c r="CX527" s="55"/>
      <c r="CY527" s="55"/>
      <c r="CZ527" s="55"/>
      <c r="DA527" s="55"/>
      <c r="DB527" s="55"/>
      <c r="DC527" s="55"/>
      <c r="DD527" s="55"/>
      <c r="DE527" s="55"/>
      <c r="DF527" s="55"/>
      <c r="DG527" s="55"/>
      <c r="DH527" s="55"/>
      <c r="DI527" s="55"/>
    </row>
    <row r="528" spans="1:113" x14ac:dyDescent="0.25">
      <c r="A528" s="152">
        <v>8</v>
      </c>
      <c r="B528" s="60" t="s">
        <v>614</v>
      </c>
      <c r="C528" s="43">
        <v>13000</v>
      </c>
      <c r="D528" s="60">
        <v>2337.92</v>
      </c>
      <c r="E528" s="43">
        <v>200</v>
      </c>
      <c r="F528" s="43"/>
      <c r="G528" s="139">
        <f t="shared" si="153"/>
        <v>200</v>
      </c>
      <c r="H528" s="55"/>
      <c r="I528" s="56">
        <f t="shared" si="154"/>
        <v>200</v>
      </c>
      <c r="J528" s="56">
        <f t="shared" si="155"/>
        <v>2600000</v>
      </c>
      <c r="K528" s="57">
        <f t="shared" si="156"/>
        <v>467584</v>
      </c>
      <c r="L528"/>
      <c r="M528" s="314">
        <f t="shared" si="152"/>
        <v>0</v>
      </c>
      <c r="N528" s="310"/>
      <c r="O528" s="315"/>
      <c r="P528" s="315"/>
      <c r="Q528" s="315"/>
      <c r="R528" s="315"/>
      <c r="S528" s="55"/>
      <c r="T528" s="55"/>
      <c r="U528" s="55"/>
      <c r="V528" s="55"/>
      <c r="W528" s="55"/>
      <c r="X528" s="55"/>
      <c r="Y528" s="55"/>
      <c r="Z528" s="55"/>
      <c r="AA528" s="55"/>
      <c r="AB528" s="55"/>
      <c r="AC528" s="55"/>
      <c r="AD528" s="55"/>
      <c r="AE528" s="55"/>
      <c r="AF528" s="55"/>
      <c r="AG528" s="55"/>
      <c r="AH528" s="55"/>
      <c r="AI528" s="55"/>
      <c r="AJ528" s="55"/>
      <c r="AK528" s="55"/>
      <c r="AL528" s="55"/>
      <c r="AM528" s="55"/>
      <c r="AN528" s="55"/>
      <c r="AO528" s="55"/>
      <c r="AP528" s="55"/>
      <c r="AQ528" s="55"/>
      <c r="AR528" s="55"/>
      <c r="AS528" s="55"/>
      <c r="AT528" s="55"/>
      <c r="AU528" s="55"/>
      <c r="AV528" s="55"/>
      <c r="AW528" s="55"/>
      <c r="AX528" s="55"/>
      <c r="AY528" s="55"/>
      <c r="AZ528" s="55"/>
      <c r="BA528" s="55"/>
      <c r="BB528" s="55"/>
      <c r="BC528" s="55"/>
      <c r="BD528" s="55"/>
      <c r="BE528" s="55"/>
      <c r="BF528" s="55"/>
      <c r="BG528" s="55"/>
      <c r="BH528" s="55"/>
      <c r="BI528" s="55"/>
      <c r="BJ528" s="55"/>
      <c r="BK528" s="55"/>
      <c r="BL528" s="55"/>
      <c r="BM528" s="55"/>
      <c r="BN528" s="55"/>
      <c r="BO528" s="55"/>
      <c r="BP528" s="55"/>
      <c r="BQ528" s="55"/>
      <c r="BR528" s="55"/>
      <c r="BS528" s="55"/>
      <c r="BT528" s="55"/>
      <c r="BU528" s="55"/>
      <c r="BV528" s="55"/>
      <c r="BW528" s="55"/>
      <c r="BX528" s="55"/>
      <c r="BY528" s="55"/>
      <c r="BZ528" s="55"/>
      <c r="CA528" s="55"/>
      <c r="CB528" s="55"/>
      <c r="CC528" s="55"/>
      <c r="CD528" s="55"/>
      <c r="CE528" s="55"/>
      <c r="CF528" s="55"/>
      <c r="CG528" s="55"/>
      <c r="CH528" s="55"/>
      <c r="CI528" s="55"/>
      <c r="CJ528" s="55"/>
      <c r="CK528" s="55"/>
      <c r="CL528" s="55"/>
      <c r="CM528" s="55"/>
      <c r="CN528" s="55"/>
      <c r="CO528" s="55"/>
      <c r="CP528" s="55"/>
      <c r="CQ528" s="55"/>
      <c r="CR528" s="55"/>
      <c r="CS528" s="55"/>
      <c r="CT528" s="55"/>
      <c r="CU528" s="55"/>
      <c r="CV528" s="55"/>
      <c r="CW528" s="55"/>
      <c r="CX528" s="55"/>
      <c r="CY528" s="55"/>
      <c r="CZ528" s="55"/>
      <c r="DA528" s="55"/>
      <c r="DB528" s="55"/>
      <c r="DC528" s="55"/>
      <c r="DD528" s="55"/>
      <c r="DE528" s="55"/>
      <c r="DF528" s="55"/>
      <c r="DG528" s="55"/>
      <c r="DH528" s="55"/>
      <c r="DI528" s="55"/>
    </row>
    <row r="529" spans="1:113" x14ac:dyDescent="0.25">
      <c r="A529" s="152">
        <v>9</v>
      </c>
      <c r="B529" s="60" t="s">
        <v>621</v>
      </c>
      <c r="C529" s="43">
        <v>8000</v>
      </c>
      <c r="D529" s="60">
        <v>3451.9</v>
      </c>
      <c r="E529" s="43">
        <v>200</v>
      </c>
      <c r="F529" s="60"/>
      <c r="G529" s="139">
        <f t="shared" si="153"/>
        <v>200</v>
      </c>
      <c r="H529" s="55"/>
      <c r="I529" s="56">
        <f t="shared" si="154"/>
        <v>200</v>
      </c>
      <c r="J529" s="56">
        <f t="shared" si="155"/>
        <v>1600000</v>
      </c>
      <c r="K529" s="57">
        <f t="shared" si="156"/>
        <v>690380</v>
      </c>
      <c r="L529"/>
      <c r="M529" s="314">
        <f t="shared" si="152"/>
        <v>0</v>
      </c>
      <c r="N529" s="310"/>
      <c r="O529" s="315"/>
      <c r="P529" s="315"/>
      <c r="Q529" s="315"/>
      <c r="R529" s="315"/>
      <c r="S529" s="55"/>
      <c r="T529" s="55"/>
      <c r="U529" s="55"/>
      <c r="V529" s="55"/>
      <c r="W529" s="55"/>
      <c r="X529" s="55"/>
      <c r="Y529" s="55"/>
      <c r="Z529" s="55"/>
      <c r="AA529" s="55"/>
      <c r="AB529" s="55"/>
      <c r="AC529" s="55"/>
      <c r="AD529" s="55"/>
      <c r="AE529" s="55"/>
      <c r="AF529" s="55"/>
      <c r="AG529" s="55"/>
      <c r="AH529" s="55"/>
      <c r="AI529" s="55"/>
      <c r="AJ529" s="55"/>
      <c r="AK529" s="55"/>
      <c r="AL529" s="55"/>
      <c r="AM529" s="55"/>
      <c r="AN529" s="55"/>
      <c r="AO529" s="55"/>
      <c r="AP529" s="55"/>
      <c r="AQ529" s="55"/>
      <c r="AR529" s="55"/>
      <c r="AS529" s="55"/>
      <c r="AT529" s="55"/>
      <c r="AU529" s="55"/>
      <c r="AV529" s="55"/>
      <c r="AW529" s="55"/>
      <c r="AX529" s="55"/>
      <c r="AY529" s="55"/>
      <c r="AZ529" s="55"/>
      <c r="BA529" s="55"/>
      <c r="BB529" s="55"/>
      <c r="BC529" s="55"/>
      <c r="BD529" s="55"/>
      <c r="BE529" s="55"/>
      <c r="BF529" s="55"/>
      <c r="BG529" s="55"/>
      <c r="BH529" s="55"/>
      <c r="BI529" s="55"/>
      <c r="BJ529" s="55"/>
      <c r="BK529" s="55"/>
      <c r="BL529" s="55"/>
      <c r="BM529" s="55"/>
      <c r="BN529" s="55"/>
      <c r="BO529" s="55"/>
      <c r="BP529" s="55"/>
      <c r="BQ529" s="55"/>
      <c r="BR529" s="55"/>
      <c r="BS529" s="55"/>
      <c r="BT529" s="55"/>
      <c r="BU529" s="55"/>
      <c r="BV529" s="55"/>
      <c r="BW529" s="55"/>
      <c r="BX529" s="55"/>
      <c r="BY529" s="55"/>
      <c r="BZ529" s="55"/>
      <c r="CA529" s="55"/>
      <c r="CB529" s="55"/>
      <c r="CC529" s="55"/>
      <c r="CD529" s="55"/>
      <c r="CE529" s="55"/>
      <c r="CF529" s="55"/>
      <c r="CG529" s="55"/>
      <c r="CH529" s="55"/>
      <c r="CI529" s="55"/>
      <c r="CJ529" s="55"/>
      <c r="CK529" s="55"/>
      <c r="CL529" s="55"/>
      <c r="CM529" s="55"/>
      <c r="CN529" s="55"/>
      <c r="CO529" s="55"/>
      <c r="CP529" s="55"/>
      <c r="CQ529" s="55"/>
      <c r="CR529" s="55"/>
      <c r="CS529" s="55"/>
      <c r="CT529" s="55"/>
      <c r="CU529" s="55"/>
      <c r="CV529" s="55"/>
      <c r="CW529" s="55"/>
      <c r="CX529" s="55"/>
      <c r="CY529" s="55"/>
      <c r="CZ529" s="55"/>
      <c r="DA529" s="55"/>
      <c r="DB529" s="55"/>
      <c r="DC529" s="55"/>
      <c r="DD529" s="55"/>
      <c r="DE529" s="55"/>
      <c r="DF529" s="55"/>
      <c r="DG529" s="55"/>
      <c r="DH529" s="55"/>
      <c r="DI529" s="55"/>
    </row>
    <row r="530" spans="1:113" x14ac:dyDescent="0.25">
      <c r="A530" s="152">
        <v>10</v>
      </c>
      <c r="B530" s="60" t="s">
        <v>622</v>
      </c>
      <c r="C530" s="43">
        <v>13000</v>
      </c>
      <c r="D530" s="60">
        <v>2648.32</v>
      </c>
      <c r="E530" s="43">
        <v>200</v>
      </c>
      <c r="F530" s="181"/>
      <c r="G530" s="139">
        <f t="shared" si="153"/>
        <v>200</v>
      </c>
      <c r="H530" s="55"/>
      <c r="I530" s="56">
        <f t="shared" si="154"/>
        <v>200</v>
      </c>
      <c r="J530" s="56">
        <f t="shared" si="155"/>
        <v>2600000</v>
      </c>
      <c r="K530" s="57">
        <f t="shared" si="156"/>
        <v>529664</v>
      </c>
      <c r="L530"/>
      <c r="M530" s="314">
        <f t="shared" si="152"/>
        <v>0</v>
      </c>
      <c r="N530" s="310"/>
      <c r="O530" s="315"/>
      <c r="P530" s="315"/>
      <c r="Q530" s="315"/>
      <c r="R530" s="315"/>
      <c r="S530" s="55"/>
      <c r="T530" s="55"/>
      <c r="U530" s="55"/>
      <c r="V530" s="55"/>
      <c r="W530" s="55"/>
      <c r="X530" s="55"/>
      <c r="Y530" s="55"/>
      <c r="Z530" s="55"/>
      <c r="AA530" s="55"/>
      <c r="AB530" s="55"/>
      <c r="AC530" s="55"/>
      <c r="AD530" s="55"/>
      <c r="AE530" s="55"/>
      <c r="AF530" s="55"/>
      <c r="AG530" s="55"/>
      <c r="AH530" s="55"/>
      <c r="AI530" s="55"/>
      <c r="AJ530" s="55"/>
      <c r="AK530" s="55"/>
      <c r="AL530" s="55"/>
      <c r="AM530" s="55"/>
      <c r="AN530" s="55"/>
      <c r="AO530" s="55"/>
      <c r="AP530" s="55"/>
      <c r="AQ530" s="55"/>
      <c r="AR530" s="55"/>
      <c r="AS530" s="55"/>
      <c r="AT530" s="55"/>
      <c r="AU530" s="55"/>
      <c r="AV530" s="55"/>
      <c r="AW530" s="55"/>
      <c r="AX530" s="55"/>
      <c r="AY530" s="55"/>
      <c r="AZ530" s="55"/>
      <c r="BA530" s="55"/>
      <c r="BB530" s="55"/>
      <c r="BC530" s="55"/>
      <c r="BD530" s="55"/>
      <c r="BE530" s="55"/>
      <c r="BF530" s="55"/>
      <c r="BG530" s="55"/>
      <c r="BH530" s="55"/>
      <c r="BI530" s="55"/>
      <c r="BJ530" s="55"/>
      <c r="BK530" s="55"/>
      <c r="BL530" s="55"/>
      <c r="BM530" s="55"/>
      <c r="BN530" s="55"/>
      <c r="BO530" s="55"/>
      <c r="BP530" s="55"/>
      <c r="BQ530" s="55"/>
      <c r="BR530" s="55"/>
      <c r="BS530" s="55"/>
      <c r="BT530" s="55"/>
      <c r="BU530" s="55"/>
      <c r="BV530" s="55"/>
      <c r="BW530" s="55"/>
      <c r="BX530" s="55"/>
      <c r="BY530" s="55"/>
      <c r="BZ530" s="55"/>
      <c r="CA530" s="55"/>
      <c r="CB530" s="55"/>
      <c r="CC530" s="55"/>
      <c r="CD530" s="55"/>
      <c r="CE530" s="55"/>
      <c r="CF530" s="55"/>
      <c r="CG530" s="55"/>
      <c r="CH530" s="55"/>
      <c r="CI530" s="55"/>
      <c r="CJ530" s="55"/>
      <c r="CK530" s="55"/>
      <c r="CL530" s="55"/>
      <c r="CM530" s="55"/>
      <c r="CN530" s="55"/>
      <c r="CO530" s="55"/>
      <c r="CP530" s="55"/>
      <c r="CQ530" s="55"/>
      <c r="CR530" s="55"/>
      <c r="CS530" s="55"/>
      <c r="CT530" s="55"/>
      <c r="CU530" s="55"/>
      <c r="CV530" s="55"/>
      <c r="CW530" s="55"/>
      <c r="CX530" s="55"/>
      <c r="CY530" s="55"/>
      <c r="CZ530" s="55"/>
      <c r="DA530" s="55"/>
      <c r="DB530" s="55"/>
      <c r="DC530" s="55"/>
      <c r="DD530" s="55"/>
      <c r="DE530" s="55"/>
      <c r="DF530" s="55"/>
      <c r="DG530" s="55"/>
      <c r="DH530" s="55"/>
      <c r="DI530" s="55"/>
    </row>
    <row r="531" spans="1:113" x14ac:dyDescent="0.25">
      <c r="A531" s="152">
        <v>11</v>
      </c>
      <c r="B531" s="60" t="s">
        <v>623</v>
      </c>
      <c r="C531" s="43">
        <v>9000</v>
      </c>
      <c r="D531" s="43">
        <v>6896</v>
      </c>
      <c r="E531" s="43">
        <v>180</v>
      </c>
      <c r="F531" s="60"/>
      <c r="G531" s="139">
        <f t="shared" si="153"/>
        <v>180</v>
      </c>
      <c r="H531" s="166"/>
      <c r="I531" s="56">
        <f t="shared" si="154"/>
        <v>180</v>
      </c>
      <c r="J531" s="56">
        <f t="shared" si="155"/>
        <v>1620000</v>
      </c>
      <c r="K531" s="57">
        <f t="shared" si="156"/>
        <v>1241280</v>
      </c>
      <c r="L531"/>
      <c r="M531" s="314">
        <f t="shared" si="152"/>
        <v>0</v>
      </c>
      <c r="N531" s="310"/>
      <c r="O531" s="315"/>
      <c r="P531" s="315"/>
      <c r="Q531" s="315"/>
      <c r="R531" s="315"/>
      <c r="S531" s="55"/>
      <c r="T531" s="55"/>
      <c r="U531" s="55"/>
      <c r="V531" s="55"/>
      <c r="W531" s="55"/>
      <c r="X531" s="55"/>
      <c r="Y531" s="55"/>
      <c r="Z531" s="55"/>
      <c r="AA531" s="55"/>
      <c r="AB531" s="55"/>
      <c r="AC531" s="55"/>
      <c r="AD531" s="55"/>
      <c r="AE531" s="55"/>
      <c r="AF531" s="55"/>
      <c r="AG531" s="55"/>
      <c r="AH531" s="55"/>
      <c r="AI531" s="55"/>
      <c r="AJ531" s="55"/>
      <c r="AK531" s="55"/>
      <c r="AL531" s="55"/>
      <c r="AM531" s="55"/>
      <c r="AN531" s="55"/>
      <c r="AO531" s="55"/>
      <c r="AP531" s="55"/>
      <c r="AQ531" s="55"/>
      <c r="AR531" s="55"/>
      <c r="AS531" s="55"/>
      <c r="AT531" s="55"/>
      <c r="AU531" s="55"/>
      <c r="AV531" s="55"/>
      <c r="AW531" s="55"/>
      <c r="AX531" s="55"/>
      <c r="AY531" s="55"/>
      <c r="AZ531" s="55"/>
      <c r="BA531" s="55"/>
      <c r="BB531" s="55"/>
      <c r="BC531" s="55"/>
      <c r="BD531" s="55"/>
      <c r="BE531" s="55"/>
      <c r="BF531" s="55"/>
      <c r="BG531" s="55"/>
      <c r="BH531" s="55"/>
      <c r="BI531" s="55"/>
      <c r="BJ531" s="55"/>
      <c r="BK531" s="55"/>
      <c r="BL531" s="55"/>
      <c r="BM531" s="55"/>
      <c r="BN531" s="55"/>
      <c r="BO531" s="55"/>
      <c r="BP531" s="55"/>
      <c r="BQ531" s="55"/>
      <c r="BR531" s="55"/>
      <c r="BS531" s="55"/>
      <c r="BT531" s="55"/>
      <c r="BU531" s="55"/>
      <c r="BV531" s="55"/>
      <c r="BW531" s="55"/>
      <c r="BX531" s="55"/>
      <c r="BY531" s="55"/>
      <c r="BZ531" s="55"/>
      <c r="CA531" s="55"/>
      <c r="CB531" s="55"/>
      <c r="CC531" s="55"/>
      <c r="CD531" s="55"/>
      <c r="CE531" s="55"/>
      <c r="CF531" s="55"/>
      <c r="CG531" s="55"/>
      <c r="CH531" s="55"/>
      <c r="CI531" s="55"/>
      <c r="CJ531" s="55"/>
      <c r="CK531" s="55"/>
      <c r="CL531" s="55"/>
      <c r="CM531" s="55"/>
      <c r="CN531" s="55"/>
      <c r="CO531" s="55"/>
      <c r="CP531" s="55"/>
      <c r="CQ531" s="55"/>
      <c r="CR531" s="55"/>
      <c r="CS531" s="55"/>
      <c r="CT531" s="55"/>
      <c r="CU531" s="55"/>
      <c r="CV531" s="55"/>
      <c r="CW531" s="55"/>
      <c r="CX531" s="55"/>
      <c r="CY531" s="55"/>
      <c r="CZ531" s="55"/>
      <c r="DA531" s="55"/>
      <c r="DB531" s="55"/>
      <c r="DC531" s="55"/>
      <c r="DD531" s="55"/>
      <c r="DE531" s="55"/>
      <c r="DF531" s="55"/>
      <c r="DG531" s="55"/>
      <c r="DH531" s="55"/>
      <c r="DI531" s="55"/>
    </row>
    <row r="532" spans="1:113" x14ac:dyDescent="0.25">
      <c r="A532" s="152">
        <v>12</v>
      </c>
      <c r="B532" s="60" t="s">
        <v>631</v>
      </c>
      <c r="C532" s="43">
        <v>10000</v>
      </c>
      <c r="D532" s="60">
        <v>2494.5100000000002</v>
      </c>
      <c r="E532" s="43">
        <v>200</v>
      </c>
      <c r="F532" s="60"/>
      <c r="G532" s="139">
        <f t="shared" si="153"/>
        <v>200</v>
      </c>
      <c r="H532" s="166"/>
      <c r="I532" s="56">
        <f t="shared" si="154"/>
        <v>200</v>
      </c>
      <c r="J532" s="56">
        <f t="shared" si="155"/>
        <v>2000000</v>
      </c>
      <c r="K532" s="57">
        <f t="shared" si="156"/>
        <v>498902.00000000006</v>
      </c>
      <c r="L532"/>
      <c r="M532" s="314">
        <f t="shared" si="152"/>
        <v>0</v>
      </c>
      <c r="N532" s="310"/>
      <c r="O532" s="315"/>
      <c r="P532" s="315"/>
      <c r="Q532" s="315"/>
      <c r="R532" s="315"/>
      <c r="S532" s="55"/>
      <c r="T532" s="55"/>
      <c r="U532" s="55"/>
      <c r="V532" s="55"/>
      <c r="W532" s="55"/>
      <c r="X532" s="55"/>
      <c r="Y532" s="55"/>
      <c r="Z532" s="55"/>
      <c r="AA532" s="55"/>
      <c r="AB532" s="55"/>
      <c r="AC532" s="55"/>
      <c r="AD532" s="55"/>
      <c r="AE532" s="55"/>
      <c r="AF532" s="55"/>
      <c r="AG532" s="55"/>
      <c r="AH532" s="55"/>
      <c r="AI532" s="55"/>
      <c r="AJ532" s="55"/>
      <c r="AK532" s="55"/>
      <c r="AL532" s="55"/>
      <c r="AM532" s="55"/>
      <c r="AN532" s="55"/>
      <c r="AO532" s="55"/>
      <c r="AP532" s="55"/>
      <c r="AQ532" s="55"/>
      <c r="AR532" s="55"/>
      <c r="AS532" s="55"/>
      <c r="AT532" s="55"/>
      <c r="AU532" s="55"/>
      <c r="AV532" s="55"/>
      <c r="AW532" s="55"/>
      <c r="AX532" s="55"/>
      <c r="AY532" s="55"/>
      <c r="AZ532" s="55"/>
      <c r="BA532" s="55"/>
      <c r="BB532" s="55"/>
      <c r="BC532" s="55"/>
      <c r="BD532" s="55"/>
      <c r="BE532" s="55"/>
      <c r="BF532" s="55"/>
      <c r="BG532" s="55"/>
      <c r="BH532" s="55"/>
      <c r="BI532" s="55"/>
      <c r="BJ532" s="55"/>
      <c r="BK532" s="55"/>
      <c r="BL532" s="55"/>
      <c r="BM532" s="55"/>
      <c r="BN532" s="55"/>
      <c r="BO532" s="55"/>
      <c r="BP532" s="55"/>
      <c r="BQ532" s="55"/>
      <c r="BR532" s="55"/>
      <c r="BS532" s="55"/>
      <c r="BT532" s="55"/>
      <c r="BU532" s="55"/>
      <c r="BV532" s="55"/>
      <c r="BW532" s="55"/>
      <c r="BX532" s="55"/>
      <c r="BY532" s="55"/>
      <c r="BZ532" s="55"/>
      <c r="CA532" s="55"/>
      <c r="CB532" s="55"/>
      <c r="CC532" s="55"/>
      <c r="CD532" s="55"/>
      <c r="CE532" s="55"/>
      <c r="CF532" s="55"/>
      <c r="CG532" s="55"/>
      <c r="CH532" s="55"/>
      <c r="CI532" s="55"/>
      <c r="CJ532" s="55"/>
      <c r="CK532" s="55"/>
      <c r="CL532" s="55"/>
      <c r="CM532" s="55"/>
      <c r="CN532" s="55"/>
      <c r="CO532" s="55"/>
      <c r="CP532" s="55"/>
      <c r="CQ532" s="55"/>
      <c r="CR532" s="55"/>
      <c r="CS532" s="55"/>
      <c r="CT532" s="55"/>
      <c r="CU532" s="55"/>
      <c r="CV532" s="55"/>
      <c r="CW532" s="55"/>
      <c r="CX532" s="55"/>
      <c r="CY532" s="55"/>
      <c r="CZ532" s="55"/>
      <c r="DA532" s="55"/>
      <c r="DB532" s="55"/>
      <c r="DC532" s="55"/>
      <c r="DD532" s="55"/>
      <c r="DE532" s="55"/>
      <c r="DF532" s="55"/>
      <c r="DG532" s="55"/>
      <c r="DH532" s="55"/>
      <c r="DI532" s="55"/>
    </row>
    <row r="533" spans="1:113" x14ac:dyDescent="0.25">
      <c r="A533" s="152">
        <v>13</v>
      </c>
      <c r="B533" s="60" t="s">
        <v>632</v>
      </c>
      <c r="C533" s="43">
        <v>9000</v>
      </c>
      <c r="D533" s="43">
        <v>6896</v>
      </c>
      <c r="E533" s="43">
        <v>200</v>
      </c>
      <c r="F533" s="60"/>
      <c r="G533" s="139">
        <f t="shared" si="153"/>
        <v>200</v>
      </c>
      <c r="H533" s="166"/>
      <c r="I533" s="56">
        <f t="shared" si="154"/>
        <v>200</v>
      </c>
      <c r="J533" s="56">
        <f t="shared" si="155"/>
        <v>1800000</v>
      </c>
      <c r="K533" s="57">
        <f t="shared" si="156"/>
        <v>1379200</v>
      </c>
      <c r="L533"/>
      <c r="M533" s="314">
        <f t="shared" si="152"/>
        <v>0</v>
      </c>
      <c r="N533" s="310"/>
      <c r="O533" s="315"/>
      <c r="P533" s="315"/>
      <c r="Q533" s="315"/>
      <c r="R533" s="315"/>
      <c r="S533" s="55"/>
      <c r="T533" s="55"/>
      <c r="U533" s="55"/>
      <c r="V533" s="55"/>
      <c r="W533" s="55"/>
      <c r="X533" s="55"/>
      <c r="Y533" s="55"/>
      <c r="Z533" s="55"/>
      <c r="AA533" s="55"/>
      <c r="AB533" s="55"/>
      <c r="AC533" s="55"/>
      <c r="AD533" s="55"/>
      <c r="AE533" s="55"/>
      <c r="AF533" s="55"/>
      <c r="AG533" s="55"/>
      <c r="AH533" s="55"/>
      <c r="AI533" s="55"/>
      <c r="AJ533" s="55"/>
      <c r="AK533" s="55"/>
      <c r="AL533" s="55"/>
      <c r="AM533" s="55"/>
      <c r="AN533" s="55"/>
      <c r="AO533" s="55"/>
      <c r="AP533" s="55"/>
      <c r="AQ533" s="55"/>
      <c r="AR533" s="55"/>
      <c r="AS533" s="55"/>
      <c r="AT533" s="55"/>
      <c r="AU533" s="55"/>
      <c r="AV533" s="55"/>
      <c r="AW533" s="55"/>
      <c r="AX533" s="55"/>
      <c r="AY533" s="55"/>
      <c r="AZ533" s="55"/>
      <c r="BA533" s="55"/>
      <c r="BB533" s="55"/>
      <c r="BC533" s="55"/>
      <c r="BD533" s="55"/>
      <c r="BE533" s="55"/>
      <c r="BF533" s="55"/>
      <c r="BG533" s="55"/>
      <c r="BH533" s="55"/>
      <c r="BI533" s="55"/>
      <c r="BJ533" s="55"/>
      <c r="BK533" s="55"/>
      <c r="BL533" s="55"/>
      <c r="BM533" s="55"/>
      <c r="BN533" s="55"/>
      <c r="BO533" s="55"/>
      <c r="BP533" s="55"/>
      <c r="BQ533" s="55"/>
      <c r="BR533" s="55"/>
      <c r="BS533" s="55"/>
      <c r="BT533" s="55"/>
      <c r="BU533" s="55"/>
      <c r="BV533" s="55"/>
      <c r="BW533" s="55"/>
      <c r="BX533" s="55"/>
      <c r="BY533" s="55"/>
      <c r="BZ533" s="55"/>
      <c r="CA533" s="55"/>
      <c r="CB533" s="55"/>
      <c r="CC533" s="55"/>
      <c r="CD533" s="55"/>
      <c r="CE533" s="55"/>
      <c r="CF533" s="55"/>
      <c r="CG533" s="55"/>
      <c r="CH533" s="55"/>
      <c r="CI533" s="55"/>
      <c r="CJ533" s="55"/>
      <c r="CK533" s="55"/>
      <c r="CL533" s="55"/>
      <c r="CM533" s="55"/>
      <c r="CN533" s="55"/>
      <c r="CO533" s="55"/>
      <c r="CP533" s="55"/>
      <c r="CQ533" s="55"/>
      <c r="CR533" s="55"/>
      <c r="CS533" s="55"/>
      <c r="CT533" s="55"/>
      <c r="CU533" s="55"/>
      <c r="CV533" s="55"/>
      <c r="CW533" s="55"/>
      <c r="CX533" s="55"/>
      <c r="CY533" s="55"/>
      <c r="CZ533" s="55"/>
      <c r="DA533" s="55"/>
      <c r="DB533" s="55"/>
      <c r="DC533" s="55"/>
      <c r="DD533" s="55"/>
      <c r="DE533" s="55"/>
      <c r="DF533" s="55"/>
      <c r="DG533" s="55"/>
      <c r="DH533" s="55"/>
      <c r="DI533" s="55"/>
    </row>
    <row r="534" spans="1:113" x14ac:dyDescent="0.25">
      <c r="A534" s="152">
        <v>14</v>
      </c>
      <c r="B534" s="60" t="s">
        <v>638</v>
      </c>
      <c r="C534" s="43">
        <v>7000</v>
      </c>
      <c r="D534" s="195">
        <v>2384.1999999999998</v>
      </c>
      <c r="E534" s="43">
        <v>200</v>
      </c>
      <c r="F534" s="102"/>
      <c r="G534" s="139">
        <f t="shared" si="153"/>
        <v>200</v>
      </c>
      <c r="H534" s="166"/>
      <c r="I534" s="56">
        <f t="shared" si="154"/>
        <v>200</v>
      </c>
      <c r="J534" s="56">
        <f t="shared" si="155"/>
        <v>1400000</v>
      </c>
      <c r="K534" s="57">
        <f t="shared" si="156"/>
        <v>476839.99999999994</v>
      </c>
      <c r="L534"/>
      <c r="M534" s="314">
        <f t="shared" si="152"/>
        <v>0</v>
      </c>
      <c r="N534" s="310"/>
      <c r="O534" s="315"/>
      <c r="P534" s="315"/>
      <c r="Q534" s="315"/>
      <c r="R534" s="315"/>
      <c r="S534" s="55"/>
      <c r="T534" s="55"/>
      <c r="U534" s="55"/>
      <c r="V534" s="55"/>
      <c r="W534" s="55"/>
      <c r="X534" s="55"/>
      <c r="Y534" s="55"/>
      <c r="Z534" s="55"/>
      <c r="AA534" s="55"/>
      <c r="AB534" s="55"/>
      <c r="AC534" s="55"/>
      <c r="AD534" s="55"/>
      <c r="AE534" s="55"/>
      <c r="AF534" s="55"/>
      <c r="AG534" s="55"/>
      <c r="AH534" s="55"/>
      <c r="AI534" s="55"/>
      <c r="AJ534" s="55"/>
      <c r="AK534" s="55"/>
      <c r="AL534" s="55"/>
      <c r="AM534" s="55"/>
      <c r="AN534" s="55"/>
      <c r="AO534" s="55"/>
      <c r="AP534" s="55"/>
      <c r="AQ534" s="55"/>
      <c r="AR534" s="55"/>
      <c r="AS534" s="55"/>
      <c r="AT534" s="55"/>
      <c r="AU534" s="55"/>
      <c r="AV534" s="55"/>
      <c r="AW534" s="55"/>
      <c r="AX534" s="55"/>
      <c r="AY534" s="55"/>
      <c r="AZ534" s="55"/>
      <c r="BA534" s="55"/>
      <c r="BB534" s="55"/>
      <c r="BC534" s="55"/>
      <c r="BD534" s="55"/>
      <c r="BE534" s="55"/>
      <c r="BF534" s="55"/>
      <c r="BG534" s="55"/>
      <c r="BH534" s="55"/>
      <c r="BI534" s="55"/>
      <c r="BJ534" s="55"/>
      <c r="BK534" s="55"/>
      <c r="BL534" s="55"/>
      <c r="BM534" s="55"/>
      <c r="BN534" s="55"/>
      <c r="BO534" s="55"/>
      <c r="BP534" s="55"/>
      <c r="BQ534" s="55"/>
      <c r="BR534" s="55"/>
      <c r="BS534" s="55"/>
      <c r="BT534" s="55"/>
      <c r="BU534" s="55"/>
      <c r="BV534" s="55"/>
      <c r="BW534" s="55"/>
      <c r="BX534" s="55"/>
      <c r="BY534" s="55"/>
      <c r="BZ534" s="55"/>
      <c r="CA534" s="55"/>
      <c r="CB534" s="55"/>
      <c r="CC534" s="55"/>
      <c r="CD534" s="55"/>
      <c r="CE534" s="55"/>
      <c r="CF534" s="55"/>
      <c r="CG534" s="55"/>
      <c r="CH534" s="55"/>
      <c r="CI534" s="55"/>
      <c r="CJ534" s="55"/>
      <c r="CK534" s="55"/>
      <c r="CL534" s="55"/>
      <c r="CM534" s="55"/>
      <c r="CN534" s="55"/>
      <c r="CO534" s="55"/>
      <c r="CP534" s="55"/>
      <c r="CQ534" s="55"/>
      <c r="CR534" s="55"/>
      <c r="CS534" s="55"/>
      <c r="CT534" s="55"/>
      <c r="CU534" s="55"/>
      <c r="CV534" s="55"/>
      <c r="CW534" s="55"/>
      <c r="CX534" s="55"/>
      <c r="CY534" s="55"/>
      <c r="CZ534" s="55"/>
      <c r="DA534" s="55"/>
      <c r="DB534" s="55"/>
      <c r="DC534" s="55"/>
      <c r="DD534" s="55"/>
      <c r="DE534" s="55"/>
      <c r="DF534" s="55"/>
      <c r="DG534" s="55"/>
      <c r="DH534" s="55"/>
      <c r="DI534" s="55"/>
    </row>
    <row r="535" spans="1:113" x14ac:dyDescent="0.25">
      <c r="A535" s="152">
        <v>15</v>
      </c>
      <c r="B535" s="60" t="s">
        <v>639</v>
      </c>
      <c r="C535" s="43">
        <v>12000</v>
      </c>
      <c r="D535" s="195">
        <v>2862.6</v>
      </c>
      <c r="E535" s="43">
        <v>200</v>
      </c>
      <c r="F535" s="60"/>
      <c r="G535" s="139">
        <f t="shared" si="153"/>
        <v>200</v>
      </c>
      <c r="H535" s="166"/>
      <c r="I535" s="56">
        <f t="shared" si="154"/>
        <v>200</v>
      </c>
      <c r="J535" s="56">
        <f t="shared" si="155"/>
        <v>2400000</v>
      </c>
      <c r="K535" s="57">
        <f t="shared" si="156"/>
        <v>572520</v>
      </c>
      <c r="L535"/>
      <c r="M535" s="314">
        <f t="shared" si="152"/>
        <v>0</v>
      </c>
      <c r="N535" s="310"/>
      <c r="O535" s="315"/>
      <c r="P535" s="315"/>
      <c r="Q535" s="315"/>
      <c r="R535" s="315"/>
      <c r="S535" s="55"/>
      <c r="T535" s="55"/>
      <c r="U535" s="55"/>
      <c r="V535" s="55"/>
      <c r="W535" s="55"/>
      <c r="X535" s="55"/>
      <c r="Y535" s="55"/>
      <c r="Z535" s="55"/>
      <c r="AA535" s="55"/>
      <c r="AB535" s="55"/>
      <c r="AC535" s="55"/>
      <c r="AD535" s="55"/>
      <c r="AE535" s="55"/>
      <c r="AF535" s="55"/>
      <c r="AG535" s="55"/>
      <c r="AH535" s="55"/>
      <c r="AI535" s="55"/>
      <c r="AJ535" s="55"/>
      <c r="AK535" s="55"/>
      <c r="AL535" s="55"/>
      <c r="AM535" s="55"/>
      <c r="AN535" s="55"/>
      <c r="AO535" s="55"/>
      <c r="AP535" s="55"/>
      <c r="AQ535" s="55"/>
      <c r="AR535" s="55"/>
      <c r="AS535" s="55"/>
      <c r="AT535" s="55"/>
      <c r="AU535" s="55"/>
      <c r="AV535" s="55"/>
      <c r="AW535" s="55"/>
      <c r="AX535" s="55"/>
      <c r="AY535" s="55"/>
      <c r="AZ535" s="55"/>
      <c r="BA535" s="55"/>
      <c r="BB535" s="55"/>
      <c r="BC535" s="55"/>
      <c r="BD535" s="55"/>
      <c r="BE535" s="55"/>
      <c r="BF535" s="55"/>
      <c r="BG535" s="55"/>
      <c r="BH535" s="55"/>
      <c r="BI535" s="55"/>
      <c r="BJ535" s="55"/>
      <c r="BK535" s="55"/>
      <c r="BL535" s="55"/>
      <c r="BM535" s="55"/>
      <c r="BN535" s="55"/>
      <c r="BO535" s="55"/>
      <c r="BP535" s="55"/>
      <c r="BQ535" s="55"/>
      <c r="BR535" s="55"/>
      <c r="BS535" s="55"/>
      <c r="BT535" s="55"/>
      <c r="BU535" s="55"/>
      <c r="BV535" s="55"/>
      <c r="BW535" s="55"/>
      <c r="BX535" s="55"/>
      <c r="BY535" s="55"/>
      <c r="BZ535" s="55"/>
      <c r="CA535" s="55"/>
      <c r="CB535" s="55"/>
      <c r="CC535" s="55"/>
      <c r="CD535" s="55"/>
      <c r="CE535" s="55"/>
      <c r="CF535" s="55"/>
      <c r="CG535" s="55"/>
      <c r="CH535" s="55"/>
      <c r="CI535" s="55"/>
      <c r="CJ535" s="55"/>
      <c r="CK535" s="55"/>
      <c r="CL535" s="55"/>
      <c r="CM535" s="55"/>
      <c r="CN535" s="55"/>
      <c r="CO535" s="55"/>
      <c r="CP535" s="55"/>
      <c r="CQ535" s="55"/>
      <c r="CR535" s="55"/>
      <c r="CS535" s="55"/>
      <c r="CT535" s="55"/>
      <c r="CU535" s="55"/>
      <c r="CV535" s="55"/>
      <c r="CW535" s="55"/>
      <c r="CX535" s="55"/>
      <c r="CY535" s="55"/>
      <c r="CZ535" s="55"/>
      <c r="DA535" s="55"/>
      <c r="DB535" s="55"/>
      <c r="DC535" s="55"/>
      <c r="DD535" s="55"/>
      <c r="DE535" s="55"/>
      <c r="DF535" s="55"/>
      <c r="DG535" s="55"/>
      <c r="DH535" s="55"/>
      <c r="DI535" s="55"/>
    </row>
    <row r="536" spans="1:113" x14ac:dyDescent="0.25">
      <c r="A536" s="152">
        <v>16</v>
      </c>
      <c r="B536" s="60" t="s">
        <v>448</v>
      </c>
      <c r="C536" s="43">
        <v>9000</v>
      </c>
      <c r="D536" s="195">
        <v>4421</v>
      </c>
      <c r="E536" s="43">
        <v>180</v>
      </c>
      <c r="F536" s="60"/>
      <c r="G536" s="139">
        <f t="shared" si="153"/>
        <v>180</v>
      </c>
      <c r="H536" s="166"/>
      <c r="I536" s="56">
        <f t="shared" si="154"/>
        <v>180</v>
      </c>
      <c r="J536" s="56">
        <f t="shared" si="155"/>
        <v>1620000</v>
      </c>
      <c r="K536" s="57">
        <f t="shared" si="156"/>
        <v>795780</v>
      </c>
      <c r="L536"/>
      <c r="M536" s="314">
        <f t="shared" si="152"/>
        <v>0</v>
      </c>
      <c r="N536" s="310"/>
      <c r="O536" s="315"/>
      <c r="P536" s="315"/>
      <c r="Q536" s="315"/>
      <c r="R536" s="315"/>
      <c r="S536" s="55"/>
      <c r="T536" s="55"/>
      <c r="U536" s="55"/>
      <c r="V536" s="55"/>
      <c r="W536" s="55"/>
      <c r="X536" s="55"/>
      <c r="Y536" s="55"/>
      <c r="Z536" s="55"/>
      <c r="AA536" s="55"/>
      <c r="AB536" s="55"/>
      <c r="AC536" s="55"/>
      <c r="AD536" s="55"/>
      <c r="AE536" s="55"/>
      <c r="AF536" s="55"/>
      <c r="AG536" s="55"/>
      <c r="AH536" s="55"/>
      <c r="AI536" s="55"/>
      <c r="AJ536" s="55"/>
      <c r="AK536" s="55"/>
      <c r="AL536" s="55"/>
      <c r="AM536" s="55"/>
      <c r="AN536" s="55"/>
      <c r="AO536" s="55"/>
      <c r="AP536" s="55"/>
      <c r="AQ536" s="55"/>
      <c r="AR536" s="55"/>
      <c r="AS536" s="55"/>
      <c r="AT536" s="55"/>
      <c r="AU536" s="55"/>
      <c r="AV536" s="55"/>
      <c r="AW536" s="55"/>
      <c r="AX536" s="55"/>
      <c r="AY536" s="55"/>
      <c r="AZ536" s="55"/>
      <c r="BA536" s="55"/>
      <c r="BB536" s="55"/>
      <c r="BC536" s="55"/>
      <c r="BD536" s="55"/>
      <c r="BE536" s="55"/>
      <c r="BF536" s="55"/>
      <c r="BG536" s="55"/>
      <c r="BH536" s="55"/>
      <c r="BI536" s="55"/>
      <c r="BJ536" s="55"/>
      <c r="BK536" s="55"/>
      <c r="BL536" s="55"/>
      <c r="BM536" s="55"/>
      <c r="BN536" s="55"/>
      <c r="BO536" s="55"/>
      <c r="BP536" s="55"/>
      <c r="BQ536" s="55"/>
      <c r="BR536" s="55"/>
      <c r="BS536" s="55"/>
      <c r="BT536" s="55"/>
      <c r="BU536" s="55"/>
      <c r="BV536" s="55"/>
      <c r="BW536" s="55"/>
      <c r="BX536" s="55"/>
      <c r="BY536" s="55"/>
      <c r="BZ536" s="55"/>
      <c r="CA536" s="55"/>
      <c r="CB536" s="55"/>
      <c r="CC536" s="55"/>
      <c r="CD536" s="55"/>
      <c r="CE536" s="55"/>
      <c r="CF536" s="55"/>
      <c r="CG536" s="55"/>
      <c r="CH536" s="55"/>
      <c r="CI536" s="55"/>
      <c r="CJ536" s="55"/>
      <c r="CK536" s="55"/>
      <c r="CL536" s="55"/>
      <c r="CM536" s="55"/>
      <c r="CN536" s="55"/>
      <c r="CO536" s="55"/>
      <c r="CP536" s="55"/>
      <c r="CQ536" s="55"/>
      <c r="CR536" s="55"/>
      <c r="CS536" s="55"/>
      <c r="CT536" s="55"/>
      <c r="CU536" s="55"/>
      <c r="CV536" s="55"/>
      <c r="CW536" s="55"/>
      <c r="CX536" s="55"/>
      <c r="CY536" s="55"/>
      <c r="CZ536" s="55"/>
      <c r="DA536" s="55"/>
      <c r="DB536" s="55"/>
      <c r="DC536" s="55"/>
      <c r="DD536" s="55"/>
      <c r="DE536" s="55"/>
      <c r="DF536" s="55"/>
      <c r="DG536" s="55"/>
      <c r="DH536" s="55"/>
      <c r="DI536" s="55"/>
    </row>
    <row r="537" spans="1:113" ht="15.75" thickBot="1" x14ac:dyDescent="0.3">
      <c r="A537" s="153">
        <v>17</v>
      </c>
      <c r="B537" s="156" t="s">
        <v>643</v>
      </c>
      <c r="C537" s="154">
        <v>3000</v>
      </c>
      <c r="D537" s="156"/>
      <c r="E537" s="154">
        <v>0</v>
      </c>
      <c r="F537" s="196"/>
      <c r="G537" s="147">
        <f t="shared" si="153"/>
        <v>0</v>
      </c>
      <c r="H537" s="197"/>
      <c r="I537" s="64">
        <f t="shared" si="154"/>
        <v>0</v>
      </c>
      <c r="J537" s="64">
        <f t="shared" si="155"/>
        <v>0</v>
      </c>
      <c r="K537" s="65">
        <f t="shared" si="156"/>
        <v>0</v>
      </c>
      <c r="L537"/>
      <c r="M537" s="314">
        <f t="shared" si="152"/>
        <v>0</v>
      </c>
      <c r="N537" s="310"/>
      <c r="O537" s="315"/>
      <c r="P537" s="315"/>
      <c r="Q537" s="315"/>
      <c r="R537" s="315"/>
      <c r="S537" s="55"/>
      <c r="T537" s="55"/>
      <c r="U537" s="55"/>
      <c r="V537" s="55"/>
      <c r="W537" s="55"/>
      <c r="X537" s="55"/>
      <c r="Y537" s="55"/>
      <c r="Z537" s="55"/>
      <c r="AA537" s="55"/>
      <c r="AB537" s="55"/>
      <c r="AC537" s="55"/>
      <c r="AD537" s="55"/>
      <c r="AE537" s="55"/>
      <c r="AF537" s="55"/>
      <c r="AG537" s="55"/>
      <c r="AH537" s="55"/>
      <c r="AI537" s="55"/>
      <c r="AJ537" s="55"/>
      <c r="AK537" s="55"/>
      <c r="AL537" s="55"/>
      <c r="AM537" s="55"/>
      <c r="AN537" s="55"/>
      <c r="AO537" s="55"/>
      <c r="AP537" s="55"/>
      <c r="AQ537" s="55"/>
      <c r="AR537" s="55"/>
      <c r="AS537" s="55"/>
      <c r="AT537" s="55"/>
      <c r="AU537" s="55"/>
      <c r="AV537" s="55"/>
      <c r="AW537" s="55"/>
      <c r="AX537" s="55"/>
      <c r="AY537" s="55"/>
      <c r="AZ537" s="55"/>
      <c r="BA537" s="55"/>
      <c r="BB537" s="55"/>
      <c r="BC537" s="55"/>
      <c r="BD537" s="55"/>
      <c r="BE537" s="55"/>
      <c r="BF537" s="55"/>
      <c r="BG537" s="55"/>
      <c r="BH537" s="55"/>
      <c r="BI537" s="55"/>
      <c r="BJ537" s="55"/>
      <c r="BK537" s="55"/>
      <c r="BL537" s="55"/>
      <c r="BM537" s="55"/>
      <c r="BN537" s="55"/>
      <c r="BO537" s="55"/>
      <c r="BP537" s="55"/>
      <c r="BQ537" s="55"/>
      <c r="BR537" s="55"/>
      <c r="BS537" s="55"/>
      <c r="BT537" s="55"/>
      <c r="BU537" s="55"/>
      <c r="BV537" s="55"/>
      <c r="BW537" s="55"/>
      <c r="BX537" s="55"/>
      <c r="BY537" s="55"/>
      <c r="BZ537" s="55"/>
      <c r="CA537" s="55"/>
      <c r="CB537" s="55"/>
      <c r="CC537" s="55"/>
      <c r="CD537" s="55"/>
      <c r="CE537" s="55"/>
      <c r="CF537" s="55"/>
      <c r="CG537" s="55"/>
      <c r="CH537" s="55"/>
      <c r="CI537" s="55"/>
      <c r="CJ537" s="55"/>
      <c r="CK537" s="55"/>
      <c r="CL537" s="55"/>
      <c r="CM537" s="55"/>
      <c r="CN537" s="55"/>
      <c r="CO537" s="55"/>
      <c r="CP537" s="55"/>
      <c r="CQ537" s="55"/>
      <c r="CR537" s="55"/>
      <c r="CS537" s="55"/>
      <c r="CT537" s="55"/>
      <c r="CU537" s="55"/>
      <c r="CV537" s="55"/>
      <c r="CW537" s="55"/>
      <c r="CX537" s="55"/>
      <c r="CY537" s="55"/>
      <c r="CZ537" s="55"/>
      <c r="DA537" s="55"/>
      <c r="DB537" s="55"/>
      <c r="DC537" s="55"/>
      <c r="DD537" s="55"/>
      <c r="DE537" s="55"/>
      <c r="DF537" s="55"/>
      <c r="DG537" s="55"/>
      <c r="DH537" s="55"/>
      <c r="DI537" s="55"/>
    </row>
    <row r="538" spans="1:113" ht="15.75" thickBot="1" x14ac:dyDescent="0.3">
      <c r="A538" s="128"/>
      <c r="B538" s="119" t="s">
        <v>688</v>
      </c>
      <c r="C538" s="36"/>
      <c r="D538" s="36"/>
      <c r="E538" s="29">
        <f t="shared" ref="E538:K538" si="157">SUM(E521:E537)</f>
        <v>3078</v>
      </c>
      <c r="F538" s="29">
        <f t="shared" si="157"/>
        <v>0</v>
      </c>
      <c r="G538" s="29">
        <f t="shared" si="157"/>
        <v>3078</v>
      </c>
      <c r="H538" s="29">
        <f t="shared" si="157"/>
        <v>0</v>
      </c>
      <c r="I538" s="29">
        <f t="shared" si="157"/>
        <v>3078</v>
      </c>
      <c r="J538" s="29">
        <f t="shared" si="157"/>
        <v>42122000</v>
      </c>
      <c r="K538" s="47">
        <f t="shared" si="157"/>
        <v>10192477.640000001</v>
      </c>
      <c r="L538"/>
      <c r="M538" s="326">
        <f t="shared" si="152"/>
        <v>0</v>
      </c>
      <c r="N538" s="325"/>
      <c r="O538" s="325"/>
      <c r="P538" s="325"/>
      <c r="Q538" s="325"/>
      <c r="R538" s="325"/>
      <c r="S538" s="324"/>
      <c r="T538" s="324"/>
      <c r="U538" s="324"/>
      <c r="V538" s="324"/>
      <c r="W538" s="324"/>
      <c r="X538" s="324"/>
      <c r="Y538" s="324"/>
      <c r="Z538" s="324"/>
      <c r="AA538" s="324"/>
      <c r="AB538" s="324"/>
      <c r="AC538" s="324"/>
      <c r="AD538" s="324"/>
      <c r="AE538" s="324"/>
      <c r="AF538" s="324"/>
      <c r="AG538" s="324"/>
      <c r="AH538" s="324"/>
      <c r="AI538" s="324"/>
      <c r="AJ538" s="324"/>
      <c r="AK538" s="324"/>
      <c r="AL538" s="324"/>
      <c r="AM538" s="324"/>
      <c r="AN538" s="324"/>
      <c r="AO538" s="324"/>
      <c r="AP538" s="324"/>
      <c r="AQ538" s="324"/>
      <c r="AR538" s="324"/>
      <c r="AS538" s="324"/>
      <c r="AT538" s="324"/>
      <c r="AU538" s="324"/>
      <c r="AV538" s="324"/>
      <c r="AW538" s="324"/>
      <c r="AX538" s="324"/>
      <c r="AY538" s="324"/>
      <c r="AZ538" s="324"/>
      <c r="BA538" s="324"/>
      <c r="BB538" s="324"/>
      <c r="BC538" s="324"/>
      <c r="BD538" s="324"/>
      <c r="BE538" s="324"/>
      <c r="BF538" s="324"/>
      <c r="BG538" s="324"/>
      <c r="BH538" s="324"/>
      <c r="BI538" s="324"/>
      <c r="BJ538" s="324"/>
      <c r="BK538" s="324"/>
      <c r="BL538" s="324"/>
      <c r="BM538" s="324"/>
      <c r="BN538" s="324"/>
      <c r="BO538" s="324"/>
      <c r="BP538" s="324"/>
      <c r="BQ538" s="324"/>
      <c r="BR538" s="324"/>
      <c r="BS538" s="324"/>
      <c r="BT538" s="324"/>
      <c r="BU538" s="324"/>
      <c r="BV538" s="324"/>
      <c r="BW538" s="324"/>
      <c r="BX538" s="324"/>
      <c r="BY538" s="324"/>
      <c r="BZ538" s="324"/>
      <c r="CA538" s="324"/>
      <c r="CB538" s="324"/>
      <c r="CC538" s="324"/>
      <c r="CD538" s="324"/>
      <c r="CE538" s="324"/>
      <c r="CF538" s="324"/>
      <c r="CG538" s="324"/>
      <c r="CH538" s="324"/>
      <c r="CI538" s="324"/>
      <c r="CJ538" s="324"/>
      <c r="CK538" s="324"/>
      <c r="CL538" s="324"/>
      <c r="CM538" s="324"/>
      <c r="CN538" s="324"/>
      <c r="CO538" s="324"/>
      <c r="CP538" s="324"/>
      <c r="CQ538" s="324"/>
      <c r="CR538" s="324"/>
      <c r="CS538" s="324"/>
      <c r="CT538" s="324"/>
      <c r="CU538" s="324"/>
      <c r="CV538" s="324"/>
      <c r="CW538" s="324"/>
      <c r="CX538" s="324"/>
      <c r="CY538" s="324"/>
      <c r="CZ538" s="324"/>
      <c r="DA538" s="324"/>
      <c r="DB538" s="324"/>
      <c r="DC538" s="324"/>
      <c r="DD538" s="324"/>
      <c r="DE538" s="324"/>
      <c r="DF538" s="324"/>
      <c r="DG538" s="324"/>
      <c r="DH538" s="324"/>
      <c r="DI538" s="324"/>
    </row>
    <row r="539" spans="1:113" ht="15.75" thickBot="1" x14ac:dyDescent="0.3">
      <c r="L539"/>
      <c r="M539"/>
      <c r="N539"/>
      <c r="O539"/>
      <c r="P539"/>
      <c r="Q539"/>
      <c r="R539"/>
      <c r="S539"/>
      <c r="T539"/>
      <c r="U539"/>
      <c r="V539"/>
    </row>
    <row r="540" spans="1:113" ht="15.75" thickBot="1" x14ac:dyDescent="0.3">
      <c r="A540" s="407" t="s">
        <v>657</v>
      </c>
      <c r="B540" s="414" t="s">
        <v>708</v>
      </c>
      <c r="C540" s="414" t="s">
        <v>1</v>
      </c>
      <c r="D540" s="415" t="s">
        <v>649</v>
      </c>
      <c r="E540" s="416" t="s">
        <v>19</v>
      </c>
      <c r="F540" s="416"/>
      <c r="G540" s="416"/>
      <c r="H540" s="416"/>
      <c r="I540" s="416"/>
      <c r="J540" s="410" t="s">
        <v>21</v>
      </c>
      <c r="K540" s="417" t="s">
        <v>602</v>
      </c>
      <c r="L540"/>
      <c r="M540" s="403" t="s">
        <v>601</v>
      </c>
      <c r="N540" s="403" t="s">
        <v>924</v>
      </c>
      <c r="O540" s="403"/>
      <c r="P540" s="403"/>
      <c r="Q540" s="403"/>
      <c r="R540" s="403"/>
      <c r="S540" s="403"/>
      <c r="T540" s="403"/>
      <c r="U540" s="403"/>
      <c r="V540" s="403"/>
      <c r="W540" s="403"/>
      <c r="X540" s="403"/>
      <c r="Y540" s="403"/>
      <c r="Z540" s="403"/>
      <c r="AA540" s="403"/>
      <c r="AB540" s="403"/>
      <c r="AC540" s="403"/>
      <c r="AD540" s="403"/>
      <c r="AE540" s="403"/>
      <c r="AF540" s="403"/>
      <c r="AG540" s="403"/>
      <c r="AH540" s="403"/>
      <c r="AI540" s="403"/>
      <c r="AJ540" s="403"/>
      <c r="AK540" s="403"/>
      <c r="AL540" s="403"/>
      <c r="AM540" s="403"/>
      <c r="AN540" s="403"/>
      <c r="AO540" s="403"/>
      <c r="AP540" s="403"/>
      <c r="AQ540" s="403"/>
      <c r="AR540" s="403"/>
      <c r="AS540" s="403"/>
      <c r="AT540" s="403"/>
      <c r="AU540" s="403"/>
      <c r="AV540" s="403"/>
      <c r="AW540" s="403"/>
      <c r="AX540" s="403"/>
      <c r="AY540" s="403"/>
      <c r="AZ540" s="403"/>
      <c r="BA540" s="403"/>
      <c r="BB540" s="403"/>
      <c r="BC540" s="403"/>
      <c r="BD540" s="403"/>
      <c r="BE540" s="403"/>
      <c r="BF540" s="403"/>
      <c r="BG540" s="403"/>
      <c r="BH540" s="403"/>
      <c r="BI540" s="403"/>
      <c r="BJ540" s="403"/>
      <c r="BK540" s="403"/>
      <c r="BL540" s="403"/>
      <c r="BM540" s="403"/>
      <c r="BN540" s="403"/>
      <c r="BO540" s="403"/>
      <c r="BP540" s="403"/>
      <c r="BQ540" s="403"/>
      <c r="BR540" s="403"/>
      <c r="BS540" s="403"/>
      <c r="BT540" s="403"/>
      <c r="BU540" s="403"/>
      <c r="BV540" s="403"/>
      <c r="BW540" s="403"/>
      <c r="BX540" s="403"/>
      <c r="BY540" s="403"/>
      <c r="BZ540" s="403"/>
      <c r="CA540" s="403"/>
      <c r="CB540" s="403"/>
      <c r="CC540" s="403"/>
      <c r="CD540" s="403"/>
      <c r="CE540" s="403"/>
      <c r="CF540" s="403"/>
      <c r="CG540" s="403"/>
      <c r="CH540" s="403"/>
      <c r="CI540" s="403"/>
      <c r="CJ540" s="403"/>
      <c r="CK540" s="403"/>
      <c r="CL540" s="403"/>
      <c r="CM540" s="403"/>
      <c r="CN540" s="403"/>
      <c r="CO540" s="403"/>
      <c r="CP540" s="403"/>
      <c r="CQ540" s="403"/>
      <c r="CR540" s="403"/>
      <c r="CS540" s="403"/>
      <c r="CT540" s="403"/>
      <c r="CU540" s="403"/>
      <c r="CV540" s="403"/>
      <c r="CW540" s="403"/>
      <c r="CX540" s="403"/>
      <c r="CY540" s="403"/>
      <c r="CZ540" s="403"/>
      <c r="DA540" s="403"/>
      <c r="DB540" s="403"/>
      <c r="DC540" s="403"/>
      <c r="DD540" s="403"/>
      <c r="DE540" s="403"/>
      <c r="DF540" s="403"/>
      <c r="DG540" s="403"/>
      <c r="DH540" s="403"/>
      <c r="DI540" s="403"/>
    </row>
    <row r="541" spans="1:113" ht="30.75" thickBot="1" x14ac:dyDescent="0.3">
      <c r="A541" s="408"/>
      <c r="B541" s="414"/>
      <c r="C541" s="414"/>
      <c r="D541" s="415"/>
      <c r="E541" s="68" t="s">
        <v>22</v>
      </c>
      <c r="F541" s="68" t="s">
        <v>600</v>
      </c>
      <c r="G541" s="68" t="s">
        <v>601</v>
      </c>
      <c r="H541" s="68" t="s">
        <v>589</v>
      </c>
      <c r="I541" s="68" t="s">
        <v>601</v>
      </c>
      <c r="J541" s="411"/>
      <c r="K541" s="418"/>
      <c r="L541"/>
      <c r="M541" s="403"/>
      <c r="N541" s="400" t="s">
        <v>925</v>
      </c>
      <c r="O541" s="400" t="s">
        <v>926</v>
      </c>
      <c r="P541" s="400"/>
      <c r="Q541" s="400"/>
      <c r="R541" s="400"/>
      <c r="S541" s="398"/>
      <c r="T541" s="398"/>
      <c r="U541" s="398"/>
      <c r="V541" s="398"/>
      <c r="W541" s="398"/>
      <c r="X541" s="398"/>
      <c r="Y541" s="398"/>
      <c r="Z541" s="398"/>
      <c r="AA541" s="398"/>
      <c r="AB541" s="398"/>
      <c r="AC541" s="398"/>
      <c r="AD541" s="398"/>
      <c r="AE541" s="398"/>
      <c r="AF541" s="398"/>
      <c r="AG541" s="398"/>
      <c r="AH541" s="398"/>
      <c r="AI541" s="398"/>
      <c r="AJ541" s="398"/>
      <c r="AK541" s="398"/>
      <c r="AL541" s="398"/>
      <c r="AM541" s="398"/>
      <c r="AN541" s="398"/>
      <c r="AO541" s="398"/>
      <c r="AP541" s="398"/>
      <c r="AQ541" s="398"/>
      <c r="AR541" s="398"/>
      <c r="AS541" s="398"/>
      <c r="AT541" s="398"/>
      <c r="AU541" s="398"/>
      <c r="AV541" s="398"/>
      <c r="AW541" s="398"/>
      <c r="AX541" s="398"/>
      <c r="AY541" s="398"/>
      <c r="AZ541" s="398"/>
      <c r="BA541" s="398"/>
      <c r="BB541" s="398"/>
      <c r="BC541" s="398"/>
      <c r="BD541" s="398"/>
      <c r="BE541" s="398"/>
      <c r="BF541" s="398"/>
      <c r="BG541" s="398"/>
      <c r="BH541" s="398"/>
      <c r="BI541" s="398"/>
      <c r="BJ541" s="398"/>
      <c r="BK541" s="398"/>
      <c r="BL541" s="398"/>
      <c r="BM541" s="398"/>
      <c r="BN541" s="398"/>
      <c r="BO541" s="398"/>
      <c r="BP541" s="398"/>
      <c r="BQ541" s="398"/>
      <c r="BR541" s="398"/>
      <c r="BS541" s="398"/>
      <c r="BT541" s="398"/>
      <c r="BU541" s="398"/>
      <c r="BV541" s="398"/>
      <c r="BW541" s="398"/>
      <c r="BX541" s="398"/>
      <c r="BY541" s="398"/>
      <c r="BZ541" s="398"/>
      <c r="CA541" s="398"/>
      <c r="CB541" s="398"/>
      <c r="CC541" s="398"/>
      <c r="CD541" s="398"/>
      <c r="CE541" s="398"/>
      <c r="CF541" s="398"/>
      <c r="CG541" s="398"/>
      <c r="CH541" s="398"/>
      <c r="CI541" s="398"/>
      <c r="CJ541" s="398"/>
      <c r="CK541" s="398"/>
      <c r="CL541" s="398"/>
      <c r="CM541" s="398"/>
      <c r="CN541" s="398"/>
      <c r="CO541" s="398"/>
      <c r="CP541" s="398"/>
      <c r="CQ541" s="398"/>
      <c r="CR541" s="398"/>
      <c r="CS541" s="398"/>
      <c r="CT541" s="398"/>
      <c r="CU541" s="398"/>
      <c r="CV541" s="398"/>
      <c r="CW541" s="398"/>
      <c r="CX541" s="398"/>
      <c r="CY541" s="398"/>
      <c r="CZ541" s="398"/>
      <c r="DA541" s="398"/>
      <c r="DB541" s="398"/>
      <c r="DC541" s="398"/>
      <c r="DD541" s="398"/>
      <c r="DE541" s="398"/>
      <c r="DF541" s="398"/>
      <c r="DG541" s="398"/>
      <c r="DH541" s="398"/>
      <c r="DI541" s="398"/>
    </row>
    <row r="542" spans="1:113" ht="15.75" thickBot="1" x14ac:dyDescent="0.3">
      <c r="A542" s="409"/>
      <c r="B542" s="224">
        <v>1</v>
      </c>
      <c r="C542" s="224">
        <v>2</v>
      </c>
      <c r="D542" s="224">
        <v>3</v>
      </c>
      <c r="E542" s="70">
        <v>4</v>
      </c>
      <c r="F542" s="70">
        <f>+E542+1</f>
        <v>5</v>
      </c>
      <c r="G542" s="70" t="s">
        <v>652</v>
      </c>
      <c r="H542" s="70">
        <v>7</v>
      </c>
      <c r="I542" s="71" t="s">
        <v>651</v>
      </c>
      <c r="J542" s="42" t="s">
        <v>650</v>
      </c>
      <c r="K542" s="42" t="s">
        <v>653</v>
      </c>
      <c r="L542"/>
      <c r="M542" s="403"/>
      <c r="N542" s="402"/>
      <c r="O542" s="402"/>
      <c r="P542" s="402"/>
      <c r="Q542" s="402"/>
      <c r="R542" s="402"/>
      <c r="S542" s="399"/>
      <c r="T542" s="399"/>
      <c r="U542" s="399"/>
      <c r="V542" s="399"/>
      <c r="W542" s="399"/>
      <c r="X542" s="399"/>
      <c r="Y542" s="399"/>
      <c r="Z542" s="399"/>
      <c r="AA542" s="399"/>
      <c r="AB542" s="399"/>
      <c r="AC542" s="399"/>
      <c r="AD542" s="399"/>
      <c r="AE542" s="399"/>
      <c r="AF542" s="399"/>
      <c r="AG542" s="399"/>
      <c r="AH542" s="399"/>
      <c r="AI542" s="399"/>
      <c r="AJ542" s="399"/>
      <c r="AK542" s="399"/>
      <c r="AL542" s="399"/>
      <c r="AM542" s="399"/>
      <c r="AN542" s="399"/>
      <c r="AO542" s="399"/>
      <c r="AP542" s="399"/>
      <c r="AQ542" s="399"/>
      <c r="AR542" s="399"/>
      <c r="AS542" s="399"/>
      <c r="AT542" s="399"/>
      <c r="AU542" s="399"/>
      <c r="AV542" s="399"/>
      <c r="AW542" s="399"/>
      <c r="AX542" s="399"/>
      <c r="AY542" s="399"/>
      <c r="AZ542" s="399"/>
      <c r="BA542" s="399"/>
      <c r="BB542" s="399"/>
      <c r="BC542" s="399"/>
      <c r="BD542" s="399"/>
      <c r="BE542" s="399"/>
      <c r="BF542" s="399"/>
      <c r="BG542" s="399"/>
      <c r="BH542" s="399"/>
      <c r="BI542" s="399"/>
      <c r="BJ542" s="399"/>
      <c r="BK542" s="399"/>
      <c r="BL542" s="399"/>
      <c r="BM542" s="399"/>
      <c r="BN542" s="399"/>
      <c r="BO542" s="399"/>
      <c r="BP542" s="399"/>
      <c r="BQ542" s="399"/>
      <c r="BR542" s="399"/>
      <c r="BS542" s="399"/>
      <c r="BT542" s="399"/>
      <c r="BU542" s="399"/>
      <c r="BV542" s="399"/>
      <c r="BW542" s="399"/>
      <c r="BX542" s="399"/>
      <c r="BY542" s="399"/>
      <c r="BZ542" s="399"/>
      <c r="CA542" s="399"/>
      <c r="CB542" s="399"/>
      <c r="CC542" s="399"/>
      <c r="CD542" s="399"/>
      <c r="CE542" s="399"/>
      <c r="CF542" s="399"/>
      <c r="CG542" s="399"/>
      <c r="CH542" s="399"/>
      <c r="CI542" s="399"/>
      <c r="CJ542" s="399"/>
      <c r="CK542" s="399"/>
      <c r="CL542" s="399"/>
      <c r="CM542" s="399"/>
      <c r="CN542" s="399"/>
      <c r="CO542" s="399"/>
      <c r="CP542" s="399"/>
      <c r="CQ542" s="399"/>
      <c r="CR542" s="399"/>
      <c r="CS542" s="399"/>
      <c r="CT542" s="399"/>
      <c r="CU542" s="399"/>
      <c r="CV542" s="399"/>
      <c r="CW542" s="399"/>
      <c r="CX542" s="399"/>
      <c r="CY542" s="399"/>
      <c r="CZ542" s="399"/>
      <c r="DA542" s="399"/>
      <c r="DB542" s="399"/>
      <c r="DC542" s="399"/>
      <c r="DD542" s="399"/>
      <c r="DE542" s="399"/>
      <c r="DF542" s="399"/>
      <c r="DG542" s="399"/>
      <c r="DH542" s="399"/>
      <c r="DI542" s="399"/>
    </row>
    <row r="543" spans="1:113" x14ac:dyDescent="0.25">
      <c r="A543" s="160"/>
      <c r="B543" s="72" t="s">
        <v>736</v>
      </c>
      <c r="C543" s="54"/>
      <c r="D543" s="54"/>
      <c r="E543" s="54"/>
      <c r="F543" s="54"/>
      <c r="G543" s="54"/>
      <c r="H543" s="54"/>
      <c r="I543" s="54"/>
      <c r="J543" s="54"/>
      <c r="K543" s="54"/>
      <c r="L543"/>
      <c r="M543" s="314">
        <f t="shared" ref="M543:M576" si="158">SUM(N543:DJ543)</f>
        <v>0</v>
      </c>
      <c r="N543" s="310"/>
      <c r="O543" s="315"/>
      <c r="P543" s="315"/>
      <c r="Q543" s="315"/>
      <c r="R543" s="315"/>
      <c r="S543" s="55"/>
      <c r="T543" s="55"/>
      <c r="U543" s="55"/>
      <c r="V543" s="55"/>
      <c r="W543" s="55"/>
      <c r="X543" s="55"/>
      <c r="Y543" s="55"/>
      <c r="Z543" s="55"/>
      <c r="AA543" s="55"/>
      <c r="AB543" s="55"/>
      <c r="AC543" s="55"/>
      <c r="AD543" s="55"/>
      <c r="AE543" s="55"/>
      <c r="AF543" s="55"/>
      <c r="AG543" s="55"/>
      <c r="AH543" s="55"/>
      <c r="AI543" s="55"/>
      <c r="AJ543" s="55"/>
      <c r="AK543" s="55"/>
      <c r="AL543" s="55"/>
      <c r="AM543" s="55"/>
      <c r="AN543" s="55"/>
      <c r="AO543" s="55"/>
      <c r="AP543" s="55"/>
      <c r="AQ543" s="55"/>
      <c r="AR543" s="55"/>
      <c r="AS543" s="55"/>
      <c r="AT543" s="55"/>
      <c r="AU543" s="55"/>
      <c r="AV543" s="55"/>
      <c r="AW543" s="55"/>
      <c r="AX543" s="55"/>
      <c r="AY543" s="55"/>
      <c r="AZ543" s="55"/>
      <c r="BA543" s="55"/>
      <c r="BB543" s="55"/>
      <c r="BC543" s="55"/>
      <c r="BD543" s="55"/>
      <c r="BE543" s="55"/>
      <c r="BF543" s="55"/>
      <c r="BG543" s="55"/>
      <c r="BH543" s="55"/>
      <c r="BI543" s="55"/>
      <c r="BJ543" s="55"/>
      <c r="BK543" s="55"/>
      <c r="BL543" s="55"/>
      <c r="BM543" s="55"/>
      <c r="BN543" s="55"/>
      <c r="BO543" s="55"/>
      <c r="BP543" s="55"/>
      <c r="BQ543" s="55"/>
      <c r="BR543" s="55"/>
      <c r="BS543" s="55"/>
      <c r="BT543" s="55"/>
      <c r="BU543" s="55"/>
      <c r="BV543" s="55"/>
      <c r="BW543" s="55"/>
      <c r="BX543" s="55"/>
      <c r="BY543" s="55"/>
      <c r="BZ543" s="55"/>
      <c r="CA543" s="55"/>
      <c r="CB543" s="55"/>
      <c r="CC543" s="55"/>
      <c r="CD543" s="55"/>
      <c r="CE543" s="55"/>
      <c r="CF543" s="55"/>
      <c r="CG543" s="55"/>
      <c r="CH543" s="55"/>
      <c r="CI543" s="55"/>
      <c r="CJ543" s="55"/>
      <c r="CK543" s="55"/>
      <c r="CL543" s="55"/>
      <c r="CM543" s="55"/>
      <c r="CN543" s="55"/>
      <c r="CO543" s="55"/>
      <c r="CP543" s="55"/>
      <c r="CQ543" s="55"/>
      <c r="CR543" s="55"/>
      <c r="CS543" s="55"/>
      <c r="CT543" s="55"/>
      <c r="CU543" s="55"/>
      <c r="CV543" s="55"/>
      <c r="CW543" s="55"/>
      <c r="CX543" s="55"/>
      <c r="CY543" s="55"/>
      <c r="CZ543" s="55"/>
      <c r="DA543" s="55"/>
      <c r="DB543" s="55"/>
      <c r="DC543" s="55"/>
      <c r="DD543" s="55"/>
      <c r="DE543" s="55"/>
      <c r="DF543" s="55"/>
      <c r="DG543" s="55"/>
      <c r="DH543" s="55"/>
      <c r="DI543" s="55"/>
    </row>
    <row r="544" spans="1:113" x14ac:dyDescent="0.25">
      <c r="A544" s="152">
        <v>1</v>
      </c>
      <c r="B544" s="221" t="s">
        <v>785</v>
      </c>
      <c r="C544" s="43">
        <v>15000</v>
      </c>
      <c r="D544" s="233">
        <v>3609.08</v>
      </c>
      <c r="E544" s="43">
        <v>75</v>
      </c>
      <c r="F544" s="59"/>
      <c r="G544" s="139">
        <f t="shared" ref="G544:G560" si="159">+E544+F544</f>
        <v>75</v>
      </c>
      <c r="H544" s="59"/>
      <c r="I544" s="56">
        <f t="shared" ref="I544:I560" si="160">+G544-H544</f>
        <v>75</v>
      </c>
      <c r="J544" s="56">
        <f t="shared" ref="J544:J560" si="161">I544*C544</f>
        <v>1125000</v>
      </c>
      <c r="K544" s="57">
        <f t="shared" ref="K544:K560" si="162">+D544*I544</f>
        <v>270681</v>
      </c>
      <c r="L544"/>
      <c r="M544" s="314">
        <f t="shared" si="158"/>
        <v>0</v>
      </c>
      <c r="N544" s="310"/>
      <c r="O544" s="315"/>
      <c r="P544" s="315"/>
      <c r="Q544" s="315"/>
      <c r="R544" s="315"/>
      <c r="S544" s="55"/>
      <c r="T544" s="55"/>
      <c r="U544" s="55"/>
      <c r="V544" s="55"/>
      <c r="W544" s="55"/>
      <c r="X544" s="55"/>
      <c r="Y544" s="55"/>
      <c r="Z544" s="55"/>
      <c r="AA544" s="55"/>
      <c r="AB544" s="55"/>
      <c r="AC544" s="55"/>
      <c r="AD544" s="55"/>
      <c r="AE544" s="55"/>
      <c r="AF544" s="55"/>
      <c r="AG544" s="55"/>
      <c r="AH544" s="55"/>
      <c r="AI544" s="55"/>
      <c r="AJ544" s="55"/>
      <c r="AK544" s="55"/>
      <c r="AL544" s="55"/>
      <c r="AM544" s="55"/>
      <c r="AN544" s="55"/>
      <c r="AO544" s="55"/>
      <c r="AP544" s="55"/>
      <c r="AQ544" s="55"/>
      <c r="AR544" s="55"/>
      <c r="AS544" s="55"/>
      <c r="AT544" s="55"/>
      <c r="AU544" s="55"/>
      <c r="AV544" s="55"/>
      <c r="AW544" s="55"/>
      <c r="AX544" s="55"/>
      <c r="AY544" s="55"/>
      <c r="AZ544" s="55"/>
      <c r="BA544" s="55"/>
      <c r="BB544" s="55"/>
      <c r="BC544" s="55"/>
      <c r="BD544" s="55"/>
      <c r="BE544" s="55"/>
      <c r="BF544" s="55"/>
      <c r="BG544" s="55"/>
      <c r="BH544" s="55"/>
      <c r="BI544" s="55"/>
      <c r="BJ544" s="55"/>
      <c r="BK544" s="55"/>
      <c r="BL544" s="55"/>
      <c r="BM544" s="55"/>
      <c r="BN544" s="55"/>
      <c r="BO544" s="55"/>
      <c r="BP544" s="55"/>
      <c r="BQ544" s="55"/>
      <c r="BR544" s="55"/>
      <c r="BS544" s="55"/>
      <c r="BT544" s="55"/>
      <c r="BU544" s="55"/>
      <c r="BV544" s="55"/>
      <c r="BW544" s="55"/>
      <c r="BX544" s="55"/>
      <c r="BY544" s="55"/>
      <c r="BZ544" s="55"/>
      <c r="CA544" s="55"/>
      <c r="CB544" s="55"/>
      <c r="CC544" s="55"/>
      <c r="CD544" s="55"/>
      <c r="CE544" s="55"/>
      <c r="CF544" s="55"/>
      <c r="CG544" s="55"/>
      <c r="CH544" s="55"/>
      <c r="CI544" s="55"/>
      <c r="CJ544" s="55"/>
      <c r="CK544" s="55"/>
      <c r="CL544" s="55"/>
      <c r="CM544" s="55"/>
      <c r="CN544" s="55"/>
      <c r="CO544" s="55"/>
      <c r="CP544" s="55"/>
      <c r="CQ544" s="55"/>
      <c r="CR544" s="55"/>
      <c r="CS544" s="55"/>
      <c r="CT544" s="55"/>
      <c r="CU544" s="55"/>
      <c r="CV544" s="55"/>
      <c r="CW544" s="55"/>
      <c r="CX544" s="55"/>
      <c r="CY544" s="55"/>
      <c r="CZ544" s="55"/>
      <c r="DA544" s="55"/>
      <c r="DB544" s="55"/>
      <c r="DC544" s="55"/>
      <c r="DD544" s="55"/>
      <c r="DE544" s="55"/>
      <c r="DF544" s="55"/>
      <c r="DG544" s="55"/>
      <c r="DH544" s="55"/>
      <c r="DI544" s="55"/>
    </row>
    <row r="545" spans="1:113" x14ac:dyDescent="0.25">
      <c r="A545" s="152">
        <v>2</v>
      </c>
      <c r="B545" s="213" t="s">
        <v>790</v>
      </c>
      <c r="C545" s="43">
        <v>15000</v>
      </c>
      <c r="D545" s="233">
        <v>0</v>
      </c>
      <c r="E545" s="43">
        <v>800</v>
      </c>
      <c r="F545" s="59"/>
      <c r="G545" s="139">
        <f t="shared" si="159"/>
        <v>800</v>
      </c>
      <c r="H545" s="139">
        <f>100-100</f>
        <v>0</v>
      </c>
      <c r="I545" s="56">
        <f t="shared" si="160"/>
        <v>800</v>
      </c>
      <c r="J545" s="56">
        <f t="shared" si="161"/>
        <v>12000000</v>
      </c>
      <c r="K545" s="57">
        <f t="shared" si="162"/>
        <v>0</v>
      </c>
      <c r="L545"/>
      <c r="M545" s="314">
        <f t="shared" si="158"/>
        <v>0</v>
      </c>
      <c r="N545" s="310"/>
      <c r="O545" s="315"/>
      <c r="P545" s="315"/>
      <c r="Q545" s="315"/>
      <c r="R545" s="315"/>
      <c r="S545" s="55"/>
      <c r="T545" s="55"/>
      <c r="U545" s="55"/>
      <c r="V545" s="55"/>
      <c r="W545" s="55"/>
      <c r="X545" s="55"/>
      <c r="Y545" s="55"/>
      <c r="Z545" s="55"/>
      <c r="AA545" s="55"/>
      <c r="AB545" s="55"/>
      <c r="AC545" s="55"/>
      <c r="AD545" s="55"/>
      <c r="AE545" s="55"/>
      <c r="AF545" s="55"/>
      <c r="AG545" s="55"/>
      <c r="AH545" s="55"/>
      <c r="AI545" s="55"/>
      <c r="AJ545" s="55"/>
      <c r="AK545" s="55"/>
      <c r="AL545" s="55"/>
      <c r="AM545" s="55"/>
      <c r="AN545" s="55"/>
      <c r="AO545" s="55"/>
      <c r="AP545" s="55"/>
      <c r="AQ545" s="55"/>
      <c r="AR545" s="55"/>
      <c r="AS545" s="55"/>
      <c r="AT545" s="55"/>
      <c r="AU545" s="55"/>
      <c r="AV545" s="55"/>
      <c r="AW545" s="55"/>
      <c r="AX545" s="55"/>
      <c r="AY545" s="55"/>
      <c r="AZ545" s="55"/>
      <c r="BA545" s="55"/>
      <c r="BB545" s="55"/>
      <c r="BC545" s="55"/>
      <c r="BD545" s="55"/>
      <c r="BE545" s="55"/>
      <c r="BF545" s="55"/>
      <c r="BG545" s="55"/>
      <c r="BH545" s="55"/>
      <c r="BI545" s="55"/>
      <c r="BJ545" s="55"/>
      <c r="BK545" s="55"/>
      <c r="BL545" s="55"/>
      <c r="BM545" s="55"/>
      <c r="BN545" s="55"/>
      <c r="BO545" s="55"/>
      <c r="BP545" s="55"/>
      <c r="BQ545" s="55"/>
      <c r="BR545" s="55"/>
      <c r="BS545" s="55"/>
      <c r="BT545" s="55"/>
      <c r="BU545" s="55"/>
      <c r="BV545" s="55"/>
      <c r="BW545" s="55"/>
      <c r="BX545" s="55"/>
      <c r="BY545" s="55"/>
      <c r="BZ545" s="55"/>
      <c r="CA545" s="55"/>
      <c r="CB545" s="55"/>
      <c r="CC545" s="55"/>
      <c r="CD545" s="55"/>
      <c r="CE545" s="55"/>
      <c r="CF545" s="55"/>
      <c r="CG545" s="55"/>
      <c r="CH545" s="55"/>
      <c r="CI545" s="55"/>
      <c r="CJ545" s="55"/>
      <c r="CK545" s="55"/>
      <c r="CL545" s="55"/>
      <c r="CM545" s="55"/>
      <c r="CN545" s="55"/>
      <c r="CO545" s="55"/>
      <c r="CP545" s="55"/>
      <c r="CQ545" s="55"/>
      <c r="CR545" s="55"/>
      <c r="CS545" s="55"/>
      <c r="CT545" s="55"/>
      <c r="CU545" s="55"/>
      <c r="CV545" s="55"/>
      <c r="CW545" s="55"/>
      <c r="CX545" s="55"/>
      <c r="CY545" s="55"/>
      <c r="CZ545" s="55"/>
      <c r="DA545" s="55"/>
      <c r="DB545" s="55"/>
      <c r="DC545" s="55"/>
      <c r="DD545" s="55"/>
      <c r="DE545" s="55"/>
      <c r="DF545" s="55"/>
      <c r="DG545" s="55"/>
      <c r="DH545" s="55"/>
      <c r="DI545" s="55"/>
    </row>
    <row r="546" spans="1:113" x14ac:dyDescent="0.25">
      <c r="A546" s="152">
        <v>3</v>
      </c>
      <c r="B546" s="213" t="s">
        <v>791</v>
      </c>
      <c r="C546" s="43">
        <v>15000</v>
      </c>
      <c r="D546" s="233">
        <v>1100</v>
      </c>
      <c r="E546" s="43">
        <v>0</v>
      </c>
      <c r="F546" s="59">
        <f>5-5</f>
        <v>0</v>
      </c>
      <c r="G546" s="139">
        <f t="shared" si="159"/>
        <v>0</v>
      </c>
      <c r="H546" s="139">
        <f>(200-200+100-100)+200-200</f>
        <v>0</v>
      </c>
      <c r="I546" s="56">
        <f t="shared" si="160"/>
        <v>0</v>
      </c>
      <c r="J546" s="56">
        <f t="shared" si="161"/>
        <v>0</v>
      </c>
      <c r="K546" s="57">
        <f t="shared" si="162"/>
        <v>0</v>
      </c>
      <c r="L546"/>
      <c r="M546" s="314">
        <f t="shared" si="158"/>
        <v>0</v>
      </c>
      <c r="N546" s="310"/>
      <c r="O546" s="315"/>
      <c r="P546" s="315"/>
      <c r="Q546" s="315"/>
      <c r="R546" s="315"/>
      <c r="S546" s="55"/>
      <c r="T546" s="55"/>
      <c r="U546" s="55"/>
      <c r="V546" s="55"/>
      <c r="W546" s="55"/>
      <c r="X546" s="55"/>
      <c r="Y546" s="55"/>
      <c r="Z546" s="55"/>
      <c r="AA546" s="55"/>
      <c r="AB546" s="55"/>
      <c r="AC546" s="55"/>
      <c r="AD546" s="55"/>
      <c r="AE546" s="55"/>
      <c r="AF546" s="55"/>
      <c r="AG546" s="55"/>
      <c r="AH546" s="55"/>
      <c r="AI546" s="55"/>
      <c r="AJ546" s="55"/>
      <c r="AK546" s="55"/>
      <c r="AL546" s="55"/>
      <c r="AM546" s="55"/>
      <c r="AN546" s="55"/>
      <c r="AO546" s="55"/>
      <c r="AP546" s="55"/>
      <c r="AQ546" s="55"/>
      <c r="AR546" s="55"/>
      <c r="AS546" s="55"/>
      <c r="AT546" s="55"/>
      <c r="AU546" s="55"/>
      <c r="AV546" s="55"/>
      <c r="AW546" s="55"/>
      <c r="AX546" s="55"/>
      <c r="AY546" s="55"/>
      <c r="AZ546" s="55"/>
      <c r="BA546" s="55"/>
      <c r="BB546" s="55"/>
      <c r="BC546" s="55"/>
      <c r="BD546" s="55"/>
      <c r="BE546" s="55"/>
      <c r="BF546" s="55"/>
      <c r="BG546" s="55"/>
      <c r="BH546" s="55"/>
      <c r="BI546" s="55"/>
      <c r="BJ546" s="55"/>
      <c r="BK546" s="55"/>
      <c r="BL546" s="55"/>
      <c r="BM546" s="55"/>
      <c r="BN546" s="55"/>
      <c r="BO546" s="55"/>
      <c r="BP546" s="55"/>
      <c r="BQ546" s="55"/>
      <c r="BR546" s="55"/>
      <c r="BS546" s="55"/>
      <c r="BT546" s="55"/>
      <c r="BU546" s="55"/>
      <c r="BV546" s="55"/>
      <c r="BW546" s="55"/>
      <c r="BX546" s="55"/>
      <c r="BY546" s="55"/>
      <c r="BZ546" s="55"/>
      <c r="CA546" s="55"/>
      <c r="CB546" s="55"/>
      <c r="CC546" s="55"/>
      <c r="CD546" s="55"/>
      <c r="CE546" s="55"/>
      <c r="CF546" s="55"/>
      <c r="CG546" s="55"/>
      <c r="CH546" s="55"/>
      <c r="CI546" s="55"/>
      <c r="CJ546" s="55"/>
      <c r="CK546" s="55"/>
      <c r="CL546" s="55"/>
      <c r="CM546" s="55"/>
      <c r="CN546" s="55"/>
      <c r="CO546" s="55"/>
      <c r="CP546" s="55"/>
      <c r="CQ546" s="55"/>
      <c r="CR546" s="55"/>
      <c r="CS546" s="55"/>
      <c r="CT546" s="55"/>
      <c r="CU546" s="55"/>
      <c r="CV546" s="55"/>
      <c r="CW546" s="55"/>
      <c r="CX546" s="55"/>
      <c r="CY546" s="55"/>
      <c r="CZ546" s="55"/>
      <c r="DA546" s="55"/>
      <c r="DB546" s="55"/>
      <c r="DC546" s="55"/>
      <c r="DD546" s="55"/>
      <c r="DE546" s="55"/>
      <c r="DF546" s="55"/>
      <c r="DG546" s="55"/>
      <c r="DH546" s="55"/>
      <c r="DI546" s="55"/>
    </row>
    <row r="547" spans="1:113" x14ac:dyDescent="0.25">
      <c r="A547" s="152">
        <v>4</v>
      </c>
      <c r="B547" s="60" t="s">
        <v>792</v>
      </c>
      <c r="C547" s="43">
        <v>12000</v>
      </c>
      <c r="D547" s="233">
        <v>3564</v>
      </c>
      <c r="E547" s="43">
        <v>296</v>
      </c>
      <c r="F547" s="59"/>
      <c r="G547" s="139">
        <f t="shared" si="159"/>
        <v>296</v>
      </c>
      <c r="H547" s="139">
        <f>1-1+3-3</f>
        <v>0</v>
      </c>
      <c r="I547" s="56">
        <f t="shared" si="160"/>
        <v>296</v>
      </c>
      <c r="J547" s="56">
        <f t="shared" si="161"/>
        <v>3552000</v>
      </c>
      <c r="K547" s="57">
        <f t="shared" si="162"/>
        <v>1054944</v>
      </c>
      <c r="L547"/>
      <c r="M547" s="314">
        <f t="shared" si="158"/>
        <v>0</v>
      </c>
      <c r="N547" s="310"/>
      <c r="O547" s="315"/>
      <c r="P547" s="315"/>
      <c r="Q547" s="315"/>
      <c r="R547" s="315"/>
      <c r="S547" s="55"/>
      <c r="T547" s="55"/>
      <c r="U547" s="55"/>
      <c r="V547" s="55"/>
      <c r="W547" s="55"/>
      <c r="X547" s="55"/>
      <c r="Y547" s="55"/>
      <c r="Z547" s="55"/>
      <c r="AA547" s="55"/>
      <c r="AB547" s="55"/>
      <c r="AC547" s="55"/>
      <c r="AD547" s="55"/>
      <c r="AE547" s="55"/>
      <c r="AF547" s="55"/>
      <c r="AG547" s="55"/>
      <c r="AH547" s="55"/>
      <c r="AI547" s="55"/>
      <c r="AJ547" s="55"/>
      <c r="AK547" s="55"/>
      <c r="AL547" s="55"/>
      <c r="AM547" s="55"/>
      <c r="AN547" s="55"/>
      <c r="AO547" s="55"/>
      <c r="AP547" s="55"/>
      <c r="AQ547" s="55"/>
      <c r="AR547" s="55"/>
      <c r="AS547" s="55"/>
      <c r="AT547" s="55"/>
      <c r="AU547" s="55"/>
      <c r="AV547" s="55"/>
      <c r="AW547" s="55"/>
      <c r="AX547" s="55"/>
      <c r="AY547" s="55"/>
      <c r="AZ547" s="55"/>
      <c r="BA547" s="55"/>
      <c r="BB547" s="55"/>
      <c r="BC547" s="55"/>
      <c r="BD547" s="55"/>
      <c r="BE547" s="55"/>
      <c r="BF547" s="55"/>
      <c r="BG547" s="55"/>
      <c r="BH547" s="55"/>
      <c r="BI547" s="55"/>
      <c r="BJ547" s="55"/>
      <c r="BK547" s="55"/>
      <c r="BL547" s="55"/>
      <c r="BM547" s="55"/>
      <c r="BN547" s="55"/>
      <c r="BO547" s="55"/>
      <c r="BP547" s="55"/>
      <c r="BQ547" s="55"/>
      <c r="BR547" s="55"/>
      <c r="BS547" s="55"/>
      <c r="BT547" s="55"/>
      <c r="BU547" s="55"/>
      <c r="BV547" s="55"/>
      <c r="BW547" s="55"/>
      <c r="BX547" s="55"/>
      <c r="BY547" s="55"/>
      <c r="BZ547" s="55"/>
      <c r="CA547" s="55"/>
      <c r="CB547" s="55"/>
      <c r="CC547" s="55"/>
      <c r="CD547" s="55"/>
      <c r="CE547" s="55"/>
      <c r="CF547" s="55"/>
      <c r="CG547" s="55"/>
      <c r="CH547" s="55"/>
      <c r="CI547" s="55"/>
      <c r="CJ547" s="55"/>
      <c r="CK547" s="55"/>
      <c r="CL547" s="55"/>
      <c r="CM547" s="55"/>
      <c r="CN547" s="55"/>
      <c r="CO547" s="55"/>
      <c r="CP547" s="55"/>
      <c r="CQ547" s="55"/>
      <c r="CR547" s="55"/>
      <c r="CS547" s="55"/>
      <c r="CT547" s="55"/>
      <c r="CU547" s="55"/>
      <c r="CV547" s="55"/>
      <c r="CW547" s="55"/>
      <c r="CX547" s="55"/>
      <c r="CY547" s="55"/>
      <c r="CZ547" s="55"/>
      <c r="DA547" s="55"/>
      <c r="DB547" s="55"/>
      <c r="DC547" s="55"/>
      <c r="DD547" s="55"/>
      <c r="DE547" s="55"/>
      <c r="DF547" s="55"/>
      <c r="DG547" s="55"/>
      <c r="DH547" s="55"/>
      <c r="DI547" s="55"/>
    </row>
    <row r="548" spans="1:113" x14ac:dyDescent="0.25">
      <c r="A548" s="152">
        <v>5</v>
      </c>
      <c r="B548" s="213" t="s">
        <v>793</v>
      </c>
      <c r="C548" s="43">
        <v>13000</v>
      </c>
      <c r="D548" s="233">
        <v>8714</v>
      </c>
      <c r="E548" s="43">
        <v>447</v>
      </c>
      <c r="F548" s="59">
        <f>2500-2500</f>
        <v>0</v>
      </c>
      <c r="G548" s="139">
        <f t="shared" si="159"/>
        <v>447</v>
      </c>
      <c r="H548" s="139">
        <f>50-50+3-3</f>
        <v>0</v>
      </c>
      <c r="I548" s="56">
        <f t="shared" si="160"/>
        <v>447</v>
      </c>
      <c r="J548" s="56">
        <f t="shared" si="161"/>
        <v>5811000</v>
      </c>
      <c r="K548" s="57">
        <f t="shared" si="162"/>
        <v>3895158</v>
      </c>
      <c r="L548"/>
      <c r="M548" s="314">
        <f t="shared" si="158"/>
        <v>0</v>
      </c>
      <c r="N548" s="310"/>
      <c r="O548" s="315"/>
      <c r="P548" s="315"/>
      <c r="Q548" s="315"/>
      <c r="R548" s="315"/>
      <c r="S548" s="55"/>
      <c r="T548" s="55"/>
      <c r="U548" s="55"/>
      <c r="V548" s="55"/>
      <c r="W548" s="55"/>
      <c r="X548" s="55"/>
      <c r="Y548" s="55"/>
      <c r="Z548" s="55"/>
      <c r="AA548" s="55"/>
      <c r="AB548" s="55"/>
      <c r="AC548" s="55"/>
      <c r="AD548" s="55"/>
      <c r="AE548" s="55"/>
      <c r="AF548" s="55"/>
      <c r="AG548" s="55"/>
      <c r="AH548" s="55"/>
      <c r="AI548" s="55"/>
      <c r="AJ548" s="55"/>
      <c r="AK548" s="55"/>
      <c r="AL548" s="55"/>
      <c r="AM548" s="55"/>
      <c r="AN548" s="55"/>
      <c r="AO548" s="55"/>
      <c r="AP548" s="55"/>
      <c r="AQ548" s="55"/>
      <c r="AR548" s="55"/>
      <c r="AS548" s="55"/>
      <c r="AT548" s="55"/>
      <c r="AU548" s="55"/>
      <c r="AV548" s="55"/>
      <c r="AW548" s="55"/>
      <c r="AX548" s="55"/>
      <c r="AY548" s="55"/>
      <c r="AZ548" s="55"/>
      <c r="BA548" s="55"/>
      <c r="BB548" s="55"/>
      <c r="BC548" s="55"/>
      <c r="BD548" s="55"/>
      <c r="BE548" s="55"/>
      <c r="BF548" s="55"/>
      <c r="BG548" s="55"/>
      <c r="BH548" s="55"/>
      <c r="BI548" s="55"/>
      <c r="BJ548" s="55"/>
      <c r="BK548" s="55"/>
      <c r="BL548" s="55"/>
      <c r="BM548" s="55"/>
      <c r="BN548" s="55"/>
      <c r="BO548" s="55"/>
      <c r="BP548" s="55"/>
      <c r="BQ548" s="55"/>
      <c r="BR548" s="55"/>
      <c r="BS548" s="55"/>
      <c r="BT548" s="55"/>
      <c r="BU548" s="55"/>
      <c r="BV548" s="55"/>
      <c r="BW548" s="55"/>
      <c r="BX548" s="55"/>
      <c r="BY548" s="55"/>
      <c r="BZ548" s="55"/>
      <c r="CA548" s="55"/>
      <c r="CB548" s="55"/>
      <c r="CC548" s="55"/>
      <c r="CD548" s="55"/>
      <c r="CE548" s="55"/>
      <c r="CF548" s="55"/>
      <c r="CG548" s="55"/>
      <c r="CH548" s="55"/>
      <c r="CI548" s="55"/>
      <c r="CJ548" s="55"/>
      <c r="CK548" s="55"/>
      <c r="CL548" s="55"/>
      <c r="CM548" s="55"/>
      <c r="CN548" s="55"/>
      <c r="CO548" s="55"/>
      <c r="CP548" s="55"/>
      <c r="CQ548" s="55"/>
      <c r="CR548" s="55"/>
      <c r="CS548" s="55"/>
      <c r="CT548" s="55"/>
      <c r="CU548" s="55"/>
      <c r="CV548" s="55"/>
      <c r="CW548" s="55"/>
      <c r="CX548" s="55"/>
      <c r="CY548" s="55"/>
      <c r="CZ548" s="55"/>
      <c r="DA548" s="55"/>
      <c r="DB548" s="55"/>
      <c r="DC548" s="55"/>
      <c r="DD548" s="55"/>
      <c r="DE548" s="55"/>
      <c r="DF548" s="55"/>
      <c r="DG548" s="55"/>
      <c r="DH548" s="55"/>
      <c r="DI548" s="55"/>
    </row>
    <row r="549" spans="1:113" x14ac:dyDescent="0.25">
      <c r="A549" s="152">
        <v>6</v>
      </c>
      <c r="B549" s="213" t="s">
        <v>796</v>
      </c>
      <c r="C549" s="43">
        <v>12000</v>
      </c>
      <c r="D549" s="233">
        <v>3856.7</v>
      </c>
      <c r="E549" s="43">
        <v>120</v>
      </c>
      <c r="F549" s="59">
        <f>1200+500-1700+304-304</f>
        <v>0</v>
      </c>
      <c r="G549" s="139">
        <f t="shared" si="159"/>
        <v>120</v>
      </c>
      <c r="H549" s="139">
        <f>70+10+900+160-1140+304-304+20-20</f>
        <v>0</v>
      </c>
      <c r="I549" s="56">
        <f t="shared" si="160"/>
        <v>120</v>
      </c>
      <c r="J549" s="56">
        <f t="shared" si="161"/>
        <v>1440000</v>
      </c>
      <c r="K549" s="57">
        <f t="shared" si="162"/>
        <v>462804</v>
      </c>
      <c r="L549"/>
      <c r="M549" s="314">
        <f t="shared" si="158"/>
        <v>0</v>
      </c>
      <c r="N549" s="310"/>
      <c r="O549" s="315"/>
      <c r="P549" s="315"/>
      <c r="Q549" s="315"/>
      <c r="R549" s="315"/>
      <c r="S549" s="55"/>
      <c r="T549" s="55"/>
      <c r="U549" s="55"/>
      <c r="V549" s="55"/>
      <c r="W549" s="55"/>
      <c r="X549" s="55"/>
      <c r="Y549" s="55"/>
      <c r="Z549" s="55"/>
      <c r="AA549" s="55"/>
      <c r="AB549" s="55"/>
      <c r="AC549" s="55"/>
      <c r="AD549" s="55"/>
      <c r="AE549" s="55"/>
      <c r="AF549" s="55"/>
      <c r="AG549" s="55"/>
      <c r="AH549" s="55"/>
      <c r="AI549" s="55"/>
      <c r="AJ549" s="55"/>
      <c r="AK549" s="55"/>
      <c r="AL549" s="55"/>
      <c r="AM549" s="55"/>
      <c r="AN549" s="55"/>
      <c r="AO549" s="55"/>
      <c r="AP549" s="55"/>
      <c r="AQ549" s="55"/>
      <c r="AR549" s="55"/>
      <c r="AS549" s="55"/>
      <c r="AT549" s="55"/>
      <c r="AU549" s="55"/>
      <c r="AV549" s="55"/>
      <c r="AW549" s="55"/>
      <c r="AX549" s="55"/>
      <c r="AY549" s="55"/>
      <c r="AZ549" s="55"/>
      <c r="BA549" s="55"/>
      <c r="BB549" s="55"/>
      <c r="BC549" s="55"/>
      <c r="BD549" s="55"/>
      <c r="BE549" s="55"/>
      <c r="BF549" s="55"/>
      <c r="BG549" s="55"/>
      <c r="BH549" s="55"/>
      <c r="BI549" s="55"/>
      <c r="BJ549" s="55"/>
      <c r="BK549" s="55"/>
      <c r="BL549" s="55"/>
      <c r="BM549" s="55"/>
      <c r="BN549" s="55"/>
      <c r="BO549" s="55"/>
      <c r="BP549" s="55"/>
      <c r="BQ549" s="55"/>
      <c r="BR549" s="55"/>
      <c r="BS549" s="55"/>
      <c r="BT549" s="55"/>
      <c r="BU549" s="55"/>
      <c r="BV549" s="55"/>
      <c r="BW549" s="55"/>
      <c r="BX549" s="55"/>
      <c r="BY549" s="55"/>
      <c r="BZ549" s="55"/>
      <c r="CA549" s="55"/>
      <c r="CB549" s="55"/>
      <c r="CC549" s="55"/>
      <c r="CD549" s="55"/>
      <c r="CE549" s="55"/>
      <c r="CF549" s="55"/>
      <c r="CG549" s="55"/>
      <c r="CH549" s="55"/>
      <c r="CI549" s="55"/>
      <c r="CJ549" s="55"/>
      <c r="CK549" s="55"/>
      <c r="CL549" s="55"/>
      <c r="CM549" s="55"/>
      <c r="CN549" s="55"/>
      <c r="CO549" s="55"/>
      <c r="CP549" s="55"/>
      <c r="CQ549" s="55"/>
      <c r="CR549" s="55"/>
      <c r="CS549" s="55"/>
      <c r="CT549" s="55"/>
      <c r="CU549" s="55"/>
      <c r="CV549" s="55"/>
      <c r="CW549" s="55"/>
      <c r="CX549" s="55"/>
      <c r="CY549" s="55"/>
      <c r="CZ549" s="55"/>
      <c r="DA549" s="55"/>
      <c r="DB549" s="55"/>
      <c r="DC549" s="55"/>
      <c r="DD549" s="55"/>
      <c r="DE549" s="55"/>
      <c r="DF549" s="55"/>
      <c r="DG549" s="55"/>
      <c r="DH549" s="55"/>
      <c r="DI549" s="55"/>
    </row>
    <row r="550" spans="1:113" x14ac:dyDescent="0.25">
      <c r="A550" s="152">
        <v>7</v>
      </c>
      <c r="B550" s="213" t="s">
        <v>800</v>
      </c>
      <c r="C550" s="43">
        <v>15000</v>
      </c>
      <c r="D550" s="233">
        <v>0</v>
      </c>
      <c r="E550" s="43">
        <v>0</v>
      </c>
      <c r="F550" s="59"/>
      <c r="G550" s="139">
        <f t="shared" si="159"/>
        <v>0</v>
      </c>
      <c r="H550" s="139"/>
      <c r="I550" s="56">
        <f t="shared" si="160"/>
        <v>0</v>
      </c>
      <c r="J550" s="56">
        <f t="shared" si="161"/>
        <v>0</v>
      </c>
      <c r="K550" s="57">
        <f t="shared" si="162"/>
        <v>0</v>
      </c>
      <c r="L550"/>
      <c r="M550" s="314">
        <f t="shared" si="158"/>
        <v>0</v>
      </c>
      <c r="N550" s="310"/>
      <c r="O550" s="315"/>
      <c r="P550" s="315"/>
      <c r="Q550" s="315"/>
      <c r="R550" s="315"/>
      <c r="S550" s="55"/>
      <c r="T550" s="55"/>
      <c r="U550" s="55"/>
      <c r="V550" s="55"/>
      <c r="W550" s="55"/>
      <c r="X550" s="55"/>
      <c r="Y550" s="55"/>
      <c r="Z550" s="55"/>
      <c r="AA550" s="55"/>
      <c r="AB550" s="55"/>
      <c r="AC550" s="55"/>
      <c r="AD550" s="55"/>
      <c r="AE550" s="55"/>
      <c r="AF550" s="55"/>
      <c r="AG550" s="55"/>
      <c r="AH550" s="55"/>
      <c r="AI550" s="55"/>
      <c r="AJ550" s="55"/>
      <c r="AK550" s="55"/>
      <c r="AL550" s="55"/>
      <c r="AM550" s="55"/>
      <c r="AN550" s="55"/>
      <c r="AO550" s="55"/>
      <c r="AP550" s="55"/>
      <c r="AQ550" s="55"/>
      <c r="AR550" s="55"/>
      <c r="AS550" s="55"/>
      <c r="AT550" s="55"/>
      <c r="AU550" s="55"/>
      <c r="AV550" s="55"/>
      <c r="AW550" s="55"/>
      <c r="AX550" s="55"/>
      <c r="AY550" s="55"/>
      <c r="AZ550" s="55"/>
      <c r="BA550" s="55"/>
      <c r="BB550" s="55"/>
      <c r="BC550" s="55"/>
      <c r="BD550" s="55"/>
      <c r="BE550" s="55"/>
      <c r="BF550" s="55"/>
      <c r="BG550" s="55"/>
      <c r="BH550" s="55"/>
      <c r="BI550" s="55"/>
      <c r="BJ550" s="55"/>
      <c r="BK550" s="55"/>
      <c r="BL550" s="55"/>
      <c r="BM550" s="55"/>
      <c r="BN550" s="55"/>
      <c r="BO550" s="55"/>
      <c r="BP550" s="55"/>
      <c r="BQ550" s="55"/>
      <c r="BR550" s="55"/>
      <c r="BS550" s="55"/>
      <c r="BT550" s="55"/>
      <c r="BU550" s="55"/>
      <c r="BV550" s="55"/>
      <c r="BW550" s="55"/>
      <c r="BX550" s="55"/>
      <c r="BY550" s="55"/>
      <c r="BZ550" s="55"/>
      <c r="CA550" s="55"/>
      <c r="CB550" s="55"/>
      <c r="CC550" s="55"/>
      <c r="CD550" s="55"/>
      <c r="CE550" s="55"/>
      <c r="CF550" s="55"/>
      <c r="CG550" s="55"/>
      <c r="CH550" s="55"/>
      <c r="CI550" s="55"/>
      <c r="CJ550" s="55"/>
      <c r="CK550" s="55"/>
      <c r="CL550" s="55"/>
      <c r="CM550" s="55"/>
      <c r="CN550" s="55"/>
      <c r="CO550" s="55"/>
      <c r="CP550" s="55"/>
      <c r="CQ550" s="55"/>
      <c r="CR550" s="55"/>
      <c r="CS550" s="55"/>
      <c r="CT550" s="55"/>
      <c r="CU550" s="55"/>
      <c r="CV550" s="55"/>
      <c r="CW550" s="55"/>
      <c r="CX550" s="55"/>
      <c r="CY550" s="55"/>
      <c r="CZ550" s="55"/>
      <c r="DA550" s="55"/>
      <c r="DB550" s="55"/>
      <c r="DC550" s="55"/>
      <c r="DD550" s="55"/>
      <c r="DE550" s="55"/>
      <c r="DF550" s="55"/>
      <c r="DG550" s="55"/>
      <c r="DH550" s="55"/>
      <c r="DI550" s="55"/>
    </row>
    <row r="551" spans="1:113" x14ac:dyDescent="0.25">
      <c r="A551" s="152">
        <v>8</v>
      </c>
      <c r="B551" s="213" t="s">
        <v>809</v>
      </c>
      <c r="C551" s="43">
        <v>7500</v>
      </c>
      <c r="D551" s="233">
        <v>3099.59</v>
      </c>
      <c r="E551" s="43">
        <v>0</v>
      </c>
      <c r="F551" s="44">
        <f>1000-1000</f>
        <v>0</v>
      </c>
      <c r="G551" s="139">
        <f t="shared" si="159"/>
        <v>0</v>
      </c>
      <c r="H551" s="139">
        <f>1000-1000</f>
        <v>0</v>
      </c>
      <c r="I551" s="56">
        <f t="shared" si="160"/>
        <v>0</v>
      </c>
      <c r="J551" s="56">
        <f t="shared" si="161"/>
        <v>0</v>
      </c>
      <c r="K551" s="57">
        <f t="shared" si="162"/>
        <v>0</v>
      </c>
      <c r="L551"/>
      <c r="M551" s="314">
        <f t="shared" si="158"/>
        <v>0</v>
      </c>
      <c r="N551" s="310"/>
      <c r="O551" s="315"/>
      <c r="P551" s="315"/>
      <c r="Q551" s="315"/>
      <c r="R551" s="315"/>
      <c r="S551" s="55"/>
      <c r="T551" s="55"/>
      <c r="U551" s="55"/>
      <c r="V551" s="55"/>
      <c r="W551" s="55"/>
      <c r="X551" s="55"/>
      <c r="Y551" s="55"/>
      <c r="Z551" s="55"/>
      <c r="AA551" s="55"/>
      <c r="AB551" s="55"/>
      <c r="AC551" s="55"/>
      <c r="AD551" s="55"/>
      <c r="AE551" s="55"/>
      <c r="AF551" s="55"/>
      <c r="AG551" s="55"/>
      <c r="AH551" s="55"/>
      <c r="AI551" s="55"/>
      <c r="AJ551" s="55"/>
      <c r="AK551" s="55"/>
      <c r="AL551" s="55"/>
      <c r="AM551" s="55"/>
      <c r="AN551" s="55"/>
      <c r="AO551" s="55"/>
      <c r="AP551" s="55"/>
      <c r="AQ551" s="55"/>
      <c r="AR551" s="55"/>
      <c r="AS551" s="55"/>
      <c r="AT551" s="55"/>
      <c r="AU551" s="55"/>
      <c r="AV551" s="55"/>
      <c r="AW551" s="55"/>
      <c r="AX551" s="55"/>
      <c r="AY551" s="55"/>
      <c r="AZ551" s="55"/>
      <c r="BA551" s="55"/>
      <c r="BB551" s="55"/>
      <c r="BC551" s="55"/>
      <c r="BD551" s="55"/>
      <c r="BE551" s="55"/>
      <c r="BF551" s="55"/>
      <c r="BG551" s="55"/>
      <c r="BH551" s="55"/>
      <c r="BI551" s="55"/>
      <c r="BJ551" s="55"/>
      <c r="BK551" s="55"/>
      <c r="BL551" s="55"/>
      <c r="BM551" s="55"/>
      <c r="BN551" s="55"/>
      <c r="BO551" s="55"/>
      <c r="BP551" s="55"/>
      <c r="BQ551" s="55"/>
      <c r="BR551" s="55"/>
      <c r="BS551" s="55"/>
      <c r="BT551" s="55"/>
      <c r="BU551" s="55"/>
      <c r="BV551" s="55"/>
      <c r="BW551" s="55"/>
      <c r="BX551" s="55"/>
      <c r="BY551" s="55"/>
      <c r="BZ551" s="55"/>
      <c r="CA551" s="55"/>
      <c r="CB551" s="55"/>
      <c r="CC551" s="55"/>
      <c r="CD551" s="55"/>
      <c r="CE551" s="55"/>
      <c r="CF551" s="55"/>
      <c r="CG551" s="55"/>
      <c r="CH551" s="55"/>
      <c r="CI551" s="55"/>
      <c r="CJ551" s="55"/>
      <c r="CK551" s="55"/>
      <c r="CL551" s="55"/>
      <c r="CM551" s="55"/>
      <c r="CN551" s="55"/>
      <c r="CO551" s="55"/>
      <c r="CP551" s="55"/>
      <c r="CQ551" s="55"/>
      <c r="CR551" s="55"/>
      <c r="CS551" s="55"/>
      <c r="CT551" s="55"/>
      <c r="CU551" s="55"/>
      <c r="CV551" s="55"/>
      <c r="CW551" s="55"/>
      <c r="CX551" s="55"/>
      <c r="CY551" s="55"/>
      <c r="CZ551" s="55"/>
      <c r="DA551" s="55"/>
      <c r="DB551" s="55"/>
      <c r="DC551" s="55"/>
      <c r="DD551" s="55"/>
      <c r="DE551" s="55"/>
      <c r="DF551" s="55"/>
      <c r="DG551" s="55"/>
      <c r="DH551" s="55"/>
      <c r="DI551" s="55"/>
    </row>
    <row r="552" spans="1:113" x14ac:dyDescent="0.25">
      <c r="A552" s="152">
        <v>9</v>
      </c>
      <c r="B552" s="213" t="s">
        <v>810</v>
      </c>
      <c r="C552" s="43">
        <v>7500</v>
      </c>
      <c r="D552" s="233">
        <v>3099.59</v>
      </c>
      <c r="E552" s="43">
        <v>0</v>
      </c>
      <c r="F552" s="59">
        <f>1000-1000</f>
        <v>0</v>
      </c>
      <c r="G552" s="139">
        <f t="shared" si="159"/>
        <v>0</v>
      </c>
      <c r="H552" s="139">
        <f>1000-1000</f>
        <v>0</v>
      </c>
      <c r="I552" s="56">
        <f t="shared" si="160"/>
        <v>0</v>
      </c>
      <c r="J552" s="56">
        <f t="shared" si="161"/>
        <v>0</v>
      </c>
      <c r="K552" s="57">
        <f t="shared" si="162"/>
        <v>0</v>
      </c>
      <c r="L552"/>
      <c r="M552" s="314">
        <f t="shared" si="158"/>
        <v>0</v>
      </c>
      <c r="N552" s="310"/>
      <c r="O552" s="315"/>
      <c r="P552" s="315"/>
      <c r="Q552" s="315"/>
      <c r="R552" s="315"/>
      <c r="S552" s="55"/>
      <c r="T552" s="55"/>
      <c r="U552" s="55"/>
      <c r="V552" s="55"/>
      <c r="W552" s="55"/>
      <c r="X552" s="55"/>
      <c r="Y552" s="55"/>
      <c r="Z552" s="55"/>
      <c r="AA552" s="55"/>
      <c r="AB552" s="55"/>
      <c r="AC552" s="55"/>
      <c r="AD552" s="55"/>
      <c r="AE552" s="55"/>
      <c r="AF552" s="55"/>
      <c r="AG552" s="55"/>
      <c r="AH552" s="55"/>
      <c r="AI552" s="55"/>
      <c r="AJ552" s="55"/>
      <c r="AK552" s="55"/>
      <c r="AL552" s="55"/>
      <c r="AM552" s="55"/>
      <c r="AN552" s="55"/>
      <c r="AO552" s="55"/>
      <c r="AP552" s="55"/>
      <c r="AQ552" s="55"/>
      <c r="AR552" s="55"/>
      <c r="AS552" s="55"/>
      <c r="AT552" s="55"/>
      <c r="AU552" s="55"/>
      <c r="AV552" s="55"/>
      <c r="AW552" s="55"/>
      <c r="AX552" s="55"/>
      <c r="AY552" s="55"/>
      <c r="AZ552" s="55"/>
      <c r="BA552" s="55"/>
      <c r="BB552" s="55"/>
      <c r="BC552" s="55"/>
      <c r="BD552" s="55"/>
      <c r="BE552" s="55"/>
      <c r="BF552" s="55"/>
      <c r="BG552" s="55"/>
      <c r="BH552" s="55"/>
      <c r="BI552" s="55"/>
      <c r="BJ552" s="55"/>
      <c r="BK552" s="55"/>
      <c r="BL552" s="55"/>
      <c r="BM552" s="55"/>
      <c r="BN552" s="55"/>
      <c r="BO552" s="55"/>
      <c r="BP552" s="55"/>
      <c r="BQ552" s="55"/>
      <c r="BR552" s="55"/>
      <c r="BS552" s="55"/>
      <c r="BT552" s="55"/>
      <c r="BU552" s="55"/>
      <c r="BV552" s="55"/>
      <c r="BW552" s="55"/>
      <c r="BX552" s="55"/>
      <c r="BY552" s="55"/>
      <c r="BZ552" s="55"/>
      <c r="CA552" s="55"/>
      <c r="CB552" s="55"/>
      <c r="CC552" s="55"/>
      <c r="CD552" s="55"/>
      <c r="CE552" s="55"/>
      <c r="CF552" s="55"/>
      <c r="CG552" s="55"/>
      <c r="CH552" s="55"/>
      <c r="CI552" s="55"/>
      <c r="CJ552" s="55"/>
      <c r="CK552" s="55"/>
      <c r="CL552" s="55"/>
      <c r="CM552" s="55"/>
      <c r="CN552" s="55"/>
      <c r="CO552" s="55"/>
      <c r="CP552" s="55"/>
      <c r="CQ552" s="55"/>
      <c r="CR552" s="55"/>
      <c r="CS552" s="55"/>
      <c r="CT552" s="55"/>
      <c r="CU552" s="55"/>
      <c r="CV552" s="55"/>
      <c r="CW552" s="55"/>
      <c r="CX552" s="55"/>
      <c r="CY552" s="55"/>
      <c r="CZ552" s="55"/>
      <c r="DA552" s="55"/>
      <c r="DB552" s="55"/>
      <c r="DC552" s="55"/>
      <c r="DD552" s="55"/>
      <c r="DE552" s="55"/>
      <c r="DF552" s="55"/>
      <c r="DG552" s="55"/>
      <c r="DH552" s="55"/>
      <c r="DI552" s="55"/>
    </row>
    <row r="553" spans="1:113" x14ac:dyDescent="0.25">
      <c r="A553" s="152">
        <v>10</v>
      </c>
      <c r="B553" s="213" t="s">
        <v>802</v>
      </c>
      <c r="C553" s="43">
        <v>24000</v>
      </c>
      <c r="D553" s="233">
        <v>5293.4</v>
      </c>
      <c r="E553" s="43">
        <v>0</v>
      </c>
      <c r="F553" s="229">
        <f>500-500</f>
        <v>0</v>
      </c>
      <c r="G553" s="139">
        <f t="shared" si="159"/>
        <v>0</v>
      </c>
      <c r="H553" s="139">
        <f>70+350-70-350</f>
        <v>0</v>
      </c>
      <c r="I553" s="56">
        <f t="shared" si="160"/>
        <v>0</v>
      </c>
      <c r="J553" s="56">
        <f t="shared" si="161"/>
        <v>0</v>
      </c>
      <c r="K553" s="57">
        <f t="shared" si="162"/>
        <v>0</v>
      </c>
      <c r="L553"/>
      <c r="M553" s="314">
        <f t="shared" si="158"/>
        <v>0</v>
      </c>
      <c r="N553" s="310"/>
      <c r="O553" s="315"/>
      <c r="P553" s="315"/>
      <c r="Q553" s="315"/>
      <c r="R553" s="315"/>
      <c r="S553" s="55"/>
      <c r="T553" s="55"/>
      <c r="U553" s="55"/>
      <c r="V553" s="55"/>
      <c r="W553" s="55"/>
      <c r="X553" s="55"/>
      <c r="Y553" s="55"/>
      <c r="Z553" s="55"/>
      <c r="AA553" s="55"/>
      <c r="AB553" s="55"/>
      <c r="AC553" s="55"/>
      <c r="AD553" s="55"/>
      <c r="AE553" s="55"/>
      <c r="AF553" s="55"/>
      <c r="AG553" s="55"/>
      <c r="AH553" s="55"/>
      <c r="AI553" s="55"/>
      <c r="AJ553" s="55"/>
      <c r="AK553" s="55"/>
      <c r="AL553" s="55"/>
      <c r="AM553" s="55"/>
      <c r="AN553" s="55"/>
      <c r="AO553" s="55"/>
      <c r="AP553" s="55"/>
      <c r="AQ553" s="55"/>
      <c r="AR553" s="55"/>
      <c r="AS553" s="55"/>
      <c r="AT553" s="55"/>
      <c r="AU553" s="55"/>
      <c r="AV553" s="55"/>
      <c r="AW553" s="55"/>
      <c r="AX553" s="55"/>
      <c r="AY553" s="55"/>
      <c r="AZ553" s="55"/>
      <c r="BA553" s="55"/>
      <c r="BB553" s="55"/>
      <c r="BC553" s="55"/>
      <c r="BD553" s="55"/>
      <c r="BE553" s="55"/>
      <c r="BF553" s="55"/>
      <c r="BG553" s="55"/>
      <c r="BH553" s="55"/>
      <c r="BI553" s="55"/>
      <c r="BJ553" s="55"/>
      <c r="BK553" s="55"/>
      <c r="BL553" s="55"/>
      <c r="BM553" s="55"/>
      <c r="BN553" s="55"/>
      <c r="BO553" s="55"/>
      <c r="BP553" s="55"/>
      <c r="BQ553" s="55"/>
      <c r="BR553" s="55"/>
      <c r="BS553" s="55"/>
      <c r="BT553" s="55"/>
      <c r="BU553" s="55"/>
      <c r="BV553" s="55"/>
      <c r="BW553" s="55"/>
      <c r="BX553" s="55"/>
      <c r="BY553" s="55"/>
      <c r="BZ553" s="55"/>
      <c r="CA553" s="55"/>
      <c r="CB553" s="55"/>
      <c r="CC553" s="55"/>
      <c r="CD553" s="55"/>
      <c r="CE553" s="55"/>
      <c r="CF553" s="55"/>
      <c r="CG553" s="55"/>
      <c r="CH553" s="55"/>
      <c r="CI553" s="55"/>
      <c r="CJ553" s="55"/>
      <c r="CK553" s="55"/>
      <c r="CL553" s="55"/>
      <c r="CM553" s="55"/>
      <c r="CN553" s="55"/>
      <c r="CO553" s="55"/>
      <c r="CP553" s="55"/>
      <c r="CQ553" s="55"/>
      <c r="CR553" s="55"/>
      <c r="CS553" s="55"/>
      <c r="CT553" s="55"/>
      <c r="CU553" s="55"/>
      <c r="CV553" s="55"/>
      <c r="CW553" s="55"/>
      <c r="CX553" s="55"/>
      <c r="CY553" s="55"/>
      <c r="CZ553" s="55"/>
      <c r="DA553" s="55"/>
      <c r="DB553" s="55"/>
      <c r="DC553" s="55"/>
      <c r="DD553" s="55"/>
      <c r="DE553" s="55"/>
      <c r="DF553" s="55"/>
      <c r="DG553" s="55"/>
      <c r="DH553" s="55"/>
      <c r="DI553" s="55"/>
    </row>
    <row r="554" spans="1:113" x14ac:dyDescent="0.25">
      <c r="A554" s="152">
        <v>11</v>
      </c>
      <c r="B554" s="213" t="s">
        <v>803</v>
      </c>
      <c r="C554" s="43">
        <v>4000</v>
      </c>
      <c r="D554" s="233">
        <v>1100</v>
      </c>
      <c r="E554" s="43">
        <v>84</v>
      </c>
      <c r="F554" s="59">
        <f>1000+500-1500</f>
        <v>0</v>
      </c>
      <c r="G554" s="139">
        <f t="shared" si="159"/>
        <v>84</v>
      </c>
      <c r="H554" s="230">
        <f>376+450+100-926+546-546</f>
        <v>0</v>
      </c>
      <c r="I554" s="56">
        <f t="shared" si="160"/>
        <v>84</v>
      </c>
      <c r="J554" s="56">
        <f t="shared" si="161"/>
        <v>336000</v>
      </c>
      <c r="K554" s="57">
        <f t="shared" si="162"/>
        <v>92400</v>
      </c>
      <c r="L554"/>
      <c r="M554" s="314">
        <f t="shared" si="158"/>
        <v>0</v>
      </c>
      <c r="N554" s="310"/>
      <c r="O554" s="315"/>
      <c r="P554" s="315"/>
      <c r="Q554" s="315"/>
      <c r="R554" s="315"/>
      <c r="S554" s="55"/>
      <c r="T554" s="55"/>
      <c r="U554" s="55"/>
      <c r="V554" s="55"/>
      <c r="W554" s="55"/>
      <c r="X554" s="55"/>
      <c r="Y554" s="55"/>
      <c r="Z554" s="55"/>
      <c r="AA554" s="55"/>
      <c r="AB554" s="55"/>
      <c r="AC554" s="55"/>
      <c r="AD554" s="55"/>
      <c r="AE554" s="55"/>
      <c r="AF554" s="55"/>
      <c r="AG554" s="55"/>
      <c r="AH554" s="55"/>
      <c r="AI554" s="55"/>
      <c r="AJ554" s="55"/>
      <c r="AK554" s="55"/>
      <c r="AL554" s="55"/>
      <c r="AM554" s="55"/>
      <c r="AN554" s="55"/>
      <c r="AO554" s="55"/>
      <c r="AP554" s="55"/>
      <c r="AQ554" s="55"/>
      <c r="AR554" s="55"/>
      <c r="AS554" s="55"/>
      <c r="AT554" s="55"/>
      <c r="AU554" s="55"/>
      <c r="AV554" s="55"/>
      <c r="AW554" s="55"/>
      <c r="AX554" s="55"/>
      <c r="AY554" s="55"/>
      <c r="AZ554" s="55"/>
      <c r="BA554" s="55"/>
      <c r="BB554" s="55"/>
      <c r="BC554" s="55"/>
      <c r="BD554" s="55"/>
      <c r="BE554" s="55"/>
      <c r="BF554" s="55"/>
      <c r="BG554" s="55"/>
      <c r="BH554" s="55"/>
      <c r="BI554" s="55"/>
      <c r="BJ554" s="55"/>
      <c r="BK554" s="55"/>
      <c r="BL554" s="55"/>
      <c r="BM554" s="55"/>
      <c r="BN554" s="55"/>
      <c r="BO554" s="55"/>
      <c r="BP554" s="55"/>
      <c r="BQ554" s="55"/>
      <c r="BR554" s="55"/>
      <c r="BS554" s="55"/>
      <c r="BT554" s="55"/>
      <c r="BU554" s="55"/>
      <c r="BV554" s="55"/>
      <c r="BW554" s="55"/>
      <c r="BX554" s="55"/>
      <c r="BY554" s="55"/>
      <c r="BZ554" s="55"/>
      <c r="CA554" s="55"/>
      <c r="CB554" s="55"/>
      <c r="CC554" s="55"/>
      <c r="CD554" s="55"/>
      <c r="CE554" s="55"/>
      <c r="CF554" s="55"/>
      <c r="CG554" s="55"/>
      <c r="CH554" s="55"/>
      <c r="CI554" s="55"/>
      <c r="CJ554" s="55"/>
      <c r="CK554" s="55"/>
      <c r="CL554" s="55"/>
      <c r="CM554" s="55"/>
      <c r="CN554" s="55"/>
      <c r="CO554" s="55"/>
      <c r="CP554" s="55"/>
      <c r="CQ554" s="55"/>
      <c r="CR554" s="55"/>
      <c r="CS554" s="55"/>
      <c r="CT554" s="55"/>
      <c r="CU554" s="55"/>
      <c r="CV554" s="55"/>
      <c r="CW554" s="55"/>
      <c r="CX554" s="55"/>
      <c r="CY554" s="55"/>
      <c r="CZ554" s="55"/>
      <c r="DA554" s="55"/>
      <c r="DB554" s="55"/>
      <c r="DC554" s="55"/>
      <c r="DD554" s="55"/>
      <c r="DE554" s="55"/>
      <c r="DF554" s="55"/>
      <c r="DG554" s="55"/>
      <c r="DH554" s="55"/>
      <c r="DI554" s="55"/>
    </row>
    <row r="555" spans="1:113" x14ac:dyDescent="0.25">
      <c r="A555" s="152">
        <v>12</v>
      </c>
      <c r="B555" s="213" t="s">
        <v>804</v>
      </c>
      <c r="C555" s="43">
        <v>12000</v>
      </c>
      <c r="D555" s="233">
        <v>0</v>
      </c>
      <c r="E555" s="43">
        <v>0</v>
      </c>
      <c r="F555" s="59">
        <f>250+100+497-847+75-75</f>
        <v>0</v>
      </c>
      <c r="G555" s="139">
        <f t="shared" si="159"/>
        <v>0</v>
      </c>
      <c r="H555" s="230">
        <f>467-467</f>
        <v>0</v>
      </c>
      <c r="I555" s="56">
        <f t="shared" si="160"/>
        <v>0</v>
      </c>
      <c r="J555" s="56">
        <f t="shared" si="161"/>
        <v>0</v>
      </c>
      <c r="K555" s="57">
        <f t="shared" si="162"/>
        <v>0</v>
      </c>
      <c r="L555"/>
      <c r="M555" s="314">
        <f t="shared" si="158"/>
        <v>0</v>
      </c>
      <c r="N555" s="310"/>
      <c r="O555" s="315"/>
      <c r="P555" s="315"/>
      <c r="Q555" s="315"/>
      <c r="R555" s="315"/>
      <c r="S555" s="55"/>
      <c r="T555" s="55"/>
      <c r="U555" s="55"/>
      <c r="V555" s="55"/>
      <c r="W555" s="55"/>
      <c r="X555" s="55"/>
      <c r="Y555" s="55"/>
      <c r="Z555" s="55"/>
      <c r="AA555" s="55"/>
      <c r="AB555" s="55"/>
      <c r="AC555" s="55"/>
      <c r="AD555" s="55"/>
      <c r="AE555" s="55"/>
      <c r="AF555" s="55"/>
      <c r="AG555" s="55"/>
      <c r="AH555" s="55"/>
      <c r="AI555" s="55"/>
      <c r="AJ555" s="55"/>
      <c r="AK555" s="55"/>
      <c r="AL555" s="55"/>
      <c r="AM555" s="55"/>
      <c r="AN555" s="55"/>
      <c r="AO555" s="55"/>
      <c r="AP555" s="55"/>
      <c r="AQ555" s="55"/>
      <c r="AR555" s="55"/>
      <c r="AS555" s="55"/>
      <c r="AT555" s="55"/>
      <c r="AU555" s="55"/>
      <c r="AV555" s="55"/>
      <c r="AW555" s="55"/>
      <c r="AX555" s="55"/>
      <c r="AY555" s="55"/>
      <c r="AZ555" s="55"/>
      <c r="BA555" s="55"/>
      <c r="BB555" s="55"/>
      <c r="BC555" s="55"/>
      <c r="BD555" s="55"/>
      <c r="BE555" s="55"/>
      <c r="BF555" s="55"/>
      <c r="BG555" s="55"/>
      <c r="BH555" s="55"/>
      <c r="BI555" s="55"/>
      <c r="BJ555" s="55"/>
      <c r="BK555" s="55"/>
      <c r="BL555" s="55"/>
      <c r="BM555" s="55"/>
      <c r="BN555" s="55"/>
      <c r="BO555" s="55"/>
      <c r="BP555" s="55"/>
      <c r="BQ555" s="55"/>
      <c r="BR555" s="55"/>
      <c r="BS555" s="55"/>
      <c r="BT555" s="55"/>
      <c r="BU555" s="55"/>
      <c r="BV555" s="55"/>
      <c r="BW555" s="55"/>
      <c r="BX555" s="55"/>
      <c r="BY555" s="55"/>
      <c r="BZ555" s="55"/>
      <c r="CA555" s="55"/>
      <c r="CB555" s="55"/>
      <c r="CC555" s="55"/>
      <c r="CD555" s="55"/>
      <c r="CE555" s="55"/>
      <c r="CF555" s="55"/>
      <c r="CG555" s="55"/>
      <c r="CH555" s="55"/>
      <c r="CI555" s="55"/>
      <c r="CJ555" s="55"/>
      <c r="CK555" s="55"/>
      <c r="CL555" s="55"/>
      <c r="CM555" s="55"/>
      <c r="CN555" s="55"/>
      <c r="CO555" s="55"/>
      <c r="CP555" s="55"/>
      <c r="CQ555" s="55"/>
      <c r="CR555" s="55"/>
      <c r="CS555" s="55"/>
      <c r="CT555" s="55"/>
      <c r="CU555" s="55"/>
      <c r="CV555" s="55"/>
      <c r="CW555" s="55"/>
      <c r="CX555" s="55"/>
      <c r="CY555" s="55"/>
      <c r="CZ555" s="55"/>
      <c r="DA555" s="55"/>
      <c r="DB555" s="55"/>
      <c r="DC555" s="55"/>
      <c r="DD555" s="55"/>
      <c r="DE555" s="55"/>
      <c r="DF555" s="55"/>
      <c r="DG555" s="55"/>
      <c r="DH555" s="55"/>
      <c r="DI555" s="55"/>
    </row>
    <row r="556" spans="1:113" x14ac:dyDescent="0.25">
      <c r="A556" s="152">
        <v>13</v>
      </c>
      <c r="B556" s="60" t="s">
        <v>814</v>
      </c>
      <c r="C556" s="43">
        <v>20000</v>
      </c>
      <c r="D556" s="233">
        <v>5248.36</v>
      </c>
      <c r="E556" s="43">
        <v>0</v>
      </c>
      <c r="F556" s="59">
        <f>1000-1000</f>
        <v>0</v>
      </c>
      <c r="G556" s="139">
        <f t="shared" si="159"/>
        <v>0</v>
      </c>
      <c r="H556" s="230">
        <f>1000-1000</f>
        <v>0</v>
      </c>
      <c r="I556" s="56">
        <f t="shared" si="160"/>
        <v>0</v>
      </c>
      <c r="J556" s="56">
        <f t="shared" si="161"/>
        <v>0</v>
      </c>
      <c r="K556" s="57">
        <f t="shared" si="162"/>
        <v>0</v>
      </c>
      <c r="L556"/>
      <c r="M556" s="314">
        <f t="shared" si="158"/>
        <v>0</v>
      </c>
      <c r="N556" s="310"/>
      <c r="O556" s="315"/>
      <c r="P556" s="315"/>
      <c r="Q556" s="315"/>
      <c r="R556" s="315"/>
      <c r="S556" s="55"/>
      <c r="T556" s="55"/>
      <c r="U556" s="55"/>
      <c r="V556" s="55"/>
      <c r="W556" s="55"/>
      <c r="X556" s="55"/>
      <c r="Y556" s="55"/>
      <c r="Z556" s="55"/>
      <c r="AA556" s="55"/>
      <c r="AB556" s="55"/>
      <c r="AC556" s="55"/>
      <c r="AD556" s="55"/>
      <c r="AE556" s="55"/>
      <c r="AF556" s="55"/>
      <c r="AG556" s="55"/>
      <c r="AH556" s="55"/>
      <c r="AI556" s="55"/>
      <c r="AJ556" s="55"/>
      <c r="AK556" s="55"/>
      <c r="AL556" s="55"/>
      <c r="AM556" s="55"/>
      <c r="AN556" s="55"/>
      <c r="AO556" s="55"/>
      <c r="AP556" s="55"/>
      <c r="AQ556" s="55"/>
      <c r="AR556" s="55"/>
      <c r="AS556" s="55"/>
      <c r="AT556" s="55"/>
      <c r="AU556" s="55"/>
      <c r="AV556" s="55"/>
      <c r="AW556" s="55"/>
      <c r="AX556" s="55"/>
      <c r="AY556" s="55"/>
      <c r="AZ556" s="55"/>
      <c r="BA556" s="55"/>
      <c r="BB556" s="55"/>
      <c r="BC556" s="55"/>
      <c r="BD556" s="55"/>
      <c r="BE556" s="55"/>
      <c r="BF556" s="55"/>
      <c r="BG556" s="55"/>
      <c r="BH556" s="55"/>
      <c r="BI556" s="55"/>
      <c r="BJ556" s="55"/>
      <c r="BK556" s="55"/>
      <c r="BL556" s="55"/>
      <c r="BM556" s="55"/>
      <c r="BN556" s="55"/>
      <c r="BO556" s="55"/>
      <c r="BP556" s="55"/>
      <c r="BQ556" s="55"/>
      <c r="BR556" s="55"/>
      <c r="BS556" s="55"/>
      <c r="BT556" s="55"/>
      <c r="BU556" s="55"/>
      <c r="BV556" s="55"/>
      <c r="BW556" s="55"/>
      <c r="BX556" s="55"/>
      <c r="BY556" s="55"/>
      <c r="BZ556" s="55"/>
      <c r="CA556" s="55"/>
      <c r="CB556" s="55"/>
      <c r="CC556" s="55"/>
      <c r="CD556" s="55"/>
      <c r="CE556" s="55"/>
      <c r="CF556" s="55"/>
      <c r="CG556" s="55"/>
      <c r="CH556" s="55"/>
      <c r="CI556" s="55"/>
      <c r="CJ556" s="55"/>
      <c r="CK556" s="55"/>
      <c r="CL556" s="55"/>
      <c r="CM556" s="55"/>
      <c r="CN556" s="55"/>
      <c r="CO556" s="55"/>
      <c r="CP556" s="55"/>
      <c r="CQ556" s="55"/>
      <c r="CR556" s="55"/>
      <c r="CS556" s="55"/>
      <c r="CT556" s="55"/>
      <c r="CU556" s="55"/>
      <c r="CV556" s="55"/>
      <c r="CW556" s="55"/>
      <c r="CX556" s="55"/>
      <c r="CY556" s="55"/>
      <c r="CZ556" s="55"/>
      <c r="DA556" s="55"/>
      <c r="DB556" s="55"/>
      <c r="DC556" s="55"/>
      <c r="DD556" s="55"/>
      <c r="DE556" s="55"/>
      <c r="DF556" s="55"/>
      <c r="DG556" s="55"/>
      <c r="DH556" s="55"/>
      <c r="DI556" s="55"/>
    </row>
    <row r="557" spans="1:113" x14ac:dyDescent="0.25">
      <c r="A557" s="152">
        <v>14</v>
      </c>
      <c r="B557" s="60" t="s">
        <v>815</v>
      </c>
      <c r="C557" s="43">
        <v>7500</v>
      </c>
      <c r="D557" s="233">
        <v>3099.59</v>
      </c>
      <c r="E557" s="43">
        <v>0</v>
      </c>
      <c r="F557" s="59">
        <f>1000-1000</f>
        <v>0</v>
      </c>
      <c r="G557" s="139">
        <f t="shared" si="159"/>
        <v>0</v>
      </c>
      <c r="H557" s="230">
        <f>1000-1000</f>
        <v>0</v>
      </c>
      <c r="I557" s="56">
        <f t="shared" si="160"/>
        <v>0</v>
      </c>
      <c r="J557" s="56">
        <f t="shared" si="161"/>
        <v>0</v>
      </c>
      <c r="K557" s="57">
        <f t="shared" si="162"/>
        <v>0</v>
      </c>
      <c r="L557"/>
      <c r="M557" s="314">
        <f t="shared" si="158"/>
        <v>0</v>
      </c>
      <c r="N557" s="310"/>
      <c r="O557" s="315"/>
      <c r="P557" s="315"/>
      <c r="Q557" s="315"/>
      <c r="R557" s="315"/>
      <c r="S557" s="55"/>
      <c r="T557" s="55"/>
      <c r="U557" s="55"/>
      <c r="V557" s="55"/>
      <c r="W557" s="55"/>
      <c r="X557" s="55"/>
      <c r="Y557" s="55"/>
      <c r="Z557" s="55"/>
      <c r="AA557" s="55"/>
      <c r="AB557" s="55"/>
      <c r="AC557" s="55"/>
      <c r="AD557" s="55"/>
      <c r="AE557" s="55"/>
      <c r="AF557" s="55"/>
      <c r="AG557" s="55"/>
      <c r="AH557" s="55"/>
      <c r="AI557" s="55"/>
      <c r="AJ557" s="55"/>
      <c r="AK557" s="55"/>
      <c r="AL557" s="55"/>
      <c r="AM557" s="55"/>
      <c r="AN557" s="55"/>
      <c r="AO557" s="55"/>
      <c r="AP557" s="55"/>
      <c r="AQ557" s="55"/>
      <c r="AR557" s="55"/>
      <c r="AS557" s="55"/>
      <c r="AT557" s="55"/>
      <c r="AU557" s="55"/>
      <c r="AV557" s="55"/>
      <c r="AW557" s="55"/>
      <c r="AX557" s="55"/>
      <c r="AY557" s="55"/>
      <c r="AZ557" s="55"/>
      <c r="BA557" s="55"/>
      <c r="BB557" s="55"/>
      <c r="BC557" s="55"/>
      <c r="BD557" s="55"/>
      <c r="BE557" s="55"/>
      <c r="BF557" s="55"/>
      <c r="BG557" s="55"/>
      <c r="BH557" s="55"/>
      <c r="BI557" s="55"/>
      <c r="BJ557" s="55"/>
      <c r="BK557" s="55"/>
      <c r="BL557" s="55"/>
      <c r="BM557" s="55"/>
      <c r="BN557" s="55"/>
      <c r="BO557" s="55"/>
      <c r="BP557" s="55"/>
      <c r="BQ557" s="55"/>
      <c r="BR557" s="55"/>
      <c r="BS557" s="55"/>
      <c r="BT557" s="55"/>
      <c r="BU557" s="55"/>
      <c r="BV557" s="55"/>
      <c r="BW557" s="55"/>
      <c r="BX557" s="55"/>
      <c r="BY557" s="55"/>
      <c r="BZ557" s="55"/>
      <c r="CA557" s="55"/>
      <c r="CB557" s="55"/>
      <c r="CC557" s="55"/>
      <c r="CD557" s="55"/>
      <c r="CE557" s="55"/>
      <c r="CF557" s="55"/>
      <c r="CG557" s="55"/>
      <c r="CH557" s="55"/>
      <c r="CI557" s="55"/>
      <c r="CJ557" s="55"/>
      <c r="CK557" s="55"/>
      <c r="CL557" s="55"/>
      <c r="CM557" s="55"/>
      <c r="CN557" s="55"/>
      <c r="CO557" s="55"/>
      <c r="CP557" s="55"/>
      <c r="CQ557" s="55"/>
      <c r="CR557" s="55"/>
      <c r="CS557" s="55"/>
      <c r="CT557" s="55"/>
      <c r="CU557" s="55"/>
      <c r="CV557" s="55"/>
      <c r="CW557" s="55"/>
      <c r="CX557" s="55"/>
      <c r="CY557" s="55"/>
      <c r="CZ557" s="55"/>
      <c r="DA557" s="55"/>
      <c r="DB557" s="55"/>
      <c r="DC557" s="55"/>
      <c r="DD557" s="55"/>
      <c r="DE557" s="55"/>
      <c r="DF557" s="55"/>
      <c r="DG557" s="55"/>
      <c r="DH557" s="55"/>
      <c r="DI557" s="55"/>
    </row>
    <row r="558" spans="1:113" x14ac:dyDescent="0.25">
      <c r="A558" s="152">
        <v>15</v>
      </c>
      <c r="B558" s="60" t="s">
        <v>816</v>
      </c>
      <c r="C558" s="43">
        <v>3000</v>
      </c>
      <c r="D558" s="233">
        <v>2750</v>
      </c>
      <c r="E558" s="43">
        <v>500</v>
      </c>
      <c r="F558" s="59">
        <f>700-700</f>
        <v>0</v>
      </c>
      <c r="G558" s="139">
        <f t="shared" si="159"/>
        <v>500</v>
      </c>
      <c r="H558" s="230">
        <f>200-200</f>
        <v>0</v>
      </c>
      <c r="I558" s="56">
        <f t="shared" si="160"/>
        <v>500</v>
      </c>
      <c r="J558" s="56">
        <f t="shared" si="161"/>
        <v>1500000</v>
      </c>
      <c r="K558" s="57">
        <f t="shared" si="162"/>
        <v>1375000</v>
      </c>
      <c r="L558"/>
      <c r="M558" s="314">
        <f t="shared" si="158"/>
        <v>0</v>
      </c>
      <c r="N558" s="310"/>
      <c r="O558" s="315"/>
      <c r="P558" s="315"/>
      <c r="Q558" s="315"/>
      <c r="R558" s="315"/>
      <c r="S558" s="55"/>
      <c r="T558" s="55"/>
      <c r="U558" s="55"/>
      <c r="V558" s="55"/>
      <c r="W558" s="55"/>
      <c r="X558" s="55"/>
      <c r="Y558" s="55"/>
      <c r="Z558" s="55"/>
      <c r="AA558" s="55"/>
      <c r="AB558" s="55"/>
      <c r="AC558" s="55"/>
      <c r="AD558" s="55"/>
      <c r="AE558" s="55"/>
      <c r="AF558" s="55"/>
      <c r="AG558" s="55"/>
      <c r="AH558" s="55"/>
      <c r="AI558" s="55"/>
      <c r="AJ558" s="55"/>
      <c r="AK558" s="55"/>
      <c r="AL558" s="55"/>
      <c r="AM558" s="55"/>
      <c r="AN558" s="55"/>
      <c r="AO558" s="55"/>
      <c r="AP558" s="55"/>
      <c r="AQ558" s="55"/>
      <c r="AR558" s="55"/>
      <c r="AS558" s="55"/>
      <c r="AT558" s="55"/>
      <c r="AU558" s="55"/>
      <c r="AV558" s="55"/>
      <c r="AW558" s="55"/>
      <c r="AX558" s="55"/>
      <c r="AY558" s="55"/>
      <c r="AZ558" s="55"/>
      <c r="BA558" s="55"/>
      <c r="BB558" s="55"/>
      <c r="BC558" s="55"/>
      <c r="BD558" s="55"/>
      <c r="BE558" s="55"/>
      <c r="BF558" s="55"/>
      <c r="BG558" s="55"/>
      <c r="BH558" s="55"/>
      <c r="BI558" s="55"/>
      <c r="BJ558" s="55"/>
      <c r="BK558" s="55"/>
      <c r="BL558" s="55"/>
      <c r="BM558" s="55"/>
      <c r="BN558" s="55"/>
      <c r="BO558" s="55"/>
      <c r="BP558" s="55"/>
      <c r="BQ558" s="55"/>
      <c r="BR558" s="55"/>
      <c r="BS558" s="55"/>
      <c r="BT558" s="55"/>
      <c r="BU558" s="55"/>
      <c r="BV558" s="55"/>
      <c r="BW558" s="55"/>
      <c r="BX558" s="55"/>
      <c r="BY558" s="55"/>
      <c r="BZ558" s="55"/>
      <c r="CA558" s="55"/>
      <c r="CB558" s="55"/>
      <c r="CC558" s="55"/>
      <c r="CD558" s="55"/>
      <c r="CE558" s="55"/>
      <c r="CF558" s="55"/>
      <c r="CG558" s="55"/>
      <c r="CH558" s="55"/>
      <c r="CI558" s="55"/>
      <c r="CJ558" s="55"/>
      <c r="CK558" s="55"/>
      <c r="CL558" s="55"/>
      <c r="CM558" s="55"/>
      <c r="CN558" s="55"/>
      <c r="CO558" s="55"/>
      <c r="CP558" s="55"/>
      <c r="CQ558" s="55"/>
      <c r="CR558" s="55"/>
      <c r="CS558" s="55"/>
      <c r="CT558" s="55"/>
      <c r="CU558" s="55"/>
      <c r="CV558" s="55"/>
      <c r="CW558" s="55"/>
      <c r="CX558" s="55"/>
      <c r="CY558" s="55"/>
      <c r="CZ558" s="55"/>
      <c r="DA558" s="55"/>
      <c r="DB558" s="55"/>
      <c r="DC558" s="55"/>
      <c r="DD558" s="55"/>
      <c r="DE558" s="55"/>
      <c r="DF558" s="55"/>
      <c r="DG558" s="55"/>
      <c r="DH558" s="55"/>
      <c r="DI558" s="55"/>
    </row>
    <row r="559" spans="1:113" x14ac:dyDescent="0.25">
      <c r="A559" s="152">
        <v>16</v>
      </c>
      <c r="B559" s="60" t="s">
        <v>817</v>
      </c>
      <c r="C559" s="43">
        <v>19000</v>
      </c>
      <c r="D559" s="264">
        <v>6106</v>
      </c>
      <c r="E559" s="43">
        <v>0</v>
      </c>
      <c r="F559" s="59">
        <f>2500-2500</f>
        <v>0</v>
      </c>
      <c r="G559" s="139">
        <f t="shared" si="159"/>
        <v>0</v>
      </c>
      <c r="H559" s="239">
        <f>(1000+740+560)+200-2500</f>
        <v>0</v>
      </c>
      <c r="I559" s="56">
        <f t="shared" si="160"/>
        <v>0</v>
      </c>
      <c r="J559" s="56">
        <f t="shared" si="161"/>
        <v>0</v>
      </c>
      <c r="K559" s="57">
        <f t="shared" si="162"/>
        <v>0</v>
      </c>
      <c r="L559"/>
      <c r="M559" s="314">
        <f t="shared" si="158"/>
        <v>0</v>
      </c>
      <c r="N559" s="310"/>
      <c r="O559" s="315"/>
      <c r="P559" s="315"/>
      <c r="Q559" s="315"/>
      <c r="R559" s="315"/>
      <c r="S559" s="55"/>
      <c r="T559" s="55"/>
      <c r="U559" s="55"/>
      <c r="V559" s="55"/>
      <c r="W559" s="55"/>
      <c r="X559" s="55"/>
      <c r="Y559" s="55"/>
      <c r="Z559" s="55"/>
      <c r="AA559" s="55"/>
      <c r="AB559" s="55"/>
      <c r="AC559" s="55"/>
      <c r="AD559" s="55"/>
      <c r="AE559" s="55"/>
      <c r="AF559" s="55"/>
      <c r="AG559" s="55"/>
      <c r="AH559" s="55"/>
      <c r="AI559" s="55"/>
      <c r="AJ559" s="55"/>
      <c r="AK559" s="55"/>
      <c r="AL559" s="55"/>
      <c r="AM559" s="55"/>
      <c r="AN559" s="55"/>
      <c r="AO559" s="55"/>
      <c r="AP559" s="55"/>
      <c r="AQ559" s="55"/>
      <c r="AR559" s="55"/>
      <c r="AS559" s="55"/>
      <c r="AT559" s="55"/>
      <c r="AU559" s="55"/>
      <c r="AV559" s="55"/>
      <c r="AW559" s="55"/>
      <c r="AX559" s="55"/>
      <c r="AY559" s="55"/>
      <c r="AZ559" s="55"/>
      <c r="BA559" s="55"/>
      <c r="BB559" s="55"/>
      <c r="BC559" s="55"/>
      <c r="BD559" s="55"/>
      <c r="BE559" s="55"/>
      <c r="BF559" s="55"/>
      <c r="BG559" s="55"/>
      <c r="BH559" s="55"/>
      <c r="BI559" s="55"/>
      <c r="BJ559" s="55"/>
      <c r="BK559" s="55"/>
      <c r="BL559" s="55"/>
      <c r="BM559" s="55"/>
      <c r="BN559" s="55"/>
      <c r="BO559" s="55"/>
      <c r="BP559" s="55"/>
      <c r="BQ559" s="55"/>
      <c r="BR559" s="55"/>
      <c r="BS559" s="55"/>
      <c r="BT559" s="55"/>
      <c r="BU559" s="55"/>
      <c r="BV559" s="55"/>
      <c r="BW559" s="55"/>
      <c r="BX559" s="55"/>
      <c r="BY559" s="55"/>
      <c r="BZ559" s="55"/>
      <c r="CA559" s="55"/>
      <c r="CB559" s="55"/>
      <c r="CC559" s="55"/>
      <c r="CD559" s="55"/>
      <c r="CE559" s="55"/>
      <c r="CF559" s="55"/>
      <c r="CG559" s="55"/>
      <c r="CH559" s="55"/>
      <c r="CI559" s="55"/>
      <c r="CJ559" s="55"/>
      <c r="CK559" s="55"/>
      <c r="CL559" s="55"/>
      <c r="CM559" s="55"/>
      <c r="CN559" s="55"/>
      <c r="CO559" s="55"/>
      <c r="CP559" s="55"/>
      <c r="CQ559" s="55"/>
      <c r="CR559" s="55"/>
      <c r="CS559" s="55"/>
      <c r="CT559" s="55"/>
      <c r="CU559" s="55"/>
      <c r="CV559" s="55"/>
      <c r="CW559" s="55"/>
      <c r="CX559" s="55"/>
      <c r="CY559" s="55"/>
      <c r="CZ559" s="55"/>
      <c r="DA559" s="55"/>
      <c r="DB559" s="55"/>
      <c r="DC559" s="55"/>
      <c r="DD559" s="55"/>
      <c r="DE559" s="55"/>
      <c r="DF559" s="55"/>
      <c r="DG559" s="55"/>
      <c r="DH559" s="55"/>
      <c r="DI559" s="55"/>
    </row>
    <row r="560" spans="1:113" x14ac:dyDescent="0.25">
      <c r="A560" s="170">
        <v>17</v>
      </c>
      <c r="B560" s="231" t="s">
        <v>822</v>
      </c>
      <c r="C560" s="122">
        <v>3000</v>
      </c>
      <c r="D560" s="264">
        <v>2750</v>
      </c>
      <c r="E560" s="122">
        <v>0</v>
      </c>
      <c r="F560" s="242">
        <f>1000-1000</f>
        <v>0</v>
      </c>
      <c r="G560" s="169">
        <f t="shared" si="159"/>
        <v>0</v>
      </c>
      <c r="H560" s="194">
        <f>700+300-1000</f>
        <v>0</v>
      </c>
      <c r="I560" s="109">
        <f t="shared" si="160"/>
        <v>0</v>
      </c>
      <c r="J560" s="109">
        <f t="shared" si="161"/>
        <v>0</v>
      </c>
      <c r="K560" s="110">
        <f t="shared" si="162"/>
        <v>0</v>
      </c>
      <c r="L560"/>
      <c r="M560" s="314">
        <f t="shared" si="158"/>
        <v>0</v>
      </c>
      <c r="N560" s="310"/>
      <c r="O560" s="315"/>
      <c r="P560" s="315"/>
      <c r="Q560" s="315"/>
      <c r="R560" s="315"/>
      <c r="S560" s="55"/>
      <c r="T560" s="55"/>
      <c r="U560" s="55"/>
      <c r="V560" s="55"/>
      <c r="W560" s="55"/>
      <c r="X560" s="55"/>
      <c r="Y560" s="55"/>
      <c r="Z560" s="55"/>
      <c r="AA560" s="55"/>
      <c r="AB560" s="55"/>
      <c r="AC560" s="55"/>
      <c r="AD560" s="55"/>
      <c r="AE560" s="55"/>
      <c r="AF560" s="55"/>
      <c r="AG560" s="55"/>
      <c r="AH560" s="55"/>
      <c r="AI560" s="55"/>
      <c r="AJ560" s="55"/>
      <c r="AK560" s="55"/>
      <c r="AL560" s="55"/>
      <c r="AM560" s="55"/>
      <c r="AN560" s="55"/>
      <c r="AO560" s="55"/>
      <c r="AP560" s="55"/>
      <c r="AQ560" s="55"/>
      <c r="AR560" s="55"/>
      <c r="AS560" s="55"/>
      <c r="AT560" s="55"/>
      <c r="AU560" s="55"/>
      <c r="AV560" s="55"/>
      <c r="AW560" s="55"/>
      <c r="AX560" s="55"/>
      <c r="AY560" s="55"/>
      <c r="AZ560" s="55"/>
      <c r="BA560" s="55"/>
      <c r="BB560" s="55"/>
      <c r="BC560" s="55"/>
      <c r="BD560" s="55"/>
      <c r="BE560" s="55"/>
      <c r="BF560" s="55"/>
      <c r="BG560" s="55"/>
      <c r="BH560" s="55"/>
      <c r="BI560" s="55"/>
      <c r="BJ560" s="55"/>
      <c r="BK560" s="55"/>
      <c r="BL560" s="55"/>
      <c r="BM560" s="55"/>
      <c r="BN560" s="55"/>
      <c r="BO560" s="55"/>
      <c r="BP560" s="55"/>
      <c r="BQ560" s="55"/>
      <c r="BR560" s="55"/>
      <c r="BS560" s="55"/>
      <c r="BT560" s="55"/>
      <c r="BU560" s="55"/>
      <c r="BV560" s="55"/>
      <c r="BW560" s="55"/>
      <c r="BX560" s="55"/>
      <c r="BY560" s="55"/>
      <c r="BZ560" s="55"/>
      <c r="CA560" s="55"/>
      <c r="CB560" s="55"/>
      <c r="CC560" s="55"/>
      <c r="CD560" s="55"/>
      <c r="CE560" s="55"/>
      <c r="CF560" s="55"/>
      <c r="CG560" s="55"/>
      <c r="CH560" s="55"/>
      <c r="CI560" s="55"/>
      <c r="CJ560" s="55"/>
      <c r="CK560" s="55"/>
      <c r="CL560" s="55"/>
      <c r="CM560" s="55"/>
      <c r="CN560" s="55"/>
      <c r="CO560" s="55"/>
      <c r="CP560" s="55"/>
      <c r="CQ560" s="55"/>
      <c r="CR560" s="55"/>
      <c r="CS560" s="55"/>
      <c r="CT560" s="55"/>
      <c r="CU560" s="55"/>
      <c r="CV560" s="55"/>
      <c r="CW560" s="55"/>
      <c r="CX560" s="55"/>
      <c r="CY560" s="55"/>
      <c r="CZ560" s="55"/>
      <c r="DA560" s="55"/>
      <c r="DB560" s="55"/>
      <c r="DC560" s="55"/>
      <c r="DD560" s="55"/>
      <c r="DE560" s="55"/>
      <c r="DF560" s="55"/>
      <c r="DG560" s="55"/>
      <c r="DH560" s="55"/>
      <c r="DI560" s="55"/>
    </row>
    <row r="561" spans="1:113" x14ac:dyDescent="0.25">
      <c r="A561" s="243">
        <v>18</v>
      </c>
      <c r="B561" s="213" t="s">
        <v>826</v>
      </c>
      <c r="C561" s="44">
        <v>6000</v>
      </c>
      <c r="D561" s="233">
        <v>0</v>
      </c>
      <c r="E561" s="122">
        <v>0</v>
      </c>
      <c r="F561" s="242">
        <f>1000-1000+1000-1000</f>
        <v>0</v>
      </c>
      <c r="G561" s="169">
        <f t="shared" ref="G561:G564" si="163">+E561+F561</f>
        <v>0</v>
      </c>
      <c r="H561" s="194">
        <f>500+500-1000</f>
        <v>0</v>
      </c>
      <c r="I561" s="109">
        <f t="shared" ref="I561:I564" si="164">+G561-H561</f>
        <v>0</v>
      </c>
      <c r="J561" s="109">
        <f t="shared" ref="J561:J564" si="165">I561*C561</f>
        <v>0</v>
      </c>
      <c r="K561" s="110">
        <f t="shared" ref="K561:K564" si="166">+D561*I561</f>
        <v>0</v>
      </c>
      <c r="L561"/>
      <c r="M561" s="314">
        <f t="shared" si="158"/>
        <v>0</v>
      </c>
      <c r="N561" s="310"/>
      <c r="O561" s="315"/>
      <c r="P561" s="315"/>
      <c r="Q561" s="315"/>
      <c r="R561" s="315"/>
      <c r="S561" s="55"/>
      <c r="T561" s="55"/>
      <c r="U561" s="55"/>
      <c r="V561" s="55"/>
      <c r="W561" s="55"/>
      <c r="X561" s="55"/>
      <c r="Y561" s="55"/>
      <c r="Z561" s="55"/>
      <c r="AA561" s="55"/>
      <c r="AB561" s="55"/>
      <c r="AC561" s="55"/>
      <c r="AD561" s="55"/>
      <c r="AE561" s="55"/>
      <c r="AF561" s="55"/>
      <c r="AG561" s="55"/>
      <c r="AH561" s="55"/>
      <c r="AI561" s="55"/>
      <c r="AJ561" s="55"/>
      <c r="AK561" s="55"/>
      <c r="AL561" s="55"/>
      <c r="AM561" s="55"/>
      <c r="AN561" s="55"/>
      <c r="AO561" s="55"/>
      <c r="AP561" s="55"/>
      <c r="AQ561" s="55"/>
      <c r="AR561" s="55"/>
      <c r="AS561" s="55"/>
      <c r="AT561" s="55"/>
      <c r="AU561" s="55"/>
      <c r="AV561" s="55"/>
      <c r="AW561" s="55"/>
      <c r="AX561" s="55"/>
      <c r="AY561" s="55"/>
      <c r="AZ561" s="55"/>
      <c r="BA561" s="55"/>
      <c r="BB561" s="55"/>
      <c r="BC561" s="55"/>
      <c r="BD561" s="55"/>
      <c r="BE561" s="55"/>
      <c r="BF561" s="55"/>
      <c r="BG561" s="55"/>
      <c r="BH561" s="55"/>
      <c r="BI561" s="55"/>
      <c r="BJ561" s="55"/>
      <c r="BK561" s="55"/>
      <c r="BL561" s="55"/>
      <c r="BM561" s="55"/>
      <c r="BN561" s="55"/>
      <c r="BO561" s="55"/>
      <c r="BP561" s="55"/>
      <c r="BQ561" s="55"/>
      <c r="BR561" s="55"/>
      <c r="BS561" s="55"/>
      <c r="BT561" s="55"/>
      <c r="BU561" s="55"/>
      <c r="BV561" s="55"/>
      <c r="BW561" s="55"/>
      <c r="BX561" s="55"/>
      <c r="BY561" s="55"/>
      <c r="BZ561" s="55"/>
      <c r="CA561" s="55"/>
      <c r="CB561" s="55"/>
      <c r="CC561" s="55"/>
      <c r="CD561" s="55"/>
      <c r="CE561" s="55"/>
      <c r="CF561" s="55"/>
      <c r="CG561" s="55"/>
      <c r="CH561" s="55"/>
      <c r="CI561" s="55"/>
      <c r="CJ561" s="55"/>
      <c r="CK561" s="55"/>
      <c r="CL561" s="55"/>
      <c r="CM561" s="55"/>
      <c r="CN561" s="55"/>
      <c r="CO561" s="55"/>
      <c r="CP561" s="55"/>
      <c r="CQ561" s="55"/>
      <c r="CR561" s="55"/>
      <c r="CS561" s="55"/>
      <c r="CT561" s="55"/>
      <c r="CU561" s="55"/>
      <c r="CV561" s="55"/>
      <c r="CW561" s="55"/>
      <c r="CX561" s="55"/>
      <c r="CY561" s="55"/>
      <c r="CZ561" s="55"/>
      <c r="DA561" s="55"/>
      <c r="DB561" s="55"/>
      <c r="DC561" s="55"/>
      <c r="DD561" s="55"/>
      <c r="DE561" s="55"/>
      <c r="DF561" s="55"/>
      <c r="DG561" s="55"/>
      <c r="DH561" s="55"/>
      <c r="DI561" s="55"/>
    </row>
    <row r="562" spans="1:113" x14ac:dyDescent="0.25">
      <c r="A562" s="170">
        <v>19</v>
      </c>
      <c r="B562" s="248" t="s">
        <v>827</v>
      </c>
      <c r="C562" s="44">
        <v>48000</v>
      </c>
      <c r="D562" s="233">
        <v>0</v>
      </c>
      <c r="E562" s="122">
        <v>0</v>
      </c>
      <c r="F562" s="242">
        <f>800-800</f>
        <v>0</v>
      </c>
      <c r="G562" s="169">
        <f t="shared" si="163"/>
        <v>0</v>
      </c>
      <c r="H562" s="194">
        <f>800-800</f>
        <v>0</v>
      </c>
      <c r="I562" s="109">
        <f t="shared" si="164"/>
        <v>0</v>
      </c>
      <c r="J562" s="109">
        <f t="shared" si="165"/>
        <v>0</v>
      </c>
      <c r="K562" s="110">
        <f t="shared" si="166"/>
        <v>0</v>
      </c>
      <c r="L562"/>
      <c r="M562" s="314">
        <f t="shared" si="158"/>
        <v>0</v>
      </c>
      <c r="N562" s="310"/>
      <c r="O562" s="315"/>
      <c r="P562" s="315"/>
      <c r="Q562" s="315"/>
      <c r="R562" s="315"/>
      <c r="S562" s="55"/>
      <c r="T562" s="55"/>
      <c r="U562" s="55"/>
      <c r="V562" s="55"/>
      <c r="W562" s="55"/>
      <c r="X562" s="55"/>
      <c r="Y562" s="55"/>
      <c r="Z562" s="55"/>
      <c r="AA562" s="55"/>
      <c r="AB562" s="55"/>
      <c r="AC562" s="55"/>
      <c r="AD562" s="55"/>
      <c r="AE562" s="55"/>
      <c r="AF562" s="55"/>
      <c r="AG562" s="55"/>
      <c r="AH562" s="55"/>
      <c r="AI562" s="55"/>
      <c r="AJ562" s="55"/>
      <c r="AK562" s="55"/>
      <c r="AL562" s="55"/>
      <c r="AM562" s="55"/>
      <c r="AN562" s="55"/>
      <c r="AO562" s="55"/>
      <c r="AP562" s="55"/>
      <c r="AQ562" s="55"/>
      <c r="AR562" s="55"/>
      <c r="AS562" s="55"/>
      <c r="AT562" s="55"/>
      <c r="AU562" s="55"/>
      <c r="AV562" s="55"/>
      <c r="AW562" s="55"/>
      <c r="AX562" s="55"/>
      <c r="AY562" s="55"/>
      <c r="AZ562" s="55"/>
      <c r="BA562" s="55"/>
      <c r="BB562" s="55"/>
      <c r="BC562" s="55"/>
      <c r="BD562" s="55"/>
      <c r="BE562" s="55"/>
      <c r="BF562" s="55"/>
      <c r="BG562" s="55"/>
      <c r="BH562" s="55"/>
      <c r="BI562" s="55"/>
      <c r="BJ562" s="55"/>
      <c r="BK562" s="55"/>
      <c r="BL562" s="55"/>
      <c r="BM562" s="55"/>
      <c r="BN562" s="55"/>
      <c r="BO562" s="55"/>
      <c r="BP562" s="55"/>
      <c r="BQ562" s="55"/>
      <c r="BR562" s="55"/>
      <c r="BS562" s="55"/>
      <c r="BT562" s="55"/>
      <c r="BU562" s="55"/>
      <c r="BV562" s="55"/>
      <c r="BW562" s="55"/>
      <c r="BX562" s="55"/>
      <c r="BY562" s="55"/>
      <c r="BZ562" s="55"/>
      <c r="CA562" s="55"/>
      <c r="CB562" s="55"/>
      <c r="CC562" s="55"/>
      <c r="CD562" s="55"/>
      <c r="CE562" s="55"/>
      <c r="CF562" s="55"/>
      <c r="CG562" s="55"/>
      <c r="CH562" s="55"/>
      <c r="CI562" s="55"/>
      <c r="CJ562" s="55"/>
      <c r="CK562" s="55"/>
      <c r="CL562" s="55"/>
      <c r="CM562" s="55"/>
      <c r="CN562" s="55"/>
      <c r="CO562" s="55"/>
      <c r="CP562" s="55"/>
      <c r="CQ562" s="55"/>
      <c r="CR562" s="55"/>
      <c r="CS562" s="55"/>
      <c r="CT562" s="55"/>
      <c r="CU562" s="55"/>
      <c r="CV562" s="55"/>
      <c r="CW562" s="55"/>
      <c r="CX562" s="55"/>
      <c r="CY562" s="55"/>
      <c r="CZ562" s="55"/>
      <c r="DA562" s="55"/>
      <c r="DB562" s="55"/>
      <c r="DC562" s="55"/>
      <c r="DD562" s="55"/>
      <c r="DE562" s="55"/>
      <c r="DF562" s="55"/>
      <c r="DG562" s="55"/>
      <c r="DH562" s="55"/>
      <c r="DI562" s="55"/>
    </row>
    <row r="563" spans="1:113" x14ac:dyDescent="0.25">
      <c r="A563" s="243">
        <v>20</v>
      </c>
      <c r="B563" s="257" t="s">
        <v>829</v>
      </c>
      <c r="C563" s="44">
        <v>11000</v>
      </c>
      <c r="D563" s="265">
        <v>3688.43</v>
      </c>
      <c r="E563" s="122">
        <v>0</v>
      </c>
      <c r="F563" s="242">
        <f>100-100+300-300</f>
        <v>0</v>
      </c>
      <c r="G563" s="169">
        <f t="shared" si="163"/>
        <v>0</v>
      </c>
      <c r="H563" s="194">
        <f>300-300</f>
        <v>0</v>
      </c>
      <c r="I563" s="109">
        <f t="shared" si="164"/>
        <v>0</v>
      </c>
      <c r="J563" s="109">
        <f t="shared" si="165"/>
        <v>0</v>
      </c>
      <c r="K563" s="110">
        <f t="shared" si="166"/>
        <v>0</v>
      </c>
      <c r="L563"/>
      <c r="M563" s="314">
        <f t="shared" si="158"/>
        <v>0</v>
      </c>
      <c r="N563" s="310"/>
      <c r="O563" s="315"/>
      <c r="P563" s="315"/>
      <c r="Q563" s="315"/>
      <c r="R563" s="315"/>
      <c r="S563" s="55"/>
      <c r="T563" s="55"/>
      <c r="U563" s="55"/>
      <c r="V563" s="55"/>
      <c r="W563" s="55"/>
      <c r="X563" s="55"/>
      <c r="Y563" s="55"/>
      <c r="Z563" s="55"/>
      <c r="AA563" s="55"/>
      <c r="AB563" s="55"/>
      <c r="AC563" s="55"/>
      <c r="AD563" s="55"/>
      <c r="AE563" s="55"/>
      <c r="AF563" s="55"/>
      <c r="AG563" s="55"/>
      <c r="AH563" s="55"/>
      <c r="AI563" s="55"/>
      <c r="AJ563" s="55"/>
      <c r="AK563" s="55"/>
      <c r="AL563" s="55"/>
      <c r="AM563" s="55"/>
      <c r="AN563" s="55"/>
      <c r="AO563" s="55"/>
      <c r="AP563" s="55"/>
      <c r="AQ563" s="55"/>
      <c r="AR563" s="55"/>
      <c r="AS563" s="55"/>
      <c r="AT563" s="55"/>
      <c r="AU563" s="55"/>
      <c r="AV563" s="55"/>
      <c r="AW563" s="55"/>
      <c r="AX563" s="55"/>
      <c r="AY563" s="55"/>
      <c r="AZ563" s="55"/>
      <c r="BA563" s="55"/>
      <c r="BB563" s="55"/>
      <c r="BC563" s="55"/>
      <c r="BD563" s="55"/>
      <c r="BE563" s="55"/>
      <c r="BF563" s="55"/>
      <c r="BG563" s="55"/>
      <c r="BH563" s="55"/>
      <c r="BI563" s="55"/>
      <c r="BJ563" s="55"/>
      <c r="BK563" s="55"/>
      <c r="BL563" s="55"/>
      <c r="BM563" s="55"/>
      <c r="BN563" s="55"/>
      <c r="BO563" s="55"/>
      <c r="BP563" s="55"/>
      <c r="BQ563" s="55"/>
      <c r="BR563" s="55"/>
      <c r="BS563" s="55"/>
      <c r="BT563" s="55"/>
      <c r="BU563" s="55"/>
      <c r="BV563" s="55"/>
      <c r="BW563" s="55"/>
      <c r="BX563" s="55"/>
      <c r="BY563" s="55"/>
      <c r="BZ563" s="55"/>
      <c r="CA563" s="55"/>
      <c r="CB563" s="55"/>
      <c r="CC563" s="55"/>
      <c r="CD563" s="55"/>
      <c r="CE563" s="55"/>
      <c r="CF563" s="55"/>
      <c r="CG563" s="55"/>
      <c r="CH563" s="55"/>
      <c r="CI563" s="55"/>
      <c r="CJ563" s="55"/>
      <c r="CK563" s="55"/>
      <c r="CL563" s="55"/>
      <c r="CM563" s="55"/>
      <c r="CN563" s="55"/>
      <c r="CO563" s="55"/>
      <c r="CP563" s="55"/>
      <c r="CQ563" s="55"/>
      <c r="CR563" s="55"/>
      <c r="CS563" s="55"/>
      <c r="CT563" s="55"/>
      <c r="CU563" s="55"/>
      <c r="CV563" s="55"/>
      <c r="CW563" s="55"/>
      <c r="CX563" s="55"/>
      <c r="CY563" s="55"/>
      <c r="CZ563" s="55"/>
      <c r="DA563" s="55"/>
      <c r="DB563" s="55"/>
      <c r="DC563" s="55"/>
      <c r="DD563" s="55"/>
      <c r="DE563" s="55"/>
      <c r="DF563" s="55"/>
      <c r="DG563" s="55"/>
      <c r="DH563" s="55"/>
      <c r="DI563" s="55"/>
    </row>
    <row r="564" spans="1:113" x14ac:dyDescent="0.25">
      <c r="A564" s="243">
        <v>21</v>
      </c>
      <c r="B564" s="259" t="s">
        <v>834</v>
      </c>
      <c r="C564" s="44">
        <v>48000</v>
      </c>
      <c r="D564" s="264">
        <v>13674</v>
      </c>
      <c r="E564" s="122">
        <v>44</v>
      </c>
      <c r="F564" s="242">
        <f>3000-3000</f>
        <v>0</v>
      </c>
      <c r="G564" s="169">
        <f t="shared" si="163"/>
        <v>44</v>
      </c>
      <c r="H564" s="194">
        <f>200-200+6-6</f>
        <v>0</v>
      </c>
      <c r="I564" s="109">
        <f t="shared" si="164"/>
        <v>44</v>
      </c>
      <c r="J564" s="109">
        <f t="shared" si="165"/>
        <v>2112000</v>
      </c>
      <c r="K564" s="110">
        <f t="shared" si="166"/>
        <v>601656</v>
      </c>
      <c r="L564"/>
      <c r="M564" s="314">
        <f t="shared" si="158"/>
        <v>0</v>
      </c>
      <c r="N564" s="310"/>
      <c r="O564" s="315"/>
      <c r="P564" s="315"/>
      <c r="Q564" s="315"/>
      <c r="R564" s="315"/>
      <c r="S564" s="55"/>
      <c r="T564" s="55"/>
      <c r="U564" s="55"/>
      <c r="V564" s="55"/>
      <c r="W564" s="55"/>
      <c r="X564" s="55"/>
      <c r="Y564" s="55"/>
      <c r="Z564" s="55"/>
      <c r="AA564" s="55"/>
      <c r="AB564" s="55"/>
      <c r="AC564" s="55"/>
      <c r="AD564" s="55"/>
      <c r="AE564" s="55"/>
      <c r="AF564" s="55"/>
      <c r="AG564" s="55"/>
      <c r="AH564" s="55"/>
      <c r="AI564" s="55"/>
      <c r="AJ564" s="55"/>
      <c r="AK564" s="55"/>
      <c r="AL564" s="55"/>
      <c r="AM564" s="55"/>
      <c r="AN564" s="55"/>
      <c r="AO564" s="55"/>
      <c r="AP564" s="55"/>
      <c r="AQ564" s="55"/>
      <c r="AR564" s="55"/>
      <c r="AS564" s="55"/>
      <c r="AT564" s="55"/>
      <c r="AU564" s="55"/>
      <c r="AV564" s="55"/>
      <c r="AW564" s="55"/>
      <c r="AX564" s="55"/>
      <c r="AY564" s="55"/>
      <c r="AZ564" s="55"/>
      <c r="BA564" s="55"/>
      <c r="BB564" s="55"/>
      <c r="BC564" s="55"/>
      <c r="BD564" s="55"/>
      <c r="BE564" s="55"/>
      <c r="BF564" s="55"/>
      <c r="BG564" s="55"/>
      <c r="BH564" s="55"/>
      <c r="BI564" s="55"/>
      <c r="BJ564" s="55"/>
      <c r="BK564" s="55"/>
      <c r="BL564" s="55"/>
      <c r="BM564" s="55"/>
      <c r="BN564" s="55"/>
      <c r="BO564" s="55"/>
      <c r="BP564" s="55"/>
      <c r="BQ564" s="55"/>
      <c r="BR564" s="55"/>
      <c r="BS564" s="55"/>
      <c r="BT564" s="55"/>
      <c r="BU564" s="55"/>
      <c r="BV564" s="55"/>
      <c r="BW564" s="55"/>
      <c r="BX564" s="55"/>
      <c r="BY564" s="55"/>
      <c r="BZ564" s="55"/>
      <c r="CA564" s="55"/>
      <c r="CB564" s="55"/>
      <c r="CC564" s="55"/>
      <c r="CD564" s="55"/>
      <c r="CE564" s="55"/>
      <c r="CF564" s="55"/>
      <c r="CG564" s="55"/>
      <c r="CH564" s="55"/>
      <c r="CI564" s="55"/>
      <c r="CJ564" s="55"/>
      <c r="CK564" s="55"/>
      <c r="CL564" s="55"/>
      <c r="CM564" s="55"/>
      <c r="CN564" s="55"/>
      <c r="CO564" s="55"/>
      <c r="CP564" s="55"/>
      <c r="CQ564" s="55"/>
      <c r="CR564" s="55"/>
      <c r="CS564" s="55"/>
      <c r="CT564" s="55"/>
      <c r="CU564" s="55"/>
      <c r="CV564" s="55"/>
      <c r="CW564" s="55"/>
      <c r="CX564" s="55"/>
      <c r="CY564" s="55"/>
      <c r="CZ564" s="55"/>
      <c r="DA564" s="55"/>
      <c r="DB564" s="55"/>
      <c r="DC564" s="55"/>
      <c r="DD564" s="55"/>
      <c r="DE564" s="55"/>
      <c r="DF564" s="55"/>
      <c r="DG564" s="55"/>
      <c r="DH564" s="55"/>
      <c r="DI564" s="55"/>
    </row>
    <row r="565" spans="1:113" x14ac:dyDescent="0.25">
      <c r="A565" s="243">
        <v>22</v>
      </c>
      <c r="B565" s="259" t="s">
        <v>835</v>
      </c>
      <c r="C565" s="44">
        <v>30000</v>
      </c>
      <c r="D565" s="60">
        <v>15262.5</v>
      </c>
      <c r="E565" s="122">
        <v>625</v>
      </c>
      <c r="F565" s="242">
        <f>3000-3000</f>
        <v>0</v>
      </c>
      <c r="G565" s="169">
        <f t="shared" ref="G565:G567" si="167">+E565+F565</f>
        <v>625</v>
      </c>
      <c r="H565" s="194">
        <f>10+50+50+9-119+6-6</f>
        <v>0</v>
      </c>
      <c r="I565" s="109">
        <f t="shared" ref="I565:I567" si="168">+G565-H565</f>
        <v>625</v>
      </c>
      <c r="J565" s="109">
        <f t="shared" ref="J565:J567" si="169">I565*C565</f>
        <v>18750000</v>
      </c>
      <c r="K565" s="110">
        <f t="shared" ref="K565:K567" si="170">+D565*I565</f>
        <v>9539062.5</v>
      </c>
      <c r="L565"/>
      <c r="M565" s="314">
        <f t="shared" si="158"/>
        <v>0</v>
      </c>
      <c r="N565" s="310"/>
      <c r="O565" s="315"/>
      <c r="P565" s="315"/>
      <c r="Q565" s="315"/>
      <c r="R565" s="315"/>
      <c r="S565" s="55"/>
      <c r="T565" s="55"/>
      <c r="U565" s="55"/>
      <c r="V565" s="55"/>
      <c r="W565" s="55"/>
      <c r="X565" s="55"/>
      <c r="Y565" s="55"/>
      <c r="Z565" s="55"/>
      <c r="AA565" s="55"/>
      <c r="AB565" s="55"/>
      <c r="AC565" s="55"/>
      <c r="AD565" s="55"/>
      <c r="AE565" s="55"/>
      <c r="AF565" s="55"/>
      <c r="AG565" s="55"/>
      <c r="AH565" s="55"/>
      <c r="AI565" s="55"/>
      <c r="AJ565" s="55"/>
      <c r="AK565" s="55"/>
      <c r="AL565" s="55"/>
      <c r="AM565" s="55"/>
      <c r="AN565" s="55"/>
      <c r="AO565" s="55"/>
      <c r="AP565" s="55"/>
      <c r="AQ565" s="55"/>
      <c r="AR565" s="55"/>
      <c r="AS565" s="55"/>
      <c r="AT565" s="55"/>
      <c r="AU565" s="55"/>
      <c r="AV565" s="55"/>
      <c r="AW565" s="55"/>
      <c r="AX565" s="55"/>
      <c r="AY565" s="55"/>
      <c r="AZ565" s="55"/>
      <c r="BA565" s="55"/>
      <c r="BB565" s="55"/>
      <c r="BC565" s="55"/>
      <c r="BD565" s="55"/>
      <c r="BE565" s="55"/>
      <c r="BF565" s="55"/>
      <c r="BG565" s="55"/>
      <c r="BH565" s="55"/>
      <c r="BI565" s="55"/>
      <c r="BJ565" s="55"/>
      <c r="BK565" s="55"/>
      <c r="BL565" s="55"/>
      <c r="BM565" s="55"/>
      <c r="BN565" s="55"/>
      <c r="BO565" s="55"/>
      <c r="BP565" s="55"/>
      <c r="BQ565" s="55"/>
      <c r="BR565" s="55"/>
      <c r="BS565" s="55"/>
      <c r="BT565" s="55"/>
      <c r="BU565" s="55"/>
      <c r="BV565" s="55"/>
      <c r="BW565" s="55"/>
      <c r="BX565" s="55"/>
      <c r="BY565" s="55"/>
      <c r="BZ565" s="55"/>
      <c r="CA565" s="55"/>
      <c r="CB565" s="55"/>
      <c r="CC565" s="55"/>
      <c r="CD565" s="55"/>
      <c r="CE565" s="55"/>
      <c r="CF565" s="55"/>
      <c r="CG565" s="55"/>
      <c r="CH565" s="55"/>
      <c r="CI565" s="55"/>
      <c r="CJ565" s="55"/>
      <c r="CK565" s="55"/>
      <c r="CL565" s="55"/>
      <c r="CM565" s="55"/>
      <c r="CN565" s="55"/>
      <c r="CO565" s="55"/>
      <c r="CP565" s="55"/>
      <c r="CQ565" s="55"/>
      <c r="CR565" s="55"/>
      <c r="CS565" s="55"/>
      <c r="CT565" s="55"/>
      <c r="CU565" s="55"/>
      <c r="CV565" s="55"/>
      <c r="CW565" s="55"/>
      <c r="CX565" s="55"/>
      <c r="CY565" s="55"/>
      <c r="CZ565" s="55"/>
      <c r="DA565" s="55"/>
      <c r="DB565" s="55"/>
      <c r="DC565" s="55"/>
      <c r="DD565" s="55"/>
      <c r="DE565" s="55"/>
      <c r="DF565" s="55"/>
      <c r="DG565" s="55"/>
      <c r="DH565" s="55"/>
      <c r="DI565" s="55"/>
    </row>
    <row r="566" spans="1:113" x14ac:dyDescent="0.25">
      <c r="A566" s="243">
        <v>23</v>
      </c>
      <c r="B566" s="259" t="s">
        <v>837</v>
      </c>
      <c r="C566" s="44">
        <v>18000</v>
      </c>
      <c r="D566" s="264">
        <v>9172.8799999999992</v>
      </c>
      <c r="E566" s="122">
        <v>100</v>
      </c>
      <c r="F566" s="242">
        <f>2000-2000</f>
        <v>0</v>
      </c>
      <c r="G566" s="169">
        <f t="shared" si="167"/>
        <v>100</v>
      </c>
      <c r="H566" s="194">
        <f>600-600</f>
        <v>0</v>
      </c>
      <c r="I566" s="109">
        <f t="shared" si="168"/>
        <v>100</v>
      </c>
      <c r="J566" s="109">
        <f t="shared" si="169"/>
        <v>1800000</v>
      </c>
      <c r="K566" s="110">
        <f t="shared" si="170"/>
        <v>917287.99999999988</v>
      </c>
      <c r="L566"/>
      <c r="M566" s="314">
        <f t="shared" si="158"/>
        <v>0</v>
      </c>
      <c r="N566" s="310"/>
      <c r="O566" s="315"/>
      <c r="P566" s="315"/>
      <c r="Q566" s="315"/>
      <c r="R566" s="315"/>
      <c r="S566" s="55"/>
      <c r="T566" s="55"/>
      <c r="U566" s="55"/>
      <c r="V566" s="55"/>
      <c r="W566" s="55"/>
      <c r="X566" s="55"/>
      <c r="Y566" s="55"/>
      <c r="Z566" s="55"/>
      <c r="AA566" s="55"/>
      <c r="AB566" s="55"/>
      <c r="AC566" s="55"/>
      <c r="AD566" s="55"/>
      <c r="AE566" s="55"/>
      <c r="AF566" s="55"/>
      <c r="AG566" s="55"/>
      <c r="AH566" s="55"/>
      <c r="AI566" s="55"/>
      <c r="AJ566" s="55"/>
      <c r="AK566" s="55"/>
      <c r="AL566" s="55"/>
      <c r="AM566" s="55"/>
      <c r="AN566" s="55"/>
      <c r="AO566" s="55"/>
      <c r="AP566" s="55"/>
      <c r="AQ566" s="55"/>
      <c r="AR566" s="55"/>
      <c r="AS566" s="55"/>
      <c r="AT566" s="55"/>
      <c r="AU566" s="55"/>
      <c r="AV566" s="55"/>
      <c r="AW566" s="55"/>
      <c r="AX566" s="55"/>
      <c r="AY566" s="55"/>
      <c r="AZ566" s="55"/>
      <c r="BA566" s="55"/>
      <c r="BB566" s="55"/>
      <c r="BC566" s="55"/>
      <c r="BD566" s="55"/>
      <c r="BE566" s="55"/>
      <c r="BF566" s="55"/>
      <c r="BG566" s="55"/>
      <c r="BH566" s="55"/>
      <c r="BI566" s="55"/>
      <c r="BJ566" s="55"/>
      <c r="BK566" s="55"/>
      <c r="BL566" s="55"/>
      <c r="BM566" s="55"/>
      <c r="BN566" s="55"/>
      <c r="BO566" s="55"/>
      <c r="BP566" s="55"/>
      <c r="BQ566" s="55"/>
      <c r="BR566" s="55"/>
      <c r="BS566" s="55"/>
      <c r="BT566" s="55"/>
      <c r="BU566" s="55"/>
      <c r="BV566" s="55"/>
      <c r="BW566" s="55"/>
      <c r="BX566" s="55"/>
      <c r="BY566" s="55"/>
      <c r="BZ566" s="55"/>
      <c r="CA566" s="55"/>
      <c r="CB566" s="55"/>
      <c r="CC566" s="55"/>
      <c r="CD566" s="55"/>
      <c r="CE566" s="55"/>
      <c r="CF566" s="55"/>
      <c r="CG566" s="55"/>
      <c r="CH566" s="55"/>
      <c r="CI566" s="55"/>
      <c r="CJ566" s="55"/>
      <c r="CK566" s="55"/>
      <c r="CL566" s="55"/>
      <c r="CM566" s="55"/>
      <c r="CN566" s="55"/>
      <c r="CO566" s="55"/>
      <c r="CP566" s="55"/>
      <c r="CQ566" s="55"/>
      <c r="CR566" s="55"/>
      <c r="CS566" s="55"/>
      <c r="CT566" s="55"/>
      <c r="CU566" s="55"/>
      <c r="CV566" s="55"/>
      <c r="CW566" s="55"/>
      <c r="CX566" s="55"/>
      <c r="CY566" s="55"/>
      <c r="CZ566" s="55"/>
      <c r="DA566" s="55"/>
      <c r="DB566" s="55"/>
      <c r="DC566" s="55"/>
      <c r="DD566" s="55"/>
      <c r="DE566" s="55"/>
      <c r="DF566" s="55"/>
      <c r="DG566" s="55"/>
      <c r="DH566" s="55"/>
      <c r="DI566" s="55"/>
    </row>
    <row r="567" spans="1:113" x14ac:dyDescent="0.25">
      <c r="A567" s="243">
        <v>24</v>
      </c>
      <c r="B567" s="259" t="s">
        <v>840</v>
      </c>
      <c r="C567" s="44">
        <v>30000</v>
      </c>
      <c r="D567" s="59"/>
      <c r="E567" s="122">
        <v>0</v>
      </c>
      <c r="F567" s="242">
        <f>2000-2000</f>
        <v>0</v>
      </c>
      <c r="G567" s="169">
        <f t="shared" si="167"/>
        <v>0</v>
      </c>
      <c r="H567" s="194">
        <f>1950-50+100-2000</f>
        <v>0</v>
      </c>
      <c r="I567" s="109">
        <f t="shared" si="168"/>
        <v>0</v>
      </c>
      <c r="J567" s="109">
        <f t="shared" si="169"/>
        <v>0</v>
      </c>
      <c r="K567" s="110">
        <f t="shared" si="170"/>
        <v>0</v>
      </c>
      <c r="L567"/>
      <c r="M567" s="314">
        <f t="shared" si="158"/>
        <v>0</v>
      </c>
      <c r="N567" s="310"/>
      <c r="O567" s="315"/>
      <c r="P567" s="315"/>
      <c r="Q567" s="315"/>
      <c r="R567" s="315"/>
      <c r="S567" s="55"/>
      <c r="T567" s="55"/>
      <c r="U567" s="55"/>
      <c r="V567" s="55"/>
      <c r="W567" s="55"/>
      <c r="X567" s="55"/>
      <c r="Y567" s="55"/>
      <c r="Z567" s="55"/>
      <c r="AA567" s="55"/>
      <c r="AB567" s="55"/>
      <c r="AC567" s="55"/>
      <c r="AD567" s="55"/>
      <c r="AE567" s="55"/>
      <c r="AF567" s="55"/>
      <c r="AG567" s="55"/>
      <c r="AH567" s="55"/>
      <c r="AI567" s="55"/>
      <c r="AJ567" s="55"/>
      <c r="AK567" s="55"/>
      <c r="AL567" s="55"/>
      <c r="AM567" s="55"/>
      <c r="AN567" s="55"/>
      <c r="AO567" s="55"/>
      <c r="AP567" s="55"/>
      <c r="AQ567" s="55"/>
      <c r="AR567" s="55"/>
      <c r="AS567" s="55"/>
      <c r="AT567" s="55"/>
      <c r="AU567" s="55"/>
      <c r="AV567" s="55"/>
      <c r="AW567" s="55"/>
      <c r="AX567" s="55"/>
      <c r="AY567" s="55"/>
      <c r="AZ567" s="55"/>
      <c r="BA567" s="55"/>
      <c r="BB567" s="55"/>
      <c r="BC567" s="55"/>
      <c r="BD567" s="55"/>
      <c r="BE567" s="55"/>
      <c r="BF567" s="55"/>
      <c r="BG567" s="55"/>
      <c r="BH567" s="55"/>
      <c r="BI567" s="55"/>
      <c r="BJ567" s="55"/>
      <c r="BK567" s="55"/>
      <c r="BL567" s="55"/>
      <c r="BM567" s="55"/>
      <c r="BN567" s="55"/>
      <c r="BO567" s="55"/>
      <c r="BP567" s="55"/>
      <c r="BQ567" s="55"/>
      <c r="BR567" s="55"/>
      <c r="BS567" s="55"/>
      <c r="BT567" s="55"/>
      <c r="BU567" s="55"/>
      <c r="BV567" s="55"/>
      <c r="BW567" s="55"/>
      <c r="BX567" s="55"/>
      <c r="BY567" s="55"/>
      <c r="BZ567" s="55"/>
      <c r="CA567" s="55"/>
      <c r="CB567" s="55"/>
      <c r="CC567" s="55"/>
      <c r="CD567" s="55"/>
      <c r="CE567" s="55"/>
      <c r="CF567" s="55"/>
      <c r="CG567" s="55"/>
      <c r="CH567" s="55"/>
      <c r="CI567" s="55"/>
      <c r="CJ567" s="55"/>
      <c r="CK567" s="55"/>
      <c r="CL567" s="55"/>
      <c r="CM567" s="55"/>
      <c r="CN567" s="55"/>
      <c r="CO567" s="55"/>
      <c r="CP567" s="55"/>
      <c r="CQ567" s="55"/>
      <c r="CR567" s="55"/>
      <c r="CS567" s="55"/>
      <c r="CT567" s="55"/>
      <c r="CU567" s="55"/>
      <c r="CV567" s="55"/>
      <c r="CW567" s="55"/>
      <c r="CX567" s="55"/>
      <c r="CY567" s="55"/>
      <c r="CZ567" s="55"/>
      <c r="DA567" s="55"/>
      <c r="DB567" s="55"/>
      <c r="DC567" s="55"/>
      <c r="DD567" s="55"/>
      <c r="DE567" s="55"/>
      <c r="DF567" s="55"/>
      <c r="DG567" s="55"/>
      <c r="DH567" s="55"/>
      <c r="DI567" s="55"/>
    </row>
    <row r="568" spans="1:113" x14ac:dyDescent="0.25">
      <c r="A568" s="243">
        <v>25</v>
      </c>
      <c r="B568" s="268" t="s">
        <v>843</v>
      </c>
      <c r="C568" s="269">
        <v>11000</v>
      </c>
      <c r="D568" s="118">
        <v>3688.43</v>
      </c>
      <c r="E568" s="122">
        <v>0</v>
      </c>
      <c r="F568" s="242">
        <f>10-10</f>
        <v>0</v>
      </c>
      <c r="G568" s="169">
        <f t="shared" ref="G568:G575" si="171">+E568+F568</f>
        <v>0</v>
      </c>
      <c r="H568" s="194">
        <f>10-10</f>
        <v>0</v>
      </c>
      <c r="I568" s="109">
        <f t="shared" ref="I568:I572" si="172">+G568-H568</f>
        <v>0</v>
      </c>
      <c r="J568" s="109">
        <f t="shared" ref="J568:J572" si="173">I568*C568</f>
        <v>0</v>
      </c>
      <c r="K568" s="110">
        <f t="shared" ref="K568:K572" si="174">+D568*I568</f>
        <v>0</v>
      </c>
      <c r="L568"/>
      <c r="M568" s="314">
        <f t="shared" si="158"/>
        <v>0</v>
      </c>
      <c r="N568" s="310"/>
      <c r="O568" s="315"/>
      <c r="P568" s="315"/>
      <c r="Q568" s="315"/>
      <c r="R568" s="315"/>
      <c r="S568" s="55"/>
      <c r="T568" s="55"/>
      <c r="U568" s="55"/>
      <c r="V568" s="55"/>
      <c r="W568" s="55"/>
      <c r="X568" s="55"/>
      <c r="Y568" s="55"/>
      <c r="Z568" s="55"/>
      <c r="AA568" s="55"/>
      <c r="AB568" s="55"/>
      <c r="AC568" s="55"/>
      <c r="AD568" s="55"/>
      <c r="AE568" s="55"/>
      <c r="AF568" s="55"/>
      <c r="AG568" s="55"/>
      <c r="AH568" s="55"/>
      <c r="AI568" s="55"/>
      <c r="AJ568" s="55"/>
      <c r="AK568" s="55"/>
      <c r="AL568" s="55"/>
      <c r="AM568" s="55"/>
      <c r="AN568" s="55"/>
      <c r="AO568" s="55"/>
      <c r="AP568" s="55"/>
      <c r="AQ568" s="55"/>
      <c r="AR568" s="55"/>
      <c r="AS568" s="55"/>
      <c r="AT568" s="55"/>
      <c r="AU568" s="55"/>
      <c r="AV568" s="55"/>
      <c r="AW568" s="55"/>
      <c r="AX568" s="55"/>
      <c r="AY568" s="55"/>
      <c r="AZ568" s="55"/>
      <c r="BA568" s="55"/>
      <c r="BB568" s="55"/>
      <c r="BC568" s="55"/>
      <c r="BD568" s="55"/>
      <c r="BE568" s="55"/>
      <c r="BF568" s="55"/>
      <c r="BG568" s="55"/>
      <c r="BH568" s="55"/>
      <c r="BI568" s="55"/>
      <c r="BJ568" s="55"/>
      <c r="BK568" s="55"/>
      <c r="BL568" s="55"/>
      <c r="BM568" s="55"/>
      <c r="BN568" s="55"/>
      <c r="BO568" s="55"/>
      <c r="BP568" s="55"/>
      <c r="BQ568" s="55"/>
      <c r="BR568" s="55"/>
      <c r="BS568" s="55"/>
      <c r="BT568" s="55"/>
      <c r="BU568" s="55"/>
      <c r="BV568" s="55"/>
      <c r="BW568" s="55"/>
      <c r="BX568" s="55"/>
      <c r="BY568" s="55"/>
      <c r="BZ568" s="55"/>
      <c r="CA568" s="55"/>
      <c r="CB568" s="55"/>
      <c r="CC568" s="55"/>
      <c r="CD568" s="55"/>
      <c r="CE568" s="55"/>
      <c r="CF568" s="55"/>
      <c r="CG568" s="55"/>
      <c r="CH568" s="55"/>
      <c r="CI568" s="55"/>
      <c r="CJ568" s="55"/>
      <c r="CK568" s="55"/>
      <c r="CL568" s="55"/>
      <c r="CM568" s="55"/>
      <c r="CN568" s="55"/>
      <c r="CO568" s="55"/>
      <c r="CP568" s="55"/>
      <c r="CQ568" s="55"/>
      <c r="CR568" s="55"/>
      <c r="CS568" s="55"/>
      <c r="CT568" s="55"/>
      <c r="CU568" s="55"/>
      <c r="CV568" s="55"/>
      <c r="CW568" s="55"/>
      <c r="CX568" s="55"/>
      <c r="CY568" s="55"/>
      <c r="CZ568" s="55"/>
      <c r="DA568" s="55"/>
      <c r="DB568" s="55"/>
      <c r="DC568" s="55"/>
      <c r="DD568" s="55"/>
      <c r="DE568" s="55"/>
      <c r="DF568" s="55"/>
      <c r="DG568" s="55"/>
      <c r="DH568" s="55"/>
      <c r="DI568" s="55"/>
    </row>
    <row r="569" spans="1:113" x14ac:dyDescent="0.25">
      <c r="A569" s="243">
        <v>26</v>
      </c>
      <c r="B569" s="268" t="s">
        <v>844</v>
      </c>
      <c r="C569" s="269">
        <v>10000</v>
      </c>
      <c r="D569" s="118">
        <v>4238.43</v>
      </c>
      <c r="E569" s="122">
        <v>0</v>
      </c>
      <c r="F569" s="242">
        <f>110-110+50-50</f>
        <v>0</v>
      </c>
      <c r="G569" s="169">
        <f t="shared" si="171"/>
        <v>0</v>
      </c>
      <c r="H569" s="194">
        <f>110-110+50-50</f>
        <v>0</v>
      </c>
      <c r="I569" s="109">
        <f t="shared" si="172"/>
        <v>0</v>
      </c>
      <c r="J569" s="109">
        <f t="shared" si="173"/>
        <v>0</v>
      </c>
      <c r="K569" s="110">
        <f t="shared" si="174"/>
        <v>0</v>
      </c>
      <c r="L569"/>
      <c r="M569" s="314">
        <f t="shared" si="158"/>
        <v>0</v>
      </c>
      <c r="N569" s="310"/>
      <c r="O569" s="315"/>
      <c r="P569" s="315"/>
      <c r="Q569" s="315"/>
      <c r="R569" s="315"/>
      <c r="S569" s="55"/>
      <c r="T569" s="55"/>
      <c r="U569" s="55"/>
      <c r="V569" s="55"/>
      <c r="W569" s="55"/>
      <c r="X569" s="55"/>
      <c r="Y569" s="55"/>
      <c r="Z569" s="55"/>
      <c r="AA569" s="55"/>
      <c r="AB569" s="55"/>
      <c r="AC569" s="55"/>
      <c r="AD569" s="55"/>
      <c r="AE569" s="55"/>
      <c r="AF569" s="55"/>
      <c r="AG569" s="55"/>
      <c r="AH569" s="55"/>
      <c r="AI569" s="55"/>
      <c r="AJ569" s="55"/>
      <c r="AK569" s="55"/>
      <c r="AL569" s="55"/>
      <c r="AM569" s="55"/>
      <c r="AN569" s="55"/>
      <c r="AO569" s="55"/>
      <c r="AP569" s="55"/>
      <c r="AQ569" s="55"/>
      <c r="AR569" s="55"/>
      <c r="AS569" s="55"/>
      <c r="AT569" s="55"/>
      <c r="AU569" s="55"/>
      <c r="AV569" s="55"/>
      <c r="AW569" s="55"/>
      <c r="AX569" s="55"/>
      <c r="AY569" s="55"/>
      <c r="AZ569" s="55"/>
      <c r="BA569" s="55"/>
      <c r="BB569" s="55"/>
      <c r="BC569" s="55"/>
      <c r="BD569" s="55"/>
      <c r="BE569" s="55"/>
      <c r="BF569" s="55"/>
      <c r="BG569" s="55"/>
      <c r="BH569" s="55"/>
      <c r="BI569" s="55"/>
      <c r="BJ569" s="55"/>
      <c r="BK569" s="55"/>
      <c r="BL569" s="55"/>
      <c r="BM569" s="55"/>
      <c r="BN569" s="55"/>
      <c r="BO569" s="55"/>
      <c r="BP569" s="55"/>
      <c r="BQ569" s="55"/>
      <c r="BR569" s="55"/>
      <c r="BS569" s="55"/>
      <c r="BT569" s="55"/>
      <c r="BU569" s="55"/>
      <c r="BV569" s="55"/>
      <c r="BW569" s="55"/>
      <c r="BX569" s="55"/>
      <c r="BY569" s="55"/>
      <c r="BZ569" s="55"/>
      <c r="CA569" s="55"/>
      <c r="CB569" s="55"/>
      <c r="CC569" s="55"/>
      <c r="CD569" s="55"/>
      <c r="CE569" s="55"/>
      <c r="CF569" s="55"/>
      <c r="CG569" s="55"/>
      <c r="CH569" s="55"/>
      <c r="CI569" s="55"/>
      <c r="CJ569" s="55"/>
      <c r="CK569" s="55"/>
      <c r="CL569" s="55"/>
      <c r="CM569" s="55"/>
      <c r="CN569" s="55"/>
      <c r="CO569" s="55"/>
      <c r="CP569" s="55"/>
      <c r="CQ569" s="55"/>
      <c r="CR569" s="55"/>
      <c r="CS569" s="55"/>
      <c r="CT569" s="55"/>
      <c r="CU569" s="55"/>
      <c r="CV569" s="55"/>
      <c r="CW569" s="55"/>
      <c r="CX569" s="55"/>
      <c r="CY569" s="55"/>
      <c r="CZ569" s="55"/>
      <c r="DA569" s="55"/>
      <c r="DB569" s="55"/>
      <c r="DC569" s="55"/>
      <c r="DD569" s="55"/>
      <c r="DE569" s="55"/>
      <c r="DF569" s="55"/>
      <c r="DG569" s="55"/>
      <c r="DH569" s="55"/>
      <c r="DI569" s="55"/>
    </row>
    <row r="570" spans="1:113" x14ac:dyDescent="0.25">
      <c r="A570" s="243">
        <v>27</v>
      </c>
      <c r="B570" s="268" t="s">
        <v>845</v>
      </c>
      <c r="C570" s="269">
        <v>10000</v>
      </c>
      <c r="D570" s="118">
        <v>3088.43</v>
      </c>
      <c r="E570" s="122">
        <v>0</v>
      </c>
      <c r="F570" s="242">
        <f>60-60</f>
        <v>0</v>
      </c>
      <c r="G570" s="169">
        <f t="shared" si="171"/>
        <v>0</v>
      </c>
      <c r="H570" s="194">
        <f>60-60</f>
        <v>0</v>
      </c>
      <c r="I570" s="109">
        <f t="shared" si="172"/>
        <v>0</v>
      </c>
      <c r="J570" s="109">
        <f t="shared" si="173"/>
        <v>0</v>
      </c>
      <c r="K570" s="110">
        <f t="shared" si="174"/>
        <v>0</v>
      </c>
      <c r="L570"/>
      <c r="M570" s="314">
        <f t="shared" si="158"/>
        <v>0</v>
      </c>
      <c r="N570" s="310"/>
      <c r="O570" s="315"/>
      <c r="P570" s="315"/>
      <c r="Q570" s="315"/>
      <c r="R570" s="315"/>
      <c r="S570" s="55"/>
      <c r="T570" s="55"/>
      <c r="U570" s="55"/>
      <c r="V570" s="55"/>
      <c r="W570" s="55"/>
      <c r="X570" s="55"/>
      <c r="Y570" s="55"/>
      <c r="Z570" s="55"/>
      <c r="AA570" s="55"/>
      <c r="AB570" s="55"/>
      <c r="AC570" s="55"/>
      <c r="AD570" s="55"/>
      <c r="AE570" s="55"/>
      <c r="AF570" s="55"/>
      <c r="AG570" s="55"/>
      <c r="AH570" s="55"/>
      <c r="AI570" s="55"/>
      <c r="AJ570" s="55"/>
      <c r="AK570" s="55"/>
      <c r="AL570" s="55"/>
      <c r="AM570" s="55"/>
      <c r="AN570" s="55"/>
      <c r="AO570" s="55"/>
      <c r="AP570" s="55"/>
      <c r="AQ570" s="55"/>
      <c r="AR570" s="55"/>
      <c r="AS570" s="55"/>
      <c r="AT570" s="55"/>
      <c r="AU570" s="55"/>
      <c r="AV570" s="55"/>
      <c r="AW570" s="55"/>
      <c r="AX570" s="55"/>
      <c r="AY570" s="55"/>
      <c r="AZ570" s="55"/>
      <c r="BA570" s="55"/>
      <c r="BB570" s="55"/>
      <c r="BC570" s="55"/>
      <c r="BD570" s="55"/>
      <c r="BE570" s="55"/>
      <c r="BF570" s="55"/>
      <c r="BG570" s="55"/>
      <c r="BH570" s="55"/>
      <c r="BI570" s="55"/>
      <c r="BJ570" s="55"/>
      <c r="BK570" s="55"/>
      <c r="BL570" s="55"/>
      <c r="BM570" s="55"/>
      <c r="BN570" s="55"/>
      <c r="BO570" s="55"/>
      <c r="BP570" s="55"/>
      <c r="BQ570" s="55"/>
      <c r="BR570" s="55"/>
      <c r="BS570" s="55"/>
      <c r="BT570" s="55"/>
      <c r="BU570" s="55"/>
      <c r="BV570" s="55"/>
      <c r="BW570" s="55"/>
      <c r="BX570" s="55"/>
      <c r="BY570" s="55"/>
      <c r="BZ570" s="55"/>
      <c r="CA570" s="55"/>
      <c r="CB570" s="55"/>
      <c r="CC570" s="55"/>
      <c r="CD570" s="55"/>
      <c r="CE570" s="55"/>
      <c r="CF570" s="55"/>
      <c r="CG570" s="55"/>
      <c r="CH570" s="55"/>
      <c r="CI570" s="55"/>
      <c r="CJ570" s="55"/>
      <c r="CK570" s="55"/>
      <c r="CL570" s="55"/>
      <c r="CM570" s="55"/>
      <c r="CN570" s="55"/>
      <c r="CO570" s="55"/>
      <c r="CP570" s="55"/>
      <c r="CQ570" s="55"/>
      <c r="CR570" s="55"/>
      <c r="CS570" s="55"/>
      <c r="CT570" s="55"/>
      <c r="CU570" s="55"/>
      <c r="CV570" s="55"/>
      <c r="CW570" s="55"/>
      <c r="CX570" s="55"/>
      <c r="CY570" s="55"/>
      <c r="CZ570" s="55"/>
      <c r="DA570" s="55"/>
      <c r="DB570" s="55"/>
      <c r="DC570" s="55"/>
      <c r="DD570" s="55"/>
      <c r="DE570" s="55"/>
      <c r="DF570" s="55"/>
      <c r="DG570" s="55"/>
      <c r="DH570" s="55"/>
      <c r="DI570" s="55"/>
    </row>
    <row r="571" spans="1:113" x14ac:dyDescent="0.25">
      <c r="A571" s="243">
        <v>28</v>
      </c>
      <c r="B571" s="268" t="s">
        <v>846</v>
      </c>
      <c r="C571" s="269">
        <v>9000</v>
      </c>
      <c r="D571" s="118"/>
      <c r="E571" s="122">
        <v>0</v>
      </c>
      <c r="F571" s="242">
        <f>1000-1000</f>
        <v>0</v>
      </c>
      <c r="G571" s="169">
        <f t="shared" si="171"/>
        <v>0</v>
      </c>
      <c r="H571" s="194">
        <f>1000-1000</f>
        <v>0</v>
      </c>
      <c r="I571" s="109">
        <f t="shared" si="172"/>
        <v>0</v>
      </c>
      <c r="J571" s="109">
        <f t="shared" si="173"/>
        <v>0</v>
      </c>
      <c r="K571" s="110">
        <f t="shared" si="174"/>
        <v>0</v>
      </c>
      <c r="L571"/>
      <c r="M571" s="314">
        <f t="shared" si="158"/>
        <v>0</v>
      </c>
      <c r="N571" s="310"/>
      <c r="O571" s="315"/>
      <c r="P571" s="315"/>
      <c r="Q571" s="315"/>
      <c r="R571" s="315"/>
      <c r="S571" s="55"/>
      <c r="T571" s="55"/>
      <c r="U571" s="55"/>
      <c r="V571" s="55"/>
      <c r="W571" s="55"/>
      <c r="X571" s="55"/>
      <c r="Y571" s="55"/>
      <c r="Z571" s="55"/>
      <c r="AA571" s="55"/>
      <c r="AB571" s="55"/>
      <c r="AC571" s="55"/>
      <c r="AD571" s="55"/>
      <c r="AE571" s="55"/>
      <c r="AF571" s="55"/>
      <c r="AG571" s="55"/>
      <c r="AH571" s="55"/>
      <c r="AI571" s="55"/>
      <c r="AJ571" s="55"/>
      <c r="AK571" s="55"/>
      <c r="AL571" s="55"/>
      <c r="AM571" s="55"/>
      <c r="AN571" s="55"/>
      <c r="AO571" s="55"/>
      <c r="AP571" s="55"/>
      <c r="AQ571" s="55"/>
      <c r="AR571" s="55"/>
      <c r="AS571" s="55"/>
      <c r="AT571" s="55"/>
      <c r="AU571" s="55"/>
      <c r="AV571" s="55"/>
      <c r="AW571" s="55"/>
      <c r="AX571" s="55"/>
      <c r="AY571" s="55"/>
      <c r="AZ571" s="55"/>
      <c r="BA571" s="55"/>
      <c r="BB571" s="55"/>
      <c r="BC571" s="55"/>
      <c r="BD571" s="55"/>
      <c r="BE571" s="55"/>
      <c r="BF571" s="55"/>
      <c r="BG571" s="55"/>
      <c r="BH571" s="55"/>
      <c r="BI571" s="55"/>
      <c r="BJ571" s="55"/>
      <c r="BK571" s="55"/>
      <c r="BL571" s="55"/>
      <c r="BM571" s="55"/>
      <c r="BN571" s="55"/>
      <c r="BO571" s="55"/>
      <c r="BP571" s="55"/>
      <c r="BQ571" s="55"/>
      <c r="BR571" s="55"/>
      <c r="BS571" s="55"/>
      <c r="BT571" s="55"/>
      <c r="BU571" s="55"/>
      <c r="BV571" s="55"/>
      <c r="BW571" s="55"/>
      <c r="BX571" s="55"/>
      <c r="BY571" s="55"/>
      <c r="BZ571" s="55"/>
      <c r="CA571" s="55"/>
      <c r="CB571" s="55"/>
      <c r="CC571" s="55"/>
      <c r="CD571" s="55"/>
      <c r="CE571" s="55"/>
      <c r="CF571" s="55"/>
      <c r="CG571" s="55"/>
      <c r="CH571" s="55"/>
      <c r="CI571" s="55"/>
      <c r="CJ571" s="55"/>
      <c r="CK571" s="55"/>
      <c r="CL571" s="55"/>
      <c r="CM571" s="55"/>
      <c r="CN571" s="55"/>
      <c r="CO571" s="55"/>
      <c r="CP571" s="55"/>
      <c r="CQ571" s="55"/>
      <c r="CR571" s="55"/>
      <c r="CS571" s="55"/>
      <c r="CT571" s="55"/>
      <c r="CU571" s="55"/>
      <c r="CV571" s="55"/>
      <c r="CW571" s="55"/>
      <c r="CX571" s="55"/>
      <c r="CY571" s="55"/>
      <c r="CZ571" s="55"/>
      <c r="DA571" s="55"/>
      <c r="DB571" s="55"/>
      <c r="DC571" s="55"/>
      <c r="DD571" s="55"/>
      <c r="DE571" s="55"/>
      <c r="DF571" s="55"/>
      <c r="DG571" s="55"/>
      <c r="DH571" s="55"/>
      <c r="DI571" s="55"/>
    </row>
    <row r="572" spans="1:113" x14ac:dyDescent="0.25">
      <c r="A572" s="267">
        <v>29</v>
      </c>
      <c r="B572" s="268" t="s">
        <v>848</v>
      </c>
      <c r="C572" s="269">
        <v>13000</v>
      </c>
      <c r="D572" s="118">
        <v>5970.25</v>
      </c>
      <c r="E572" s="122">
        <v>0</v>
      </c>
      <c r="F572" s="242">
        <f>1000+800-1800</f>
        <v>0</v>
      </c>
      <c r="G572" s="169">
        <f t="shared" si="171"/>
        <v>0</v>
      </c>
      <c r="H572" s="194">
        <f>1000+800-1800</f>
        <v>0</v>
      </c>
      <c r="I572" s="109">
        <f t="shared" si="172"/>
        <v>0</v>
      </c>
      <c r="J572" s="109">
        <f t="shared" si="173"/>
        <v>0</v>
      </c>
      <c r="K572" s="110">
        <f t="shared" si="174"/>
        <v>0</v>
      </c>
      <c r="L572"/>
      <c r="M572" s="314">
        <f t="shared" si="158"/>
        <v>0</v>
      </c>
      <c r="N572" s="310"/>
      <c r="O572" s="315"/>
      <c r="P572" s="315"/>
      <c r="Q572" s="315"/>
      <c r="R572" s="315"/>
      <c r="S572" s="55"/>
      <c r="T572" s="55"/>
      <c r="U572" s="55"/>
      <c r="V572" s="55"/>
      <c r="W572" s="55"/>
      <c r="X572" s="55"/>
      <c r="Y572" s="55"/>
      <c r="Z572" s="55"/>
      <c r="AA572" s="55"/>
      <c r="AB572" s="55"/>
      <c r="AC572" s="55"/>
      <c r="AD572" s="55"/>
      <c r="AE572" s="55"/>
      <c r="AF572" s="55"/>
      <c r="AG572" s="55"/>
      <c r="AH572" s="55"/>
      <c r="AI572" s="55"/>
      <c r="AJ572" s="55"/>
      <c r="AK572" s="55"/>
      <c r="AL572" s="55"/>
      <c r="AM572" s="55"/>
      <c r="AN572" s="55"/>
      <c r="AO572" s="55"/>
      <c r="AP572" s="55"/>
      <c r="AQ572" s="55"/>
      <c r="AR572" s="55"/>
      <c r="AS572" s="55"/>
      <c r="AT572" s="55"/>
      <c r="AU572" s="55"/>
      <c r="AV572" s="55"/>
      <c r="AW572" s="55"/>
      <c r="AX572" s="55"/>
      <c r="AY572" s="55"/>
      <c r="AZ572" s="55"/>
      <c r="BA572" s="55"/>
      <c r="BB572" s="55"/>
      <c r="BC572" s="55"/>
      <c r="BD572" s="55"/>
      <c r="BE572" s="55"/>
      <c r="BF572" s="55"/>
      <c r="BG572" s="55"/>
      <c r="BH572" s="55"/>
      <c r="BI572" s="55"/>
      <c r="BJ572" s="55"/>
      <c r="BK572" s="55"/>
      <c r="BL572" s="55"/>
      <c r="BM572" s="55"/>
      <c r="BN572" s="55"/>
      <c r="BO572" s="55"/>
      <c r="BP572" s="55"/>
      <c r="BQ572" s="55"/>
      <c r="BR572" s="55"/>
      <c r="BS572" s="55"/>
      <c r="BT572" s="55"/>
      <c r="BU572" s="55"/>
      <c r="BV572" s="55"/>
      <c r="BW572" s="55"/>
      <c r="BX572" s="55"/>
      <c r="BY572" s="55"/>
      <c r="BZ572" s="55"/>
      <c r="CA572" s="55"/>
      <c r="CB572" s="55"/>
      <c r="CC572" s="55"/>
      <c r="CD572" s="55"/>
      <c r="CE572" s="55"/>
      <c r="CF572" s="55"/>
      <c r="CG572" s="55"/>
      <c r="CH572" s="55"/>
      <c r="CI572" s="55"/>
      <c r="CJ572" s="55"/>
      <c r="CK572" s="55"/>
      <c r="CL572" s="55"/>
      <c r="CM572" s="55"/>
      <c r="CN572" s="55"/>
      <c r="CO572" s="55"/>
      <c r="CP572" s="55"/>
      <c r="CQ572" s="55"/>
      <c r="CR572" s="55"/>
      <c r="CS572" s="55"/>
      <c r="CT572" s="55"/>
      <c r="CU572" s="55"/>
      <c r="CV572" s="55"/>
      <c r="CW572" s="55"/>
      <c r="CX572" s="55"/>
      <c r="CY572" s="55"/>
      <c r="CZ572" s="55"/>
      <c r="DA572" s="55"/>
      <c r="DB572" s="55"/>
      <c r="DC572" s="55"/>
      <c r="DD572" s="55"/>
      <c r="DE572" s="55"/>
      <c r="DF572" s="55"/>
      <c r="DG572" s="55"/>
      <c r="DH572" s="55"/>
      <c r="DI572" s="55"/>
    </row>
    <row r="573" spans="1:113" x14ac:dyDescent="0.25">
      <c r="A573" s="267">
        <v>30</v>
      </c>
      <c r="B573" s="268" t="s">
        <v>857</v>
      </c>
      <c r="C573" s="269">
        <v>27000</v>
      </c>
      <c r="D573" s="118"/>
      <c r="E573" s="122">
        <v>50</v>
      </c>
      <c r="F573" s="242">
        <f>3000-3000</f>
        <v>0</v>
      </c>
      <c r="G573" s="169">
        <f t="shared" si="171"/>
        <v>50</v>
      </c>
      <c r="H573" s="194">
        <f>2400+50+500-2950</f>
        <v>0</v>
      </c>
      <c r="I573" s="109">
        <f t="shared" ref="I573" si="175">+G573-H573</f>
        <v>50</v>
      </c>
      <c r="J573" s="109">
        <f t="shared" ref="J573" si="176">I573*C573</f>
        <v>1350000</v>
      </c>
      <c r="K573" s="110">
        <f t="shared" ref="K573" si="177">+D573*I573</f>
        <v>0</v>
      </c>
      <c r="L573"/>
      <c r="M573" s="314">
        <f t="shared" si="158"/>
        <v>0</v>
      </c>
      <c r="N573" s="310"/>
      <c r="O573" s="315"/>
      <c r="P573" s="315"/>
      <c r="Q573" s="315"/>
      <c r="R573" s="315"/>
      <c r="S573" s="55"/>
      <c r="T573" s="55"/>
      <c r="U573" s="55"/>
      <c r="V573" s="55"/>
      <c r="W573" s="55"/>
      <c r="X573" s="55"/>
      <c r="Y573" s="55"/>
      <c r="Z573" s="55"/>
      <c r="AA573" s="55"/>
      <c r="AB573" s="55"/>
      <c r="AC573" s="55"/>
      <c r="AD573" s="55"/>
      <c r="AE573" s="55"/>
      <c r="AF573" s="55"/>
      <c r="AG573" s="55"/>
      <c r="AH573" s="55"/>
      <c r="AI573" s="55"/>
      <c r="AJ573" s="55"/>
      <c r="AK573" s="55"/>
      <c r="AL573" s="55"/>
      <c r="AM573" s="55"/>
      <c r="AN573" s="55"/>
      <c r="AO573" s="55"/>
      <c r="AP573" s="55"/>
      <c r="AQ573" s="55"/>
      <c r="AR573" s="55"/>
      <c r="AS573" s="55"/>
      <c r="AT573" s="55"/>
      <c r="AU573" s="55"/>
      <c r="AV573" s="55"/>
      <c r="AW573" s="55"/>
      <c r="AX573" s="55"/>
      <c r="AY573" s="55"/>
      <c r="AZ573" s="55"/>
      <c r="BA573" s="55"/>
      <c r="BB573" s="55"/>
      <c r="BC573" s="55"/>
      <c r="BD573" s="55"/>
      <c r="BE573" s="55"/>
      <c r="BF573" s="55"/>
      <c r="BG573" s="55"/>
      <c r="BH573" s="55"/>
      <c r="BI573" s="55"/>
      <c r="BJ573" s="55"/>
      <c r="BK573" s="55"/>
      <c r="BL573" s="55"/>
      <c r="BM573" s="55"/>
      <c r="BN573" s="55"/>
      <c r="BO573" s="55"/>
      <c r="BP573" s="55"/>
      <c r="BQ573" s="55"/>
      <c r="BR573" s="55"/>
      <c r="BS573" s="55"/>
      <c r="BT573" s="55"/>
      <c r="BU573" s="55"/>
      <c r="BV573" s="55"/>
      <c r="BW573" s="55"/>
      <c r="BX573" s="55"/>
      <c r="BY573" s="55"/>
      <c r="BZ573" s="55"/>
      <c r="CA573" s="55"/>
      <c r="CB573" s="55"/>
      <c r="CC573" s="55"/>
      <c r="CD573" s="55"/>
      <c r="CE573" s="55"/>
      <c r="CF573" s="55"/>
      <c r="CG573" s="55"/>
      <c r="CH573" s="55"/>
      <c r="CI573" s="55"/>
      <c r="CJ573" s="55"/>
      <c r="CK573" s="55"/>
      <c r="CL573" s="55"/>
      <c r="CM573" s="55"/>
      <c r="CN573" s="55"/>
      <c r="CO573" s="55"/>
      <c r="CP573" s="55"/>
      <c r="CQ573" s="55"/>
      <c r="CR573" s="55"/>
      <c r="CS573" s="55"/>
      <c r="CT573" s="55"/>
      <c r="CU573" s="55"/>
      <c r="CV573" s="55"/>
      <c r="CW573" s="55"/>
      <c r="CX573" s="55"/>
      <c r="CY573" s="55"/>
      <c r="CZ573" s="55"/>
      <c r="DA573" s="55"/>
      <c r="DB573" s="55"/>
      <c r="DC573" s="55"/>
      <c r="DD573" s="55"/>
      <c r="DE573" s="55"/>
      <c r="DF573" s="55"/>
      <c r="DG573" s="55"/>
      <c r="DH573" s="55"/>
      <c r="DI573" s="55"/>
    </row>
    <row r="574" spans="1:113" x14ac:dyDescent="0.25">
      <c r="A574" s="267">
        <v>31</v>
      </c>
      <c r="B574" s="268" t="s">
        <v>414</v>
      </c>
      <c r="C574" s="269">
        <v>13000</v>
      </c>
      <c r="D574" s="118">
        <v>8755.25</v>
      </c>
      <c r="E574" s="122">
        <v>0</v>
      </c>
      <c r="F574" s="242">
        <f>1000-1000</f>
        <v>0</v>
      </c>
      <c r="G574" s="169">
        <f t="shared" si="171"/>
        <v>0</v>
      </c>
      <c r="H574" s="194">
        <f>1000-1000</f>
        <v>0</v>
      </c>
      <c r="I574" s="109">
        <f t="shared" ref="I574:I575" si="178">+G574-H574</f>
        <v>0</v>
      </c>
      <c r="J574" s="109">
        <f t="shared" ref="J574:J575" si="179">I574*C574</f>
        <v>0</v>
      </c>
      <c r="K574" s="110">
        <f t="shared" ref="K574:K575" si="180">+D574*I574</f>
        <v>0</v>
      </c>
      <c r="L574"/>
      <c r="M574" s="314">
        <f t="shared" si="158"/>
        <v>0</v>
      </c>
      <c r="N574" s="310"/>
      <c r="O574" s="315"/>
      <c r="P574" s="315"/>
      <c r="Q574" s="315"/>
      <c r="R574" s="315"/>
      <c r="S574" s="55"/>
      <c r="T574" s="55"/>
      <c r="U574" s="55"/>
      <c r="V574" s="55"/>
      <c r="W574" s="55"/>
      <c r="X574" s="55"/>
      <c r="Y574" s="55"/>
      <c r="Z574" s="55"/>
      <c r="AA574" s="55"/>
      <c r="AB574" s="55"/>
      <c r="AC574" s="55"/>
      <c r="AD574" s="55"/>
      <c r="AE574" s="55"/>
      <c r="AF574" s="55"/>
      <c r="AG574" s="55"/>
      <c r="AH574" s="55"/>
      <c r="AI574" s="55"/>
      <c r="AJ574" s="55"/>
      <c r="AK574" s="55"/>
      <c r="AL574" s="55"/>
      <c r="AM574" s="55"/>
      <c r="AN574" s="55"/>
      <c r="AO574" s="55"/>
      <c r="AP574" s="55"/>
      <c r="AQ574" s="55"/>
      <c r="AR574" s="55"/>
      <c r="AS574" s="55"/>
      <c r="AT574" s="55"/>
      <c r="AU574" s="55"/>
      <c r="AV574" s="55"/>
      <c r="AW574" s="55"/>
      <c r="AX574" s="55"/>
      <c r="AY574" s="55"/>
      <c r="AZ574" s="55"/>
      <c r="BA574" s="55"/>
      <c r="BB574" s="55"/>
      <c r="BC574" s="55"/>
      <c r="BD574" s="55"/>
      <c r="BE574" s="55"/>
      <c r="BF574" s="55"/>
      <c r="BG574" s="55"/>
      <c r="BH574" s="55"/>
      <c r="BI574" s="55"/>
      <c r="BJ574" s="55"/>
      <c r="BK574" s="55"/>
      <c r="BL574" s="55"/>
      <c r="BM574" s="55"/>
      <c r="BN574" s="55"/>
      <c r="BO574" s="55"/>
      <c r="BP574" s="55"/>
      <c r="BQ574" s="55"/>
      <c r="BR574" s="55"/>
      <c r="BS574" s="55"/>
      <c r="BT574" s="55"/>
      <c r="BU574" s="55"/>
      <c r="BV574" s="55"/>
      <c r="BW574" s="55"/>
      <c r="BX574" s="55"/>
      <c r="BY574" s="55"/>
      <c r="BZ574" s="55"/>
      <c r="CA574" s="55"/>
      <c r="CB574" s="55"/>
      <c r="CC574" s="55"/>
      <c r="CD574" s="55"/>
      <c r="CE574" s="55"/>
      <c r="CF574" s="55"/>
      <c r="CG574" s="55"/>
      <c r="CH574" s="55"/>
      <c r="CI574" s="55"/>
      <c r="CJ574" s="55"/>
      <c r="CK574" s="55"/>
      <c r="CL574" s="55"/>
      <c r="CM574" s="55"/>
      <c r="CN574" s="55"/>
      <c r="CO574" s="55"/>
      <c r="CP574" s="55"/>
      <c r="CQ574" s="55"/>
      <c r="CR574" s="55"/>
      <c r="CS574" s="55"/>
      <c r="CT574" s="55"/>
      <c r="CU574" s="55"/>
      <c r="CV574" s="55"/>
      <c r="CW574" s="55"/>
      <c r="CX574" s="55"/>
      <c r="CY574" s="55"/>
      <c r="CZ574" s="55"/>
      <c r="DA574" s="55"/>
      <c r="DB574" s="55"/>
      <c r="DC574" s="55"/>
      <c r="DD574" s="55"/>
      <c r="DE574" s="55"/>
      <c r="DF574" s="55"/>
      <c r="DG574" s="55"/>
      <c r="DH574" s="55"/>
      <c r="DI574" s="55"/>
    </row>
    <row r="575" spans="1:113" ht="15.75" thickBot="1" x14ac:dyDescent="0.3">
      <c r="A575" s="245">
        <v>32</v>
      </c>
      <c r="B575" s="268" t="s">
        <v>877</v>
      </c>
      <c r="C575" s="246">
        <v>3000</v>
      </c>
      <c r="D575" s="146">
        <v>2750</v>
      </c>
      <c r="E575" s="246">
        <v>0</v>
      </c>
      <c r="F575" s="242">
        <f>1000-1000</f>
        <v>0</v>
      </c>
      <c r="G575" s="169">
        <f t="shared" si="171"/>
        <v>0</v>
      </c>
      <c r="H575" s="247">
        <f>1000-1000</f>
        <v>0</v>
      </c>
      <c r="I575" s="109">
        <f t="shared" si="178"/>
        <v>0</v>
      </c>
      <c r="J575" s="109">
        <f t="shared" si="179"/>
        <v>0</v>
      </c>
      <c r="K575" s="110">
        <f t="shared" si="180"/>
        <v>0</v>
      </c>
      <c r="L575"/>
      <c r="M575" s="314">
        <f t="shared" si="158"/>
        <v>0</v>
      </c>
      <c r="N575" s="310"/>
      <c r="O575" s="315"/>
      <c r="P575" s="315"/>
      <c r="Q575" s="315"/>
      <c r="R575" s="315"/>
      <c r="S575" s="55"/>
      <c r="T575" s="55"/>
      <c r="U575" s="55"/>
      <c r="V575" s="55"/>
      <c r="W575" s="55"/>
      <c r="X575" s="55"/>
      <c r="Y575" s="55"/>
      <c r="Z575" s="55"/>
      <c r="AA575" s="55"/>
      <c r="AB575" s="55"/>
      <c r="AC575" s="55"/>
      <c r="AD575" s="55"/>
      <c r="AE575" s="55"/>
      <c r="AF575" s="55"/>
      <c r="AG575" s="55"/>
      <c r="AH575" s="55"/>
      <c r="AI575" s="55"/>
      <c r="AJ575" s="55"/>
      <c r="AK575" s="55"/>
      <c r="AL575" s="55"/>
      <c r="AM575" s="55"/>
      <c r="AN575" s="55"/>
      <c r="AO575" s="55"/>
      <c r="AP575" s="55"/>
      <c r="AQ575" s="55"/>
      <c r="AR575" s="55"/>
      <c r="AS575" s="55"/>
      <c r="AT575" s="55"/>
      <c r="AU575" s="55"/>
      <c r="AV575" s="55"/>
      <c r="AW575" s="55"/>
      <c r="AX575" s="55"/>
      <c r="AY575" s="55"/>
      <c r="AZ575" s="55"/>
      <c r="BA575" s="55"/>
      <c r="BB575" s="55"/>
      <c r="BC575" s="55"/>
      <c r="BD575" s="55"/>
      <c r="BE575" s="55"/>
      <c r="BF575" s="55"/>
      <c r="BG575" s="55"/>
      <c r="BH575" s="55"/>
      <c r="BI575" s="55"/>
      <c r="BJ575" s="55"/>
      <c r="BK575" s="55"/>
      <c r="BL575" s="55"/>
      <c r="BM575" s="55"/>
      <c r="BN575" s="55"/>
      <c r="BO575" s="55"/>
      <c r="BP575" s="55"/>
      <c r="BQ575" s="55"/>
      <c r="BR575" s="55"/>
      <c r="BS575" s="55"/>
      <c r="BT575" s="55"/>
      <c r="BU575" s="55"/>
      <c r="BV575" s="55"/>
      <c r="BW575" s="55"/>
      <c r="BX575" s="55"/>
      <c r="BY575" s="55"/>
      <c r="BZ575" s="55"/>
      <c r="CA575" s="55"/>
      <c r="CB575" s="55"/>
      <c r="CC575" s="55"/>
      <c r="CD575" s="55"/>
      <c r="CE575" s="55"/>
      <c r="CF575" s="55"/>
      <c r="CG575" s="55"/>
      <c r="CH575" s="55"/>
      <c r="CI575" s="55"/>
      <c r="CJ575" s="55"/>
      <c r="CK575" s="55"/>
      <c r="CL575" s="55"/>
      <c r="CM575" s="55"/>
      <c r="CN575" s="55"/>
      <c r="CO575" s="55"/>
      <c r="CP575" s="55"/>
      <c r="CQ575" s="55"/>
      <c r="CR575" s="55"/>
      <c r="CS575" s="55"/>
      <c r="CT575" s="55"/>
      <c r="CU575" s="55"/>
      <c r="CV575" s="55"/>
      <c r="CW575" s="55"/>
      <c r="CX575" s="55"/>
      <c r="CY575" s="55"/>
      <c r="CZ575" s="55"/>
      <c r="DA575" s="55"/>
      <c r="DB575" s="55"/>
      <c r="DC575" s="55"/>
      <c r="DD575" s="55"/>
      <c r="DE575" s="55"/>
      <c r="DF575" s="55"/>
      <c r="DG575" s="55"/>
      <c r="DH575" s="55"/>
      <c r="DI575" s="55"/>
    </row>
    <row r="576" spans="1:113" ht="15.75" thickBot="1" x14ac:dyDescent="0.3">
      <c r="A576" s="128"/>
      <c r="B576" s="119" t="s">
        <v>730</v>
      </c>
      <c r="C576" s="36"/>
      <c r="D576" s="36"/>
      <c r="E576" s="29">
        <f>SUM(E544:E575)</f>
        <v>3141</v>
      </c>
      <c r="F576" s="29">
        <f>SUM(F544:F575)</f>
        <v>0</v>
      </c>
      <c r="G576" s="29">
        <f t="shared" ref="G576:J576" si="181">SUM(G544:G575)</f>
        <v>3141</v>
      </c>
      <c r="H576" s="29">
        <f t="shared" si="181"/>
        <v>0</v>
      </c>
      <c r="I576" s="29">
        <f t="shared" si="181"/>
        <v>3141</v>
      </c>
      <c r="J576" s="29">
        <f t="shared" si="181"/>
        <v>49776000</v>
      </c>
      <c r="K576" s="47">
        <f>SUM(K544:K575)</f>
        <v>18208993.5</v>
      </c>
      <c r="L576"/>
      <c r="M576" s="326">
        <f t="shared" si="158"/>
        <v>0</v>
      </c>
      <c r="N576" s="325"/>
      <c r="O576" s="325"/>
      <c r="P576" s="325"/>
      <c r="Q576" s="325"/>
      <c r="R576" s="325"/>
      <c r="S576" s="324"/>
      <c r="T576" s="324"/>
      <c r="U576" s="324"/>
      <c r="V576" s="324"/>
      <c r="W576" s="324"/>
      <c r="X576" s="324"/>
      <c r="Y576" s="324"/>
      <c r="Z576" s="324"/>
      <c r="AA576" s="324"/>
      <c r="AB576" s="324"/>
      <c r="AC576" s="324"/>
      <c r="AD576" s="324"/>
      <c r="AE576" s="324"/>
      <c r="AF576" s="324"/>
      <c r="AG576" s="324"/>
      <c r="AH576" s="324"/>
      <c r="AI576" s="324"/>
      <c r="AJ576" s="324"/>
      <c r="AK576" s="324"/>
      <c r="AL576" s="324"/>
      <c r="AM576" s="324"/>
      <c r="AN576" s="324"/>
      <c r="AO576" s="324"/>
      <c r="AP576" s="324"/>
      <c r="AQ576" s="324"/>
      <c r="AR576" s="324"/>
      <c r="AS576" s="324"/>
      <c r="AT576" s="324"/>
      <c r="AU576" s="324"/>
      <c r="AV576" s="324"/>
      <c r="AW576" s="324"/>
      <c r="AX576" s="324"/>
      <c r="AY576" s="324"/>
      <c r="AZ576" s="324"/>
      <c r="BA576" s="324"/>
      <c r="BB576" s="324"/>
      <c r="BC576" s="324"/>
      <c r="BD576" s="324"/>
      <c r="BE576" s="324"/>
      <c r="BF576" s="324"/>
      <c r="BG576" s="324"/>
      <c r="BH576" s="324"/>
      <c r="BI576" s="324"/>
      <c r="BJ576" s="324"/>
      <c r="BK576" s="324"/>
      <c r="BL576" s="324"/>
      <c r="BM576" s="324"/>
      <c r="BN576" s="324"/>
      <c r="BO576" s="324"/>
      <c r="BP576" s="324"/>
      <c r="BQ576" s="324"/>
      <c r="BR576" s="324"/>
      <c r="BS576" s="324"/>
      <c r="BT576" s="324"/>
      <c r="BU576" s="324"/>
      <c r="BV576" s="324"/>
      <c r="BW576" s="324"/>
      <c r="BX576" s="324"/>
      <c r="BY576" s="324"/>
      <c r="BZ576" s="324"/>
      <c r="CA576" s="324"/>
      <c r="CB576" s="324"/>
      <c r="CC576" s="324"/>
      <c r="CD576" s="324"/>
      <c r="CE576" s="324"/>
      <c r="CF576" s="324"/>
      <c r="CG576" s="324"/>
      <c r="CH576" s="324"/>
      <c r="CI576" s="324"/>
      <c r="CJ576" s="324"/>
      <c r="CK576" s="324"/>
      <c r="CL576" s="324"/>
      <c r="CM576" s="324"/>
      <c r="CN576" s="324"/>
      <c r="CO576" s="324"/>
      <c r="CP576" s="324"/>
      <c r="CQ576" s="324"/>
      <c r="CR576" s="324"/>
      <c r="CS576" s="324"/>
      <c r="CT576" s="324"/>
      <c r="CU576" s="324"/>
      <c r="CV576" s="324"/>
      <c r="CW576" s="324"/>
      <c r="CX576" s="324"/>
      <c r="CY576" s="324"/>
      <c r="CZ576" s="324"/>
      <c r="DA576" s="324"/>
      <c r="DB576" s="324"/>
      <c r="DC576" s="324"/>
      <c r="DD576" s="324"/>
      <c r="DE576" s="324"/>
      <c r="DF576" s="324"/>
      <c r="DG576" s="324"/>
      <c r="DH576" s="324"/>
      <c r="DI576" s="324"/>
    </row>
    <row r="577" spans="1:113" ht="15.75" thickBot="1" x14ac:dyDescent="0.3">
      <c r="L577"/>
      <c r="M577"/>
      <c r="N577"/>
      <c r="O577"/>
      <c r="P577"/>
      <c r="Q577"/>
      <c r="R577"/>
      <c r="S577"/>
      <c r="T577"/>
      <c r="U577"/>
      <c r="V577"/>
    </row>
    <row r="578" spans="1:113" ht="15.75" thickBot="1" x14ac:dyDescent="0.3">
      <c r="A578" s="407" t="s">
        <v>657</v>
      </c>
      <c r="B578" s="414" t="s">
        <v>708</v>
      </c>
      <c r="C578" s="414" t="s">
        <v>1</v>
      </c>
      <c r="D578" s="415" t="s">
        <v>649</v>
      </c>
      <c r="E578" s="416" t="s">
        <v>19</v>
      </c>
      <c r="F578" s="416"/>
      <c r="G578" s="416"/>
      <c r="H578" s="416"/>
      <c r="I578" s="416"/>
      <c r="J578" s="410" t="s">
        <v>21</v>
      </c>
      <c r="K578" s="417" t="s">
        <v>602</v>
      </c>
      <c r="L578"/>
      <c r="M578" s="403" t="s">
        <v>601</v>
      </c>
      <c r="N578" s="403" t="s">
        <v>924</v>
      </c>
      <c r="O578" s="403"/>
      <c r="P578" s="403"/>
      <c r="Q578" s="403"/>
      <c r="R578" s="403"/>
      <c r="S578" s="403"/>
      <c r="T578" s="403"/>
      <c r="U578" s="403"/>
      <c r="V578" s="403"/>
      <c r="W578" s="403"/>
      <c r="X578" s="403"/>
      <c r="Y578" s="403"/>
      <c r="Z578" s="403"/>
      <c r="AA578" s="403"/>
      <c r="AB578" s="403"/>
      <c r="AC578" s="403"/>
      <c r="AD578" s="403"/>
      <c r="AE578" s="403"/>
      <c r="AF578" s="403"/>
      <c r="AG578" s="403"/>
      <c r="AH578" s="403"/>
      <c r="AI578" s="403"/>
      <c r="AJ578" s="403"/>
      <c r="AK578" s="403"/>
      <c r="AL578" s="403"/>
      <c r="AM578" s="403"/>
      <c r="AN578" s="403"/>
      <c r="AO578" s="403"/>
      <c r="AP578" s="403"/>
      <c r="AQ578" s="403"/>
      <c r="AR578" s="403"/>
      <c r="AS578" s="403"/>
      <c r="AT578" s="403"/>
      <c r="AU578" s="403"/>
      <c r="AV578" s="403"/>
      <c r="AW578" s="403"/>
      <c r="AX578" s="403"/>
      <c r="AY578" s="403"/>
      <c r="AZ578" s="403"/>
      <c r="BA578" s="403"/>
      <c r="BB578" s="403"/>
      <c r="BC578" s="403"/>
      <c r="BD578" s="403"/>
      <c r="BE578" s="403"/>
      <c r="BF578" s="403"/>
      <c r="BG578" s="403"/>
      <c r="BH578" s="403"/>
      <c r="BI578" s="403"/>
      <c r="BJ578" s="403"/>
      <c r="BK578" s="403"/>
      <c r="BL578" s="403"/>
      <c r="BM578" s="403"/>
      <c r="BN578" s="403"/>
      <c r="BO578" s="403"/>
      <c r="BP578" s="403"/>
      <c r="BQ578" s="403"/>
      <c r="BR578" s="403"/>
      <c r="BS578" s="403"/>
      <c r="BT578" s="403"/>
      <c r="BU578" s="403"/>
      <c r="BV578" s="403"/>
      <c r="BW578" s="403"/>
      <c r="BX578" s="403"/>
      <c r="BY578" s="403"/>
      <c r="BZ578" s="403"/>
      <c r="CA578" s="403"/>
      <c r="CB578" s="403"/>
      <c r="CC578" s="403"/>
      <c r="CD578" s="403"/>
      <c r="CE578" s="403"/>
      <c r="CF578" s="403"/>
      <c r="CG578" s="403"/>
      <c r="CH578" s="403"/>
      <c r="CI578" s="403"/>
      <c r="CJ578" s="403"/>
      <c r="CK578" s="403"/>
      <c r="CL578" s="403"/>
      <c r="CM578" s="403"/>
      <c r="CN578" s="403"/>
      <c r="CO578" s="403"/>
      <c r="CP578" s="403"/>
      <c r="CQ578" s="403"/>
      <c r="CR578" s="403"/>
      <c r="CS578" s="403"/>
      <c r="CT578" s="403"/>
      <c r="CU578" s="403"/>
      <c r="CV578" s="403"/>
      <c r="CW578" s="403"/>
      <c r="CX578" s="403"/>
      <c r="CY578" s="403"/>
      <c r="CZ578" s="403"/>
      <c r="DA578" s="403"/>
      <c r="DB578" s="403"/>
      <c r="DC578" s="403"/>
      <c r="DD578" s="403"/>
      <c r="DE578" s="403"/>
      <c r="DF578" s="403"/>
      <c r="DG578" s="403"/>
      <c r="DH578" s="403"/>
      <c r="DI578" s="403"/>
    </row>
    <row r="579" spans="1:113" ht="30.75" thickBot="1" x14ac:dyDescent="0.3">
      <c r="A579" s="408"/>
      <c r="B579" s="414"/>
      <c r="C579" s="414"/>
      <c r="D579" s="415"/>
      <c r="E579" s="68" t="s">
        <v>22</v>
      </c>
      <c r="F579" s="68" t="s">
        <v>600</v>
      </c>
      <c r="G579" s="68" t="s">
        <v>601</v>
      </c>
      <c r="H579" s="68" t="s">
        <v>589</v>
      </c>
      <c r="I579" s="68" t="s">
        <v>601</v>
      </c>
      <c r="J579" s="411"/>
      <c r="K579" s="418"/>
      <c r="L579"/>
      <c r="M579" s="403"/>
      <c r="N579" s="400" t="s">
        <v>925</v>
      </c>
      <c r="O579" s="400" t="s">
        <v>926</v>
      </c>
      <c r="P579" s="400"/>
      <c r="Q579" s="400"/>
      <c r="R579" s="400"/>
      <c r="S579" s="398"/>
      <c r="T579" s="398"/>
      <c r="U579" s="398"/>
      <c r="V579" s="398"/>
      <c r="W579" s="398"/>
      <c r="X579" s="398"/>
      <c r="Y579" s="398"/>
      <c r="Z579" s="398"/>
      <c r="AA579" s="398"/>
      <c r="AB579" s="398"/>
      <c r="AC579" s="398"/>
      <c r="AD579" s="398"/>
      <c r="AE579" s="398"/>
      <c r="AF579" s="398"/>
      <c r="AG579" s="398"/>
      <c r="AH579" s="398"/>
      <c r="AI579" s="398"/>
      <c r="AJ579" s="398"/>
      <c r="AK579" s="398"/>
      <c r="AL579" s="398"/>
      <c r="AM579" s="398"/>
      <c r="AN579" s="398"/>
      <c r="AO579" s="398"/>
      <c r="AP579" s="398"/>
      <c r="AQ579" s="398"/>
      <c r="AR579" s="398"/>
      <c r="AS579" s="398"/>
      <c r="AT579" s="398"/>
      <c r="AU579" s="398"/>
      <c r="AV579" s="398"/>
      <c r="AW579" s="398"/>
      <c r="AX579" s="398"/>
      <c r="AY579" s="398"/>
      <c r="AZ579" s="398"/>
      <c r="BA579" s="398"/>
      <c r="BB579" s="398"/>
      <c r="BC579" s="398"/>
      <c r="BD579" s="398"/>
      <c r="BE579" s="398"/>
      <c r="BF579" s="398"/>
      <c r="BG579" s="398"/>
      <c r="BH579" s="398"/>
      <c r="BI579" s="398"/>
      <c r="BJ579" s="398"/>
      <c r="BK579" s="398"/>
      <c r="BL579" s="398"/>
      <c r="BM579" s="398"/>
      <c r="BN579" s="398"/>
      <c r="BO579" s="398"/>
      <c r="BP579" s="398"/>
      <c r="BQ579" s="398"/>
      <c r="BR579" s="398"/>
      <c r="BS579" s="398"/>
      <c r="BT579" s="398"/>
      <c r="BU579" s="398"/>
      <c r="BV579" s="398"/>
      <c r="BW579" s="398"/>
      <c r="BX579" s="398"/>
      <c r="BY579" s="398"/>
      <c r="BZ579" s="398"/>
      <c r="CA579" s="398"/>
      <c r="CB579" s="398"/>
      <c r="CC579" s="398"/>
      <c r="CD579" s="398"/>
      <c r="CE579" s="398"/>
      <c r="CF579" s="398"/>
      <c r="CG579" s="398"/>
      <c r="CH579" s="398"/>
      <c r="CI579" s="398"/>
      <c r="CJ579" s="398"/>
      <c r="CK579" s="398"/>
      <c r="CL579" s="398"/>
      <c r="CM579" s="398"/>
      <c r="CN579" s="398"/>
      <c r="CO579" s="398"/>
      <c r="CP579" s="398"/>
      <c r="CQ579" s="398"/>
      <c r="CR579" s="398"/>
      <c r="CS579" s="398"/>
      <c r="CT579" s="398"/>
      <c r="CU579" s="398"/>
      <c r="CV579" s="398"/>
      <c r="CW579" s="398"/>
      <c r="CX579" s="398"/>
      <c r="CY579" s="398"/>
      <c r="CZ579" s="398"/>
      <c r="DA579" s="398"/>
      <c r="DB579" s="398"/>
      <c r="DC579" s="398"/>
      <c r="DD579" s="398"/>
      <c r="DE579" s="398"/>
      <c r="DF579" s="398"/>
      <c r="DG579" s="398"/>
      <c r="DH579" s="398"/>
      <c r="DI579" s="398"/>
    </row>
    <row r="580" spans="1:113" ht="15.75" thickBot="1" x14ac:dyDescent="0.3">
      <c r="A580" s="409"/>
      <c r="B580" s="286">
        <v>1</v>
      </c>
      <c r="C580" s="286">
        <v>2</v>
      </c>
      <c r="D580" s="286">
        <v>3</v>
      </c>
      <c r="E580" s="70">
        <v>4</v>
      </c>
      <c r="F580" s="70">
        <f>+E580+1</f>
        <v>5</v>
      </c>
      <c r="G580" s="70" t="s">
        <v>652</v>
      </c>
      <c r="H580" s="70">
        <v>7</v>
      </c>
      <c r="I580" s="71" t="s">
        <v>651</v>
      </c>
      <c r="J580" s="42" t="s">
        <v>650</v>
      </c>
      <c r="K580" s="42" t="s">
        <v>653</v>
      </c>
      <c r="L580"/>
      <c r="M580" s="403"/>
      <c r="N580" s="402"/>
      <c r="O580" s="402"/>
      <c r="P580" s="402"/>
      <c r="Q580" s="402"/>
      <c r="R580" s="402"/>
      <c r="S580" s="399"/>
      <c r="T580" s="399"/>
      <c r="U580" s="399"/>
      <c r="V580" s="399"/>
      <c r="W580" s="399"/>
      <c r="X580" s="399"/>
      <c r="Y580" s="399"/>
      <c r="Z580" s="399"/>
      <c r="AA580" s="399"/>
      <c r="AB580" s="399"/>
      <c r="AC580" s="399"/>
      <c r="AD580" s="399"/>
      <c r="AE580" s="399"/>
      <c r="AF580" s="399"/>
      <c r="AG580" s="399"/>
      <c r="AH580" s="399"/>
      <c r="AI580" s="399"/>
      <c r="AJ580" s="399"/>
      <c r="AK580" s="399"/>
      <c r="AL580" s="399"/>
      <c r="AM580" s="399"/>
      <c r="AN580" s="399"/>
      <c r="AO580" s="399"/>
      <c r="AP580" s="399"/>
      <c r="AQ580" s="399"/>
      <c r="AR580" s="399"/>
      <c r="AS580" s="399"/>
      <c r="AT580" s="399"/>
      <c r="AU580" s="399"/>
      <c r="AV580" s="399"/>
      <c r="AW580" s="399"/>
      <c r="AX580" s="399"/>
      <c r="AY580" s="399"/>
      <c r="AZ580" s="399"/>
      <c r="BA580" s="399"/>
      <c r="BB580" s="399"/>
      <c r="BC580" s="399"/>
      <c r="BD580" s="399"/>
      <c r="BE580" s="399"/>
      <c r="BF580" s="399"/>
      <c r="BG580" s="399"/>
      <c r="BH580" s="399"/>
      <c r="BI580" s="399"/>
      <c r="BJ580" s="399"/>
      <c r="BK580" s="399"/>
      <c r="BL580" s="399"/>
      <c r="BM580" s="399"/>
      <c r="BN580" s="399"/>
      <c r="BO580" s="399"/>
      <c r="BP580" s="399"/>
      <c r="BQ580" s="399"/>
      <c r="BR580" s="399"/>
      <c r="BS580" s="399"/>
      <c r="BT580" s="399"/>
      <c r="BU580" s="399"/>
      <c r="BV580" s="399"/>
      <c r="BW580" s="399"/>
      <c r="BX580" s="399"/>
      <c r="BY580" s="399"/>
      <c r="BZ580" s="399"/>
      <c r="CA580" s="399"/>
      <c r="CB580" s="399"/>
      <c r="CC580" s="399"/>
      <c r="CD580" s="399"/>
      <c r="CE580" s="399"/>
      <c r="CF580" s="399"/>
      <c r="CG580" s="399"/>
      <c r="CH580" s="399"/>
      <c r="CI580" s="399"/>
      <c r="CJ580" s="399"/>
      <c r="CK580" s="399"/>
      <c r="CL580" s="399"/>
      <c r="CM580" s="399"/>
      <c r="CN580" s="399"/>
      <c r="CO580" s="399"/>
      <c r="CP580" s="399"/>
      <c r="CQ580" s="399"/>
      <c r="CR580" s="399"/>
      <c r="CS580" s="399"/>
      <c r="CT580" s="399"/>
      <c r="CU580" s="399"/>
      <c r="CV580" s="399"/>
      <c r="CW580" s="399"/>
      <c r="CX580" s="399"/>
      <c r="CY580" s="399"/>
      <c r="CZ580" s="399"/>
      <c r="DA580" s="399"/>
      <c r="DB580" s="399"/>
      <c r="DC580" s="399"/>
      <c r="DD580" s="399"/>
      <c r="DE580" s="399"/>
      <c r="DF580" s="399"/>
      <c r="DG580" s="399"/>
      <c r="DH580" s="399"/>
      <c r="DI580" s="399"/>
    </row>
    <row r="581" spans="1:113" x14ac:dyDescent="0.25">
      <c r="A581" s="160"/>
      <c r="B581" s="72" t="s">
        <v>883</v>
      </c>
      <c r="C581" s="54"/>
      <c r="D581" s="54"/>
      <c r="E581" s="54"/>
      <c r="F581" s="54"/>
      <c r="G581" s="54"/>
      <c r="H581" s="54"/>
      <c r="I581" s="54"/>
      <c r="J581" s="54"/>
      <c r="K581" s="54"/>
      <c r="L581"/>
      <c r="M581" s="314">
        <f t="shared" ref="M581:M602" si="182">SUM(N581:DJ581)</f>
        <v>0</v>
      </c>
      <c r="N581" s="310"/>
      <c r="O581" s="315"/>
      <c r="P581" s="315"/>
      <c r="Q581" s="315"/>
      <c r="R581" s="315"/>
      <c r="S581" s="55"/>
      <c r="T581" s="55"/>
      <c r="U581" s="55"/>
      <c r="V581" s="55"/>
      <c r="W581" s="55"/>
      <c r="X581" s="55"/>
      <c r="Y581" s="55"/>
      <c r="Z581" s="55"/>
      <c r="AA581" s="55"/>
      <c r="AB581" s="55"/>
      <c r="AC581" s="55"/>
      <c r="AD581" s="55"/>
      <c r="AE581" s="55"/>
      <c r="AF581" s="55"/>
      <c r="AG581" s="55"/>
      <c r="AH581" s="55"/>
      <c r="AI581" s="55"/>
      <c r="AJ581" s="55"/>
      <c r="AK581" s="55"/>
      <c r="AL581" s="55"/>
      <c r="AM581" s="55"/>
      <c r="AN581" s="55"/>
      <c r="AO581" s="55"/>
      <c r="AP581" s="55"/>
      <c r="AQ581" s="55"/>
      <c r="AR581" s="55"/>
      <c r="AS581" s="55"/>
      <c r="AT581" s="55"/>
      <c r="AU581" s="55"/>
      <c r="AV581" s="55"/>
      <c r="AW581" s="55"/>
      <c r="AX581" s="55"/>
      <c r="AY581" s="55"/>
      <c r="AZ581" s="55"/>
      <c r="BA581" s="55"/>
      <c r="BB581" s="55"/>
      <c r="BC581" s="55"/>
      <c r="BD581" s="55"/>
      <c r="BE581" s="55"/>
      <c r="BF581" s="55"/>
      <c r="BG581" s="55"/>
      <c r="BH581" s="55"/>
      <c r="BI581" s="55"/>
      <c r="BJ581" s="55"/>
      <c r="BK581" s="55"/>
      <c r="BL581" s="55"/>
      <c r="BM581" s="55"/>
      <c r="BN581" s="55"/>
      <c r="BO581" s="55"/>
      <c r="BP581" s="55"/>
      <c r="BQ581" s="55"/>
      <c r="BR581" s="55"/>
      <c r="BS581" s="55"/>
      <c r="BT581" s="55"/>
      <c r="BU581" s="55"/>
      <c r="BV581" s="55"/>
      <c r="BW581" s="55"/>
      <c r="BX581" s="55"/>
      <c r="BY581" s="55"/>
      <c r="BZ581" s="55"/>
      <c r="CA581" s="55"/>
      <c r="CB581" s="55"/>
      <c r="CC581" s="55"/>
      <c r="CD581" s="55"/>
      <c r="CE581" s="55"/>
      <c r="CF581" s="55"/>
      <c r="CG581" s="55"/>
      <c r="CH581" s="55"/>
      <c r="CI581" s="55"/>
      <c r="CJ581" s="55"/>
      <c r="CK581" s="55"/>
      <c r="CL581" s="55"/>
      <c r="CM581" s="55"/>
      <c r="CN581" s="55"/>
      <c r="CO581" s="55"/>
      <c r="CP581" s="55"/>
      <c r="CQ581" s="55"/>
      <c r="CR581" s="55"/>
      <c r="CS581" s="55"/>
      <c r="CT581" s="55"/>
      <c r="CU581" s="55"/>
      <c r="CV581" s="55"/>
      <c r="CW581" s="55"/>
      <c r="CX581" s="55"/>
      <c r="CY581" s="55"/>
      <c r="CZ581" s="55"/>
      <c r="DA581" s="55"/>
      <c r="DB581" s="55"/>
      <c r="DC581" s="55"/>
      <c r="DD581" s="55"/>
      <c r="DE581" s="55"/>
      <c r="DF581" s="55"/>
      <c r="DG581" s="55"/>
      <c r="DH581" s="55"/>
      <c r="DI581" s="55"/>
    </row>
    <row r="582" spans="1:113" x14ac:dyDescent="0.25">
      <c r="A582" s="152">
        <v>1</v>
      </c>
      <c r="B582" s="221" t="s">
        <v>892</v>
      </c>
      <c r="C582" s="43">
        <v>14000</v>
      </c>
      <c r="D582" s="233">
        <v>0</v>
      </c>
      <c r="E582" s="43">
        <v>570</v>
      </c>
      <c r="F582" s="59">
        <f>4000-4000</f>
        <v>0</v>
      </c>
      <c r="G582" s="139">
        <f t="shared" ref="G582:G601" si="183">+E582+F582</f>
        <v>570</v>
      </c>
      <c r="H582" s="139">
        <f>2300+500+100-2900+30-30+500-500</f>
        <v>0</v>
      </c>
      <c r="I582" s="290">
        <f t="shared" ref="I582:I601" si="184">+G582-H582</f>
        <v>570</v>
      </c>
      <c r="J582" s="56">
        <f t="shared" ref="J582:J601" si="185">I582*C582</f>
        <v>7980000</v>
      </c>
      <c r="K582" s="57">
        <f t="shared" ref="K582:K601" si="186">+D582*I582</f>
        <v>0</v>
      </c>
      <c r="L582"/>
      <c r="M582" s="314">
        <f t="shared" si="182"/>
        <v>0</v>
      </c>
      <c r="N582" s="310"/>
      <c r="O582" s="315"/>
      <c r="P582" s="315"/>
      <c r="Q582" s="315"/>
      <c r="R582" s="315"/>
      <c r="S582" s="55"/>
      <c r="T582" s="55"/>
      <c r="U582" s="55"/>
      <c r="V582" s="55"/>
      <c r="W582" s="55"/>
      <c r="X582" s="55"/>
      <c r="Y582" s="55"/>
      <c r="Z582" s="55"/>
      <c r="AA582" s="55"/>
      <c r="AB582" s="55"/>
      <c r="AC582" s="55"/>
      <c r="AD582" s="55"/>
      <c r="AE582" s="55"/>
      <c r="AF582" s="55"/>
      <c r="AG582" s="55"/>
      <c r="AH582" s="55"/>
      <c r="AI582" s="55"/>
      <c r="AJ582" s="55"/>
      <c r="AK582" s="55"/>
      <c r="AL582" s="55"/>
      <c r="AM582" s="55"/>
      <c r="AN582" s="55"/>
      <c r="AO582" s="55"/>
      <c r="AP582" s="55"/>
      <c r="AQ582" s="55"/>
      <c r="AR582" s="55"/>
      <c r="AS582" s="55"/>
      <c r="AT582" s="55"/>
      <c r="AU582" s="55"/>
      <c r="AV582" s="55"/>
      <c r="AW582" s="55"/>
      <c r="AX582" s="55"/>
      <c r="AY582" s="55"/>
      <c r="AZ582" s="55"/>
      <c r="BA582" s="55"/>
      <c r="BB582" s="55"/>
      <c r="BC582" s="55"/>
      <c r="BD582" s="55"/>
      <c r="BE582" s="55"/>
      <c r="BF582" s="55"/>
      <c r="BG582" s="55"/>
      <c r="BH582" s="55"/>
      <c r="BI582" s="55"/>
      <c r="BJ582" s="55"/>
      <c r="BK582" s="55"/>
      <c r="BL582" s="55"/>
      <c r="BM582" s="55"/>
      <c r="BN582" s="55"/>
      <c r="BO582" s="55"/>
      <c r="BP582" s="55"/>
      <c r="BQ582" s="55"/>
      <c r="BR582" s="55"/>
      <c r="BS582" s="55"/>
      <c r="BT582" s="55"/>
      <c r="BU582" s="55"/>
      <c r="BV582" s="55"/>
      <c r="BW582" s="55"/>
      <c r="BX582" s="55"/>
      <c r="BY582" s="55"/>
      <c r="BZ582" s="55"/>
      <c r="CA582" s="55"/>
      <c r="CB582" s="55"/>
      <c r="CC582" s="55"/>
      <c r="CD582" s="55"/>
      <c r="CE582" s="55"/>
      <c r="CF582" s="55"/>
      <c r="CG582" s="55"/>
      <c r="CH582" s="55"/>
      <c r="CI582" s="55"/>
      <c r="CJ582" s="55"/>
      <c r="CK582" s="55"/>
      <c r="CL582" s="55"/>
      <c r="CM582" s="55"/>
      <c r="CN582" s="55"/>
      <c r="CO582" s="55"/>
      <c r="CP582" s="55"/>
      <c r="CQ582" s="55"/>
      <c r="CR582" s="55"/>
      <c r="CS582" s="55"/>
      <c r="CT582" s="55"/>
      <c r="CU582" s="55"/>
      <c r="CV582" s="55"/>
      <c r="CW582" s="55"/>
      <c r="CX582" s="55"/>
      <c r="CY582" s="55"/>
      <c r="CZ582" s="55"/>
      <c r="DA582" s="55"/>
      <c r="DB582" s="55"/>
      <c r="DC582" s="55"/>
      <c r="DD582" s="55"/>
      <c r="DE582" s="55"/>
      <c r="DF582" s="55"/>
      <c r="DG582" s="55"/>
      <c r="DH582" s="55"/>
      <c r="DI582" s="55"/>
    </row>
    <row r="583" spans="1:113" x14ac:dyDescent="0.25">
      <c r="A583" s="152">
        <v>2</v>
      </c>
      <c r="B583" s="213" t="s">
        <v>893</v>
      </c>
      <c r="C583" s="43">
        <v>15000</v>
      </c>
      <c r="D583" s="233">
        <v>0</v>
      </c>
      <c r="E583" s="43">
        <v>570</v>
      </c>
      <c r="F583" s="59">
        <f>4000-4000</f>
        <v>0</v>
      </c>
      <c r="G583" s="139">
        <f t="shared" si="183"/>
        <v>570</v>
      </c>
      <c r="H583" s="139">
        <f>2300+500+100-2900+30-30+500-500</f>
        <v>0</v>
      </c>
      <c r="I583" s="290">
        <f t="shared" si="184"/>
        <v>570</v>
      </c>
      <c r="J583" s="56">
        <f t="shared" si="185"/>
        <v>8550000</v>
      </c>
      <c r="K583" s="57">
        <f t="shared" si="186"/>
        <v>0</v>
      </c>
      <c r="L583"/>
      <c r="M583" s="314">
        <f t="shared" si="182"/>
        <v>0</v>
      </c>
      <c r="N583" s="310"/>
      <c r="O583" s="315"/>
      <c r="P583" s="315"/>
      <c r="Q583" s="315"/>
      <c r="R583" s="315"/>
      <c r="S583" s="55"/>
      <c r="T583" s="55"/>
      <c r="U583" s="55"/>
      <c r="V583" s="55"/>
      <c r="W583" s="55"/>
      <c r="X583" s="55"/>
      <c r="Y583" s="55"/>
      <c r="Z583" s="55"/>
      <c r="AA583" s="55"/>
      <c r="AB583" s="55"/>
      <c r="AC583" s="55"/>
      <c r="AD583" s="55"/>
      <c r="AE583" s="55"/>
      <c r="AF583" s="55"/>
      <c r="AG583" s="55"/>
      <c r="AH583" s="55"/>
      <c r="AI583" s="55"/>
      <c r="AJ583" s="55"/>
      <c r="AK583" s="55"/>
      <c r="AL583" s="55"/>
      <c r="AM583" s="55"/>
      <c r="AN583" s="55"/>
      <c r="AO583" s="55"/>
      <c r="AP583" s="55"/>
      <c r="AQ583" s="55"/>
      <c r="AR583" s="55"/>
      <c r="AS583" s="55"/>
      <c r="AT583" s="55"/>
      <c r="AU583" s="55"/>
      <c r="AV583" s="55"/>
      <c r="AW583" s="55"/>
      <c r="AX583" s="55"/>
      <c r="AY583" s="55"/>
      <c r="AZ583" s="55"/>
      <c r="BA583" s="55"/>
      <c r="BB583" s="55"/>
      <c r="BC583" s="55"/>
      <c r="BD583" s="55"/>
      <c r="BE583" s="55"/>
      <c r="BF583" s="55"/>
      <c r="BG583" s="55"/>
      <c r="BH583" s="55"/>
      <c r="BI583" s="55"/>
      <c r="BJ583" s="55"/>
      <c r="BK583" s="55"/>
      <c r="BL583" s="55"/>
      <c r="BM583" s="55"/>
      <c r="BN583" s="55"/>
      <c r="BO583" s="55"/>
      <c r="BP583" s="55"/>
      <c r="BQ583" s="55"/>
      <c r="BR583" s="55"/>
      <c r="BS583" s="55"/>
      <c r="BT583" s="55"/>
      <c r="BU583" s="55"/>
      <c r="BV583" s="55"/>
      <c r="BW583" s="55"/>
      <c r="BX583" s="55"/>
      <c r="BY583" s="55"/>
      <c r="BZ583" s="55"/>
      <c r="CA583" s="55"/>
      <c r="CB583" s="55"/>
      <c r="CC583" s="55"/>
      <c r="CD583" s="55"/>
      <c r="CE583" s="55"/>
      <c r="CF583" s="55"/>
      <c r="CG583" s="55"/>
      <c r="CH583" s="55"/>
      <c r="CI583" s="55"/>
      <c r="CJ583" s="55"/>
      <c r="CK583" s="55"/>
      <c r="CL583" s="55"/>
      <c r="CM583" s="55"/>
      <c r="CN583" s="55"/>
      <c r="CO583" s="55"/>
      <c r="CP583" s="55"/>
      <c r="CQ583" s="55"/>
      <c r="CR583" s="55"/>
      <c r="CS583" s="55"/>
      <c r="CT583" s="55"/>
      <c r="CU583" s="55"/>
      <c r="CV583" s="55"/>
      <c r="CW583" s="55"/>
      <c r="CX583" s="55"/>
      <c r="CY583" s="55"/>
      <c r="CZ583" s="55"/>
      <c r="DA583" s="55"/>
      <c r="DB583" s="55"/>
      <c r="DC583" s="55"/>
      <c r="DD583" s="55"/>
      <c r="DE583" s="55"/>
      <c r="DF583" s="55"/>
      <c r="DG583" s="55"/>
      <c r="DH583" s="55"/>
      <c r="DI583" s="55"/>
    </row>
    <row r="584" spans="1:113" x14ac:dyDescent="0.25">
      <c r="A584" s="152">
        <v>3</v>
      </c>
      <c r="B584" s="220" t="s">
        <v>898</v>
      </c>
      <c r="C584" s="43">
        <v>25000</v>
      </c>
      <c r="D584" s="233">
        <v>6287.48</v>
      </c>
      <c r="E584" s="43">
        <v>800</v>
      </c>
      <c r="F584" s="59">
        <f>3000-3000</f>
        <v>0</v>
      </c>
      <c r="G584" s="139">
        <f t="shared" si="183"/>
        <v>800</v>
      </c>
      <c r="H584" s="139">
        <f>2100+100-2200</f>
        <v>0</v>
      </c>
      <c r="I584" s="290">
        <f t="shared" si="184"/>
        <v>800</v>
      </c>
      <c r="J584" s="56">
        <f t="shared" si="185"/>
        <v>20000000</v>
      </c>
      <c r="K584" s="57">
        <f t="shared" si="186"/>
        <v>5029984</v>
      </c>
      <c r="L584"/>
      <c r="M584" s="314">
        <f t="shared" si="182"/>
        <v>0</v>
      </c>
      <c r="N584" s="310"/>
      <c r="O584" s="315"/>
      <c r="P584" s="315"/>
      <c r="Q584" s="315"/>
      <c r="R584" s="315"/>
      <c r="S584" s="55"/>
      <c r="T584" s="55"/>
      <c r="U584" s="55"/>
      <c r="V584" s="55"/>
      <c r="W584" s="55"/>
      <c r="X584" s="55"/>
      <c r="Y584" s="55"/>
      <c r="Z584" s="55"/>
      <c r="AA584" s="55"/>
      <c r="AB584" s="55"/>
      <c r="AC584" s="55"/>
      <c r="AD584" s="55"/>
      <c r="AE584" s="55"/>
      <c r="AF584" s="55"/>
      <c r="AG584" s="55"/>
      <c r="AH584" s="55"/>
      <c r="AI584" s="55"/>
      <c r="AJ584" s="55"/>
      <c r="AK584" s="55"/>
      <c r="AL584" s="55"/>
      <c r="AM584" s="55"/>
      <c r="AN584" s="55"/>
      <c r="AO584" s="55"/>
      <c r="AP584" s="55"/>
      <c r="AQ584" s="55"/>
      <c r="AR584" s="55"/>
      <c r="AS584" s="55"/>
      <c r="AT584" s="55"/>
      <c r="AU584" s="55"/>
      <c r="AV584" s="55"/>
      <c r="AW584" s="55"/>
      <c r="AX584" s="55"/>
      <c r="AY584" s="55"/>
      <c r="AZ584" s="55"/>
      <c r="BA584" s="55"/>
      <c r="BB584" s="55"/>
      <c r="BC584" s="55"/>
      <c r="BD584" s="55"/>
      <c r="BE584" s="55"/>
      <c r="BF584" s="55"/>
      <c r="BG584" s="55"/>
      <c r="BH584" s="55"/>
      <c r="BI584" s="55"/>
      <c r="BJ584" s="55"/>
      <c r="BK584" s="55"/>
      <c r="BL584" s="55"/>
      <c r="BM584" s="55"/>
      <c r="BN584" s="55"/>
      <c r="BO584" s="55"/>
      <c r="BP584" s="55"/>
      <c r="BQ584" s="55"/>
      <c r="BR584" s="55"/>
      <c r="BS584" s="55"/>
      <c r="BT584" s="55"/>
      <c r="BU584" s="55"/>
      <c r="BV584" s="55"/>
      <c r="BW584" s="55"/>
      <c r="BX584" s="55"/>
      <c r="BY584" s="55"/>
      <c r="BZ584" s="55"/>
      <c r="CA584" s="55"/>
      <c r="CB584" s="55"/>
      <c r="CC584" s="55"/>
      <c r="CD584" s="55"/>
      <c r="CE584" s="55"/>
      <c r="CF584" s="55"/>
      <c r="CG584" s="55"/>
      <c r="CH584" s="55"/>
      <c r="CI584" s="55"/>
      <c r="CJ584" s="55"/>
      <c r="CK584" s="55"/>
      <c r="CL584" s="55"/>
      <c r="CM584" s="55"/>
      <c r="CN584" s="55"/>
      <c r="CO584" s="55"/>
      <c r="CP584" s="55"/>
      <c r="CQ584" s="55"/>
      <c r="CR584" s="55"/>
      <c r="CS584" s="55"/>
      <c r="CT584" s="55"/>
      <c r="CU584" s="55"/>
      <c r="CV584" s="55"/>
      <c r="CW584" s="55"/>
      <c r="CX584" s="55"/>
      <c r="CY584" s="55"/>
      <c r="CZ584" s="55"/>
      <c r="DA584" s="55"/>
      <c r="DB584" s="55"/>
      <c r="DC584" s="55"/>
      <c r="DD584" s="55"/>
      <c r="DE584" s="55"/>
      <c r="DF584" s="55"/>
      <c r="DG584" s="55"/>
      <c r="DH584" s="55"/>
      <c r="DI584" s="55"/>
    </row>
    <row r="585" spans="1:113" x14ac:dyDescent="0.25">
      <c r="A585" s="152">
        <v>4</v>
      </c>
      <c r="B585" s="60" t="s">
        <v>904</v>
      </c>
      <c r="C585" s="43">
        <v>13000</v>
      </c>
      <c r="D585" s="233">
        <v>5613.88</v>
      </c>
      <c r="E585" s="43">
        <v>50</v>
      </c>
      <c r="F585" s="59">
        <f>2000-2000</f>
        <v>0</v>
      </c>
      <c r="G585" s="139">
        <f t="shared" si="183"/>
        <v>50</v>
      </c>
      <c r="H585" s="139">
        <f>1700+250-1950</f>
        <v>0</v>
      </c>
      <c r="I585" s="290">
        <f t="shared" si="184"/>
        <v>50</v>
      </c>
      <c r="J585" s="56">
        <f t="shared" si="185"/>
        <v>650000</v>
      </c>
      <c r="K585" s="57">
        <f t="shared" si="186"/>
        <v>280694</v>
      </c>
      <c r="L585"/>
      <c r="M585" s="314">
        <f t="shared" si="182"/>
        <v>0</v>
      </c>
      <c r="N585" s="310"/>
      <c r="O585" s="315"/>
      <c r="P585" s="315"/>
      <c r="Q585" s="315"/>
      <c r="R585" s="315"/>
      <c r="S585" s="55"/>
      <c r="T585" s="55"/>
      <c r="U585" s="55"/>
      <c r="V585" s="55"/>
      <c r="W585" s="55"/>
      <c r="X585" s="55"/>
      <c r="Y585" s="55"/>
      <c r="Z585" s="55"/>
      <c r="AA585" s="55"/>
      <c r="AB585" s="55"/>
      <c r="AC585" s="55"/>
      <c r="AD585" s="55"/>
      <c r="AE585" s="55"/>
      <c r="AF585" s="55"/>
      <c r="AG585" s="55"/>
      <c r="AH585" s="55"/>
      <c r="AI585" s="55"/>
      <c r="AJ585" s="55"/>
      <c r="AK585" s="55"/>
      <c r="AL585" s="55"/>
      <c r="AM585" s="55"/>
      <c r="AN585" s="55"/>
      <c r="AO585" s="55"/>
      <c r="AP585" s="55"/>
      <c r="AQ585" s="55"/>
      <c r="AR585" s="55"/>
      <c r="AS585" s="55"/>
      <c r="AT585" s="55"/>
      <c r="AU585" s="55"/>
      <c r="AV585" s="55"/>
      <c r="AW585" s="55"/>
      <c r="AX585" s="55"/>
      <c r="AY585" s="55"/>
      <c r="AZ585" s="55"/>
      <c r="BA585" s="55"/>
      <c r="BB585" s="55"/>
      <c r="BC585" s="55"/>
      <c r="BD585" s="55"/>
      <c r="BE585" s="55"/>
      <c r="BF585" s="55"/>
      <c r="BG585" s="55"/>
      <c r="BH585" s="55"/>
      <c r="BI585" s="55"/>
      <c r="BJ585" s="55"/>
      <c r="BK585" s="55"/>
      <c r="BL585" s="55"/>
      <c r="BM585" s="55"/>
      <c r="BN585" s="55"/>
      <c r="BO585" s="55"/>
      <c r="BP585" s="55"/>
      <c r="BQ585" s="55"/>
      <c r="BR585" s="55"/>
      <c r="BS585" s="55"/>
      <c r="BT585" s="55"/>
      <c r="BU585" s="55"/>
      <c r="BV585" s="55"/>
      <c r="BW585" s="55"/>
      <c r="BX585" s="55"/>
      <c r="BY585" s="55"/>
      <c r="BZ585" s="55"/>
      <c r="CA585" s="55"/>
      <c r="CB585" s="55"/>
      <c r="CC585" s="55"/>
      <c r="CD585" s="55"/>
      <c r="CE585" s="55"/>
      <c r="CF585" s="55"/>
      <c r="CG585" s="55"/>
      <c r="CH585" s="55"/>
      <c r="CI585" s="55"/>
      <c r="CJ585" s="55"/>
      <c r="CK585" s="55"/>
      <c r="CL585" s="55"/>
      <c r="CM585" s="55"/>
      <c r="CN585" s="55"/>
      <c r="CO585" s="55"/>
      <c r="CP585" s="55"/>
      <c r="CQ585" s="55"/>
      <c r="CR585" s="55"/>
      <c r="CS585" s="55"/>
      <c r="CT585" s="55"/>
      <c r="CU585" s="55"/>
      <c r="CV585" s="55"/>
      <c r="CW585" s="55"/>
      <c r="CX585" s="55"/>
      <c r="CY585" s="55"/>
      <c r="CZ585" s="55"/>
      <c r="DA585" s="55"/>
      <c r="DB585" s="55"/>
      <c r="DC585" s="55"/>
      <c r="DD585" s="55"/>
      <c r="DE585" s="55"/>
      <c r="DF585" s="55"/>
      <c r="DG585" s="55"/>
      <c r="DH585" s="55"/>
      <c r="DI585" s="55"/>
    </row>
    <row r="586" spans="1:113" x14ac:dyDescent="0.25">
      <c r="A586" s="152">
        <v>5</v>
      </c>
      <c r="B586" s="213" t="s">
        <v>907</v>
      </c>
      <c r="C586" s="43">
        <v>8000</v>
      </c>
      <c r="D586" s="233">
        <v>5546.9</v>
      </c>
      <c r="E586" s="43">
        <v>290</v>
      </c>
      <c r="F586" s="59">
        <f>2000-2000</f>
        <v>0</v>
      </c>
      <c r="G586" s="139">
        <f t="shared" si="183"/>
        <v>290</v>
      </c>
      <c r="H586" s="139">
        <f>1700+10-1710</f>
        <v>0</v>
      </c>
      <c r="I586" s="56">
        <f t="shared" si="184"/>
        <v>290</v>
      </c>
      <c r="J586" s="56">
        <f t="shared" si="185"/>
        <v>2320000</v>
      </c>
      <c r="K586" s="57">
        <f t="shared" si="186"/>
        <v>1608601</v>
      </c>
      <c r="L586"/>
      <c r="M586" s="314">
        <f t="shared" si="182"/>
        <v>0</v>
      </c>
      <c r="N586" s="310"/>
      <c r="O586" s="315"/>
      <c r="P586" s="315"/>
      <c r="Q586" s="315"/>
      <c r="R586" s="315"/>
      <c r="S586" s="55"/>
      <c r="T586" s="55"/>
      <c r="U586" s="55"/>
      <c r="V586" s="55"/>
      <c r="W586" s="55"/>
      <c r="X586" s="55"/>
      <c r="Y586" s="55"/>
      <c r="Z586" s="55"/>
      <c r="AA586" s="55"/>
      <c r="AB586" s="55"/>
      <c r="AC586" s="55"/>
      <c r="AD586" s="55"/>
      <c r="AE586" s="55"/>
      <c r="AF586" s="55"/>
      <c r="AG586" s="55"/>
      <c r="AH586" s="55"/>
      <c r="AI586" s="55"/>
      <c r="AJ586" s="55"/>
      <c r="AK586" s="55"/>
      <c r="AL586" s="55"/>
      <c r="AM586" s="55"/>
      <c r="AN586" s="55"/>
      <c r="AO586" s="55"/>
      <c r="AP586" s="55"/>
      <c r="AQ586" s="55"/>
      <c r="AR586" s="55"/>
      <c r="AS586" s="55"/>
      <c r="AT586" s="55"/>
      <c r="AU586" s="55"/>
      <c r="AV586" s="55"/>
      <c r="AW586" s="55"/>
      <c r="AX586" s="55"/>
      <c r="AY586" s="55"/>
      <c r="AZ586" s="55"/>
      <c r="BA586" s="55"/>
      <c r="BB586" s="55"/>
      <c r="BC586" s="55"/>
      <c r="BD586" s="55"/>
      <c r="BE586" s="55"/>
      <c r="BF586" s="55"/>
      <c r="BG586" s="55"/>
      <c r="BH586" s="55"/>
      <c r="BI586" s="55"/>
      <c r="BJ586" s="55"/>
      <c r="BK586" s="55"/>
      <c r="BL586" s="55"/>
      <c r="BM586" s="55"/>
      <c r="BN586" s="55"/>
      <c r="BO586" s="55"/>
      <c r="BP586" s="55"/>
      <c r="BQ586" s="55"/>
      <c r="BR586" s="55"/>
      <c r="BS586" s="55"/>
      <c r="BT586" s="55"/>
      <c r="BU586" s="55"/>
      <c r="BV586" s="55"/>
      <c r="BW586" s="55"/>
      <c r="BX586" s="55"/>
      <c r="BY586" s="55"/>
      <c r="BZ586" s="55"/>
      <c r="CA586" s="55"/>
      <c r="CB586" s="55"/>
      <c r="CC586" s="55"/>
      <c r="CD586" s="55"/>
      <c r="CE586" s="55"/>
      <c r="CF586" s="55"/>
      <c r="CG586" s="55"/>
      <c r="CH586" s="55"/>
      <c r="CI586" s="55"/>
      <c r="CJ586" s="55"/>
      <c r="CK586" s="55"/>
      <c r="CL586" s="55"/>
      <c r="CM586" s="55"/>
      <c r="CN586" s="55"/>
      <c r="CO586" s="55"/>
      <c r="CP586" s="55"/>
      <c r="CQ586" s="55"/>
      <c r="CR586" s="55"/>
      <c r="CS586" s="55"/>
      <c r="CT586" s="55"/>
      <c r="CU586" s="55"/>
      <c r="CV586" s="55"/>
      <c r="CW586" s="55"/>
      <c r="CX586" s="55"/>
      <c r="CY586" s="55"/>
      <c r="CZ586" s="55"/>
      <c r="DA586" s="55"/>
      <c r="DB586" s="55"/>
      <c r="DC586" s="55"/>
      <c r="DD586" s="55"/>
      <c r="DE586" s="55"/>
      <c r="DF586" s="55"/>
      <c r="DG586" s="55"/>
      <c r="DH586" s="55"/>
      <c r="DI586" s="55"/>
    </row>
    <row r="587" spans="1:113" x14ac:dyDescent="0.25">
      <c r="A587" s="152">
        <v>6</v>
      </c>
      <c r="B587" s="213" t="s">
        <v>910</v>
      </c>
      <c r="C587" s="43">
        <v>132000</v>
      </c>
      <c r="D587" s="233">
        <v>28738</v>
      </c>
      <c r="E587" s="43">
        <v>300</v>
      </c>
      <c r="F587" s="59">
        <f>300+200+300+200+300+400+300+500+500-3000</f>
        <v>0</v>
      </c>
      <c r="G587" s="139">
        <f t="shared" si="183"/>
        <v>300</v>
      </c>
      <c r="H587" s="139">
        <f>100+2600-2700+10</f>
        <v>10</v>
      </c>
      <c r="I587" s="56">
        <f t="shared" si="184"/>
        <v>290</v>
      </c>
      <c r="J587" s="56">
        <f t="shared" si="185"/>
        <v>38280000</v>
      </c>
      <c r="K587" s="57">
        <f t="shared" si="186"/>
        <v>8334020</v>
      </c>
      <c r="L587"/>
      <c r="M587" s="314">
        <f t="shared" si="182"/>
        <v>0</v>
      </c>
      <c r="N587" s="310"/>
      <c r="O587" s="315"/>
      <c r="P587" s="315"/>
      <c r="Q587" s="315"/>
      <c r="R587" s="315"/>
      <c r="S587" s="55"/>
      <c r="T587" s="55"/>
      <c r="U587" s="55"/>
      <c r="V587" s="55"/>
      <c r="W587" s="55"/>
      <c r="X587" s="55"/>
      <c r="Y587" s="55"/>
      <c r="Z587" s="55"/>
      <c r="AA587" s="55"/>
      <c r="AB587" s="55"/>
      <c r="AC587" s="55"/>
      <c r="AD587" s="55"/>
      <c r="AE587" s="55"/>
      <c r="AF587" s="55"/>
      <c r="AG587" s="55"/>
      <c r="AH587" s="55"/>
      <c r="AI587" s="55"/>
      <c r="AJ587" s="55"/>
      <c r="AK587" s="55"/>
      <c r="AL587" s="55"/>
      <c r="AM587" s="55"/>
      <c r="AN587" s="55"/>
      <c r="AO587" s="55"/>
      <c r="AP587" s="55"/>
      <c r="AQ587" s="55"/>
      <c r="AR587" s="55"/>
      <c r="AS587" s="55"/>
      <c r="AT587" s="55"/>
      <c r="AU587" s="55"/>
      <c r="AV587" s="55"/>
      <c r="AW587" s="55"/>
      <c r="AX587" s="55"/>
      <c r="AY587" s="55"/>
      <c r="AZ587" s="55"/>
      <c r="BA587" s="55"/>
      <c r="BB587" s="55"/>
      <c r="BC587" s="55"/>
      <c r="BD587" s="55"/>
      <c r="BE587" s="55"/>
      <c r="BF587" s="55"/>
      <c r="BG587" s="55"/>
      <c r="BH587" s="55"/>
      <c r="BI587" s="55"/>
      <c r="BJ587" s="55"/>
      <c r="BK587" s="55"/>
      <c r="BL587" s="55"/>
      <c r="BM587" s="55"/>
      <c r="BN587" s="55"/>
      <c r="BO587" s="55"/>
      <c r="BP587" s="55"/>
      <c r="BQ587" s="55"/>
      <c r="BR587" s="55"/>
      <c r="BS587" s="55"/>
      <c r="BT587" s="55"/>
      <c r="BU587" s="55"/>
      <c r="BV587" s="55"/>
      <c r="BW587" s="55"/>
      <c r="BX587" s="55"/>
      <c r="BY587" s="55"/>
      <c r="BZ587" s="55"/>
      <c r="CA587" s="55"/>
      <c r="CB587" s="55"/>
      <c r="CC587" s="55"/>
      <c r="CD587" s="55"/>
      <c r="CE587" s="55"/>
      <c r="CF587" s="55"/>
      <c r="CG587" s="55"/>
      <c r="CH587" s="55"/>
      <c r="CI587" s="55"/>
      <c r="CJ587" s="55"/>
      <c r="CK587" s="55"/>
      <c r="CL587" s="55"/>
      <c r="CM587" s="55"/>
      <c r="CN587" s="55"/>
      <c r="CO587" s="55"/>
      <c r="CP587" s="55"/>
      <c r="CQ587" s="55"/>
      <c r="CR587" s="55"/>
      <c r="CS587" s="55"/>
      <c r="CT587" s="55"/>
      <c r="CU587" s="55"/>
      <c r="CV587" s="55"/>
      <c r="CW587" s="55"/>
      <c r="CX587" s="55"/>
      <c r="CY587" s="55"/>
      <c r="CZ587" s="55"/>
      <c r="DA587" s="55"/>
      <c r="DB587" s="55"/>
      <c r="DC587" s="55"/>
      <c r="DD587" s="55"/>
      <c r="DE587" s="55"/>
      <c r="DF587" s="55"/>
      <c r="DG587" s="55"/>
      <c r="DH587" s="55"/>
      <c r="DI587" s="55"/>
    </row>
    <row r="588" spans="1:113" x14ac:dyDescent="0.25">
      <c r="A588" s="152">
        <v>7</v>
      </c>
      <c r="B588" s="213" t="s">
        <v>916</v>
      </c>
      <c r="C588" s="43">
        <v>15000</v>
      </c>
      <c r="D588" s="233">
        <v>0</v>
      </c>
      <c r="E588" s="43">
        <v>0</v>
      </c>
      <c r="F588" s="59">
        <v>3000</v>
      </c>
      <c r="G588" s="139">
        <f t="shared" si="183"/>
        <v>3000</v>
      </c>
      <c r="H588" s="139">
        <f>1000+1550</f>
        <v>2550</v>
      </c>
      <c r="I588" s="56">
        <f t="shared" si="184"/>
        <v>450</v>
      </c>
      <c r="J588" s="56">
        <f t="shared" si="185"/>
        <v>6750000</v>
      </c>
      <c r="K588" s="57">
        <f t="shared" si="186"/>
        <v>0</v>
      </c>
      <c r="L588"/>
      <c r="M588" s="314">
        <f t="shared" si="182"/>
        <v>0</v>
      </c>
      <c r="N588" s="310"/>
      <c r="O588" s="315"/>
      <c r="P588" s="315"/>
      <c r="Q588" s="315"/>
      <c r="R588" s="315"/>
      <c r="S588" s="55"/>
      <c r="T588" s="55"/>
      <c r="U588" s="55"/>
      <c r="V588" s="55"/>
      <c r="W588" s="55"/>
      <c r="X588" s="55"/>
      <c r="Y588" s="55"/>
      <c r="Z588" s="55"/>
      <c r="AA588" s="55"/>
      <c r="AB588" s="55"/>
      <c r="AC588" s="55"/>
      <c r="AD588" s="55"/>
      <c r="AE588" s="55"/>
      <c r="AF588" s="55"/>
      <c r="AG588" s="55"/>
      <c r="AH588" s="55"/>
      <c r="AI588" s="55"/>
      <c r="AJ588" s="55"/>
      <c r="AK588" s="55"/>
      <c r="AL588" s="55"/>
      <c r="AM588" s="55"/>
      <c r="AN588" s="55"/>
      <c r="AO588" s="55"/>
      <c r="AP588" s="55"/>
      <c r="AQ588" s="55"/>
      <c r="AR588" s="55"/>
      <c r="AS588" s="55"/>
      <c r="AT588" s="55"/>
      <c r="AU588" s="55"/>
      <c r="AV588" s="55"/>
      <c r="AW588" s="55"/>
      <c r="AX588" s="55"/>
      <c r="AY588" s="55"/>
      <c r="AZ588" s="55"/>
      <c r="BA588" s="55"/>
      <c r="BB588" s="55"/>
      <c r="BC588" s="55"/>
      <c r="BD588" s="55"/>
      <c r="BE588" s="55"/>
      <c r="BF588" s="55"/>
      <c r="BG588" s="55"/>
      <c r="BH588" s="55"/>
      <c r="BI588" s="55"/>
      <c r="BJ588" s="55"/>
      <c r="BK588" s="55"/>
      <c r="BL588" s="55"/>
      <c r="BM588" s="55"/>
      <c r="BN588" s="55"/>
      <c r="BO588" s="55"/>
      <c r="BP588" s="55"/>
      <c r="BQ588" s="55"/>
      <c r="BR588" s="55"/>
      <c r="BS588" s="55"/>
      <c r="BT588" s="55"/>
      <c r="BU588" s="55"/>
      <c r="BV588" s="55"/>
      <c r="BW588" s="55"/>
      <c r="BX588" s="55"/>
      <c r="BY588" s="55"/>
      <c r="BZ588" s="55"/>
      <c r="CA588" s="55"/>
      <c r="CB588" s="55"/>
      <c r="CC588" s="55"/>
      <c r="CD588" s="55"/>
      <c r="CE588" s="55"/>
      <c r="CF588" s="55"/>
      <c r="CG588" s="55"/>
      <c r="CH588" s="55"/>
      <c r="CI588" s="55"/>
      <c r="CJ588" s="55"/>
      <c r="CK588" s="55"/>
      <c r="CL588" s="55"/>
      <c r="CM588" s="55"/>
      <c r="CN588" s="55"/>
      <c r="CO588" s="55"/>
      <c r="CP588" s="55"/>
      <c r="CQ588" s="55"/>
      <c r="CR588" s="55"/>
      <c r="CS588" s="55"/>
      <c r="CT588" s="55"/>
      <c r="CU588" s="55"/>
      <c r="CV588" s="55"/>
      <c r="CW588" s="55"/>
      <c r="CX588" s="55"/>
      <c r="CY588" s="55"/>
      <c r="CZ588" s="55"/>
      <c r="DA588" s="55"/>
      <c r="DB588" s="55"/>
      <c r="DC588" s="55"/>
      <c r="DD588" s="55"/>
      <c r="DE588" s="55"/>
      <c r="DF588" s="55"/>
      <c r="DG588" s="55"/>
      <c r="DH588" s="55"/>
      <c r="DI588" s="55"/>
    </row>
    <row r="589" spans="1:113" x14ac:dyDescent="0.25">
      <c r="A589" s="152">
        <v>8</v>
      </c>
      <c r="B589" s="213" t="s">
        <v>920</v>
      </c>
      <c r="C589" s="43">
        <v>15000</v>
      </c>
      <c r="D589" s="233">
        <v>0</v>
      </c>
      <c r="E589" s="43">
        <v>0</v>
      </c>
      <c r="F589" s="59">
        <v>3000</v>
      </c>
      <c r="G589" s="139">
        <f t="shared" si="183"/>
        <v>3000</v>
      </c>
      <c r="H589" s="139">
        <f>200+2350</f>
        <v>2550</v>
      </c>
      <c r="I589" s="56">
        <f t="shared" si="184"/>
        <v>450</v>
      </c>
      <c r="J589" s="56">
        <f t="shared" si="185"/>
        <v>6750000</v>
      </c>
      <c r="K589" s="57">
        <f t="shared" si="186"/>
        <v>0</v>
      </c>
      <c r="L589"/>
      <c r="M589" s="314">
        <f t="shared" si="182"/>
        <v>0</v>
      </c>
      <c r="N589" s="310"/>
      <c r="O589" s="315"/>
      <c r="P589" s="315"/>
      <c r="Q589" s="315"/>
      <c r="R589" s="315"/>
      <c r="S589" s="55"/>
      <c r="T589" s="55"/>
      <c r="U589" s="55"/>
      <c r="V589" s="55"/>
      <c r="W589" s="55"/>
      <c r="X589" s="55"/>
      <c r="Y589" s="55"/>
      <c r="Z589" s="55"/>
      <c r="AA589" s="55"/>
      <c r="AB589" s="55"/>
      <c r="AC589" s="55"/>
      <c r="AD589" s="55"/>
      <c r="AE589" s="55"/>
      <c r="AF589" s="55"/>
      <c r="AG589" s="55"/>
      <c r="AH589" s="55"/>
      <c r="AI589" s="55"/>
      <c r="AJ589" s="55"/>
      <c r="AK589" s="55"/>
      <c r="AL589" s="55"/>
      <c r="AM589" s="55"/>
      <c r="AN589" s="55"/>
      <c r="AO589" s="55"/>
      <c r="AP589" s="55"/>
      <c r="AQ589" s="55"/>
      <c r="AR589" s="55"/>
      <c r="AS589" s="55"/>
      <c r="AT589" s="55"/>
      <c r="AU589" s="55"/>
      <c r="AV589" s="55"/>
      <c r="AW589" s="55"/>
      <c r="AX589" s="55"/>
      <c r="AY589" s="55"/>
      <c r="AZ589" s="55"/>
      <c r="BA589" s="55"/>
      <c r="BB589" s="55"/>
      <c r="BC589" s="55"/>
      <c r="BD589" s="55"/>
      <c r="BE589" s="55"/>
      <c r="BF589" s="55"/>
      <c r="BG589" s="55"/>
      <c r="BH589" s="55"/>
      <c r="BI589" s="55"/>
      <c r="BJ589" s="55"/>
      <c r="BK589" s="55"/>
      <c r="BL589" s="55"/>
      <c r="BM589" s="55"/>
      <c r="BN589" s="55"/>
      <c r="BO589" s="55"/>
      <c r="BP589" s="55"/>
      <c r="BQ589" s="55"/>
      <c r="BR589" s="55"/>
      <c r="BS589" s="55"/>
      <c r="BT589" s="55"/>
      <c r="BU589" s="55"/>
      <c r="BV589" s="55"/>
      <c r="BW589" s="55"/>
      <c r="BX589" s="55"/>
      <c r="BY589" s="55"/>
      <c r="BZ589" s="55"/>
      <c r="CA589" s="55"/>
      <c r="CB589" s="55"/>
      <c r="CC589" s="55"/>
      <c r="CD589" s="55"/>
      <c r="CE589" s="55"/>
      <c r="CF589" s="55"/>
      <c r="CG589" s="55"/>
      <c r="CH589" s="55"/>
      <c r="CI589" s="55"/>
      <c r="CJ589" s="55"/>
      <c r="CK589" s="55"/>
      <c r="CL589" s="55"/>
      <c r="CM589" s="55"/>
      <c r="CN589" s="55"/>
      <c r="CO589" s="55"/>
      <c r="CP589" s="55"/>
      <c r="CQ589" s="55"/>
      <c r="CR589" s="55"/>
      <c r="CS589" s="55"/>
      <c r="CT589" s="55"/>
      <c r="CU589" s="55"/>
      <c r="CV589" s="55"/>
      <c r="CW589" s="55"/>
      <c r="CX589" s="55"/>
      <c r="CY589" s="55"/>
      <c r="CZ589" s="55"/>
      <c r="DA589" s="55"/>
      <c r="DB589" s="55"/>
      <c r="DC589" s="55"/>
      <c r="DD589" s="55"/>
      <c r="DE589" s="55"/>
      <c r="DF589" s="55"/>
      <c r="DG589" s="55"/>
      <c r="DH589" s="55"/>
      <c r="DI589" s="55"/>
    </row>
    <row r="590" spans="1:113" x14ac:dyDescent="0.25">
      <c r="A590" s="152">
        <v>9</v>
      </c>
      <c r="B590" s="213" t="s">
        <v>921</v>
      </c>
      <c r="C590" s="43">
        <v>13000</v>
      </c>
      <c r="D590" s="233">
        <v>0</v>
      </c>
      <c r="E590" s="43">
        <v>0</v>
      </c>
      <c r="F590" s="59">
        <v>3000</v>
      </c>
      <c r="G590" s="139">
        <f t="shared" si="183"/>
        <v>3000</v>
      </c>
      <c r="H590" s="139">
        <f>200+2350</f>
        <v>2550</v>
      </c>
      <c r="I590" s="56">
        <f t="shared" si="184"/>
        <v>450</v>
      </c>
      <c r="J590" s="56">
        <f t="shared" si="185"/>
        <v>5850000</v>
      </c>
      <c r="K590" s="57">
        <f t="shared" si="186"/>
        <v>0</v>
      </c>
      <c r="L590"/>
      <c r="M590" s="314">
        <f t="shared" si="182"/>
        <v>0</v>
      </c>
      <c r="N590" s="310"/>
      <c r="O590" s="315"/>
      <c r="P590" s="315"/>
      <c r="Q590" s="315"/>
      <c r="R590" s="315"/>
      <c r="S590" s="55"/>
      <c r="T590" s="55"/>
      <c r="U590" s="55"/>
      <c r="V590" s="55"/>
      <c r="W590" s="55"/>
      <c r="X590" s="55"/>
      <c r="Y590" s="55"/>
      <c r="Z590" s="55"/>
      <c r="AA590" s="55"/>
      <c r="AB590" s="55"/>
      <c r="AC590" s="55"/>
      <c r="AD590" s="55"/>
      <c r="AE590" s="55"/>
      <c r="AF590" s="55"/>
      <c r="AG590" s="55"/>
      <c r="AH590" s="55"/>
      <c r="AI590" s="55"/>
      <c r="AJ590" s="55"/>
      <c r="AK590" s="55"/>
      <c r="AL590" s="55"/>
      <c r="AM590" s="55"/>
      <c r="AN590" s="55"/>
      <c r="AO590" s="55"/>
      <c r="AP590" s="55"/>
      <c r="AQ590" s="55"/>
      <c r="AR590" s="55"/>
      <c r="AS590" s="55"/>
      <c r="AT590" s="55"/>
      <c r="AU590" s="55"/>
      <c r="AV590" s="55"/>
      <c r="AW590" s="55"/>
      <c r="AX590" s="55"/>
      <c r="AY590" s="55"/>
      <c r="AZ590" s="55"/>
      <c r="BA590" s="55"/>
      <c r="BB590" s="55"/>
      <c r="BC590" s="55"/>
      <c r="BD590" s="55"/>
      <c r="BE590" s="55"/>
      <c r="BF590" s="55"/>
      <c r="BG590" s="55"/>
      <c r="BH590" s="55"/>
      <c r="BI590" s="55"/>
      <c r="BJ590" s="55"/>
      <c r="BK590" s="55"/>
      <c r="BL590" s="55"/>
      <c r="BM590" s="55"/>
      <c r="BN590" s="55"/>
      <c r="BO590" s="55"/>
      <c r="BP590" s="55"/>
      <c r="BQ590" s="55"/>
      <c r="BR590" s="55"/>
      <c r="BS590" s="55"/>
      <c r="BT590" s="55"/>
      <c r="BU590" s="55"/>
      <c r="BV590" s="55"/>
      <c r="BW590" s="55"/>
      <c r="BX590" s="55"/>
      <c r="BY590" s="55"/>
      <c r="BZ590" s="55"/>
      <c r="CA590" s="55"/>
      <c r="CB590" s="55"/>
      <c r="CC590" s="55"/>
      <c r="CD590" s="55"/>
      <c r="CE590" s="55"/>
      <c r="CF590" s="55"/>
      <c r="CG590" s="55"/>
      <c r="CH590" s="55"/>
      <c r="CI590" s="55"/>
      <c r="CJ590" s="55"/>
      <c r="CK590" s="55"/>
      <c r="CL590" s="55"/>
      <c r="CM590" s="55"/>
      <c r="CN590" s="55"/>
      <c r="CO590" s="55"/>
      <c r="CP590" s="55"/>
      <c r="CQ590" s="55"/>
      <c r="CR590" s="55"/>
      <c r="CS590" s="55"/>
      <c r="CT590" s="55"/>
      <c r="CU590" s="55"/>
      <c r="CV590" s="55"/>
      <c r="CW590" s="55"/>
      <c r="CX590" s="55"/>
      <c r="CY590" s="55"/>
      <c r="CZ590" s="55"/>
      <c r="DA590" s="55"/>
      <c r="DB590" s="55"/>
      <c r="DC590" s="55"/>
      <c r="DD590" s="55"/>
      <c r="DE590" s="55"/>
      <c r="DF590" s="55"/>
      <c r="DG590" s="55"/>
      <c r="DH590" s="55"/>
      <c r="DI590" s="55"/>
    </row>
    <row r="591" spans="1:113" x14ac:dyDescent="0.25">
      <c r="A591" s="152">
        <v>10</v>
      </c>
      <c r="B591" s="213"/>
      <c r="C591" s="43"/>
      <c r="D591" s="233">
        <v>0</v>
      </c>
      <c r="E591" s="43">
        <v>0</v>
      </c>
      <c r="F591" s="229"/>
      <c r="G591" s="139">
        <f t="shared" si="183"/>
        <v>0</v>
      </c>
      <c r="H591" s="139"/>
      <c r="I591" s="56">
        <f t="shared" si="184"/>
        <v>0</v>
      </c>
      <c r="J591" s="56">
        <f t="shared" si="185"/>
        <v>0</v>
      </c>
      <c r="K591" s="57">
        <f t="shared" si="186"/>
        <v>0</v>
      </c>
      <c r="L591"/>
      <c r="M591" s="314">
        <f t="shared" si="182"/>
        <v>0</v>
      </c>
      <c r="N591" s="310"/>
      <c r="O591" s="315"/>
      <c r="P591" s="315"/>
      <c r="Q591" s="315"/>
      <c r="R591" s="315"/>
      <c r="S591" s="55"/>
      <c r="T591" s="55"/>
      <c r="U591" s="55"/>
      <c r="V591" s="55"/>
      <c r="W591" s="55"/>
      <c r="X591" s="55"/>
      <c r="Y591" s="55"/>
      <c r="Z591" s="55"/>
      <c r="AA591" s="55"/>
      <c r="AB591" s="55"/>
      <c r="AC591" s="55"/>
      <c r="AD591" s="55"/>
      <c r="AE591" s="55"/>
      <c r="AF591" s="55"/>
      <c r="AG591" s="55"/>
      <c r="AH591" s="55"/>
      <c r="AI591" s="55"/>
      <c r="AJ591" s="55"/>
      <c r="AK591" s="55"/>
      <c r="AL591" s="55"/>
      <c r="AM591" s="55"/>
      <c r="AN591" s="55"/>
      <c r="AO591" s="55"/>
      <c r="AP591" s="55"/>
      <c r="AQ591" s="55"/>
      <c r="AR591" s="55"/>
      <c r="AS591" s="55"/>
      <c r="AT591" s="55"/>
      <c r="AU591" s="55"/>
      <c r="AV591" s="55"/>
      <c r="AW591" s="55"/>
      <c r="AX591" s="55"/>
      <c r="AY591" s="55"/>
      <c r="AZ591" s="55"/>
      <c r="BA591" s="55"/>
      <c r="BB591" s="55"/>
      <c r="BC591" s="55"/>
      <c r="BD591" s="55"/>
      <c r="BE591" s="55"/>
      <c r="BF591" s="55"/>
      <c r="BG591" s="55"/>
      <c r="BH591" s="55"/>
      <c r="BI591" s="55"/>
      <c r="BJ591" s="55"/>
      <c r="BK591" s="55"/>
      <c r="BL591" s="55"/>
      <c r="BM591" s="55"/>
      <c r="BN591" s="55"/>
      <c r="BO591" s="55"/>
      <c r="BP591" s="55"/>
      <c r="BQ591" s="55"/>
      <c r="BR591" s="55"/>
      <c r="BS591" s="55"/>
      <c r="BT591" s="55"/>
      <c r="BU591" s="55"/>
      <c r="BV591" s="55"/>
      <c r="BW591" s="55"/>
      <c r="BX591" s="55"/>
      <c r="BY591" s="55"/>
      <c r="BZ591" s="55"/>
      <c r="CA591" s="55"/>
      <c r="CB591" s="55"/>
      <c r="CC591" s="55"/>
      <c r="CD591" s="55"/>
      <c r="CE591" s="55"/>
      <c r="CF591" s="55"/>
      <c r="CG591" s="55"/>
      <c r="CH591" s="55"/>
      <c r="CI591" s="55"/>
      <c r="CJ591" s="55"/>
      <c r="CK591" s="55"/>
      <c r="CL591" s="55"/>
      <c r="CM591" s="55"/>
      <c r="CN591" s="55"/>
      <c r="CO591" s="55"/>
      <c r="CP591" s="55"/>
      <c r="CQ591" s="55"/>
      <c r="CR591" s="55"/>
      <c r="CS591" s="55"/>
      <c r="CT591" s="55"/>
      <c r="CU591" s="55"/>
      <c r="CV591" s="55"/>
      <c r="CW591" s="55"/>
      <c r="CX591" s="55"/>
      <c r="CY591" s="55"/>
      <c r="CZ591" s="55"/>
      <c r="DA591" s="55"/>
      <c r="DB591" s="55"/>
      <c r="DC591" s="55"/>
      <c r="DD591" s="55"/>
      <c r="DE591" s="55"/>
      <c r="DF591" s="55"/>
      <c r="DG591" s="55"/>
      <c r="DH591" s="55"/>
      <c r="DI591" s="55"/>
    </row>
    <row r="592" spans="1:113" x14ac:dyDescent="0.25">
      <c r="A592" s="152">
        <v>11</v>
      </c>
      <c r="B592" s="213"/>
      <c r="C592" s="43"/>
      <c r="D592" s="233">
        <v>0</v>
      </c>
      <c r="E592" s="43">
        <v>0</v>
      </c>
      <c r="F592" s="59"/>
      <c r="G592" s="139">
        <f t="shared" si="183"/>
        <v>0</v>
      </c>
      <c r="H592" s="139"/>
      <c r="I592" s="56">
        <f t="shared" si="184"/>
        <v>0</v>
      </c>
      <c r="J592" s="56">
        <f t="shared" si="185"/>
        <v>0</v>
      </c>
      <c r="K592" s="57">
        <f t="shared" si="186"/>
        <v>0</v>
      </c>
      <c r="L592"/>
      <c r="M592" s="314">
        <f t="shared" si="182"/>
        <v>0</v>
      </c>
      <c r="N592" s="310"/>
      <c r="O592" s="315"/>
      <c r="P592" s="315"/>
      <c r="Q592" s="315"/>
      <c r="R592" s="315"/>
      <c r="S592" s="55"/>
      <c r="T592" s="55"/>
      <c r="U592" s="55"/>
      <c r="V592" s="55"/>
      <c r="W592" s="55"/>
      <c r="X592" s="55"/>
      <c r="Y592" s="55"/>
      <c r="Z592" s="55"/>
      <c r="AA592" s="55"/>
      <c r="AB592" s="55"/>
      <c r="AC592" s="55"/>
      <c r="AD592" s="55"/>
      <c r="AE592" s="55"/>
      <c r="AF592" s="55"/>
      <c r="AG592" s="55"/>
      <c r="AH592" s="55"/>
      <c r="AI592" s="55"/>
      <c r="AJ592" s="55"/>
      <c r="AK592" s="55"/>
      <c r="AL592" s="55"/>
      <c r="AM592" s="55"/>
      <c r="AN592" s="55"/>
      <c r="AO592" s="55"/>
      <c r="AP592" s="55"/>
      <c r="AQ592" s="55"/>
      <c r="AR592" s="55"/>
      <c r="AS592" s="55"/>
      <c r="AT592" s="55"/>
      <c r="AU592" s="55"/>
      <c r="AV592" s="55"/>
      <c r="AW592" s="55"/>
      <c r="AX592" s="55"/>
      <c r="AY592" s="55"/>
      <c r="AZ592" s="55"/>
      <c r="BA592" s="55"/>
      <c r="BB592" s="55"/>
      <c r="BC592" s="55"/>
      <c r="BD592" s="55"/>
      <c r="BE592" s="55"/>
      <c r="BF592" s="55"/>
      <c r="BG592" s="55"/>
      <c r="BH592" s="55"/>
      <c r="BI592" s="55"/>
      <c r="BJ592" s="55"/>
      <c r="BK592" s="55"/>
      <c r="BL592" s="55"/>
      <c r="BM592" s="55"/>
      <c r="BN592" s="55"/>
      <c r="BO592" s="55"/>
      <c r="BP592" s="55"/>
      <c r="BQ592" s="55"/>
      <c r="BR592" s="55"/>
      <c r="BS592" s="55"/>
      <c r="BT592" s="55"/>
      <c r="BU592" s="55"/>
      <c r="BV592" s="55"/>
      <c r="BW592" s="55"/>
      <c r="BX592" s="55"/>
      <c r="BY592" s="55"/>
      <c r="BZ592" s="55"/>
      <c r="CA592" s="55"/>
      <c r="CB592" s="55"/>
      <c r="CC592" s="55"/>
      <c r="CD592" s="55"/>
      <c r="CE592" s="55"/>
      <c r="CF592" s="55"/>
      <c r="CG592" s="55"/>
      <c r="CH592" s="55"/>
      <c r="CI592" s="55"/>
      <c r="CJ592" s="55"/>
      <c r="CK592" s="55"/>
      <c r="CL592" s="55"/>
      <c r="CM592" s="55"/>
      <c r="CN592" s="55"/>
      <c r="CO592" s="55"/>
      <c r="CP592" s="55"/>
      <c r="CQ592" s="55"/>
      <c r="CR592" s="55"/>
      <c r="CS592" s="55"/>
      <c r="CT592" s="55"/>
      <c r="CU592" s="55"/>
      <c r="CV592" s="55"/>
      <c r="CW592" s="55"/>
      <c r="CX592" s="55"/>
      <c r="CY592" s="55"/>
      <c r="CZ592" s="55"/>
      <c r="DA592" s="55"/>
      <c r="DB592" s="55"/>
      <c r="DC592" s="55"/>
      <c r="DD592" s="55"/>
      <c r="DE592" s="55"/>
      <c r="DF592" s="55"/>
      <c r="DG592" s="55"/>
      <c r="DH592" s="55"/>
      <c r="DI592" s="55"/>
    </row>
    <row r="593" spans="1:113" x14ac:dyDescent="0.25">
      <c r="A593" s="152">
        <v>12</v>
      </c>
      <c r="B593" s="213"/>
      <c r="C593" s="43"/>
      <c r="D593" s="233">
        <v>0</v>
      </c>
      <c r="E593" s="43">
        <v>0</v>
      </c>
      <c r="F593" s="59"/>
      <c r="G593" s="139">
        <f t="shared" si="183"/>
        <v>0</v>
      </c>
      <c r="H593" s="139"/>
      <c r="I593" s="56">
        <f t="shared" si="184"/>
        <v>0</v>
      </c>
      <c r="J593" s="56">
        <f t="shared" si="185"/>
        <v>0</v>
      </c>
      <c r="K593" s="57">
        <f t="shared" si="186"/>
        <v>0</v>
      </c>
      <c r="L593"/>
      <c r="M593" s="314">
        <f t="shared" si="182"/>
        <v>0</v>
      </c>
      <c r="N593" s="310"/>
      <c r="O593" s="315"/>
      <c r="P593" s="315"/>
      <c r="Q593" s="315"/>
      <c r="R593" s="315"/>
      <c r="S593" s="55"/>
      <c r="T593" s="55"/>
      <c r="U593" s="55"/>
      <c r="V593" s="55"/>
      <c r="W593" s="55"/>
      <c r="X593" s="55"/>
      <c r="Y593" s="55"/>
      <c r="Z593" s="55"/>
      <c r="AA593" s="55"/>
      <c r="AB593" s="55"/>
      <c r="AC593" s="55"/>
      <c r="AD593" s="55"/>
      <c r="AE593" s="55"/>
      <c r="AF593" s="55"/>
      <c r="AG593" s="55"/>
      <c r="AH593" s="55"/>
      <c r="AI593" s="55"/>
      <c r="AJ593" s="55"/>
      <c r="AK593" s="55"/>
      <c r="AL593" s="55"/>
      <c r="AM593" s="55"/>
      <c r="AN593" s="55"/>
      <c r="AO593" s="55"/>
      <c r="AP593" s="55"/>
      <c r="AQ593" s="55"/>
      <c r="AR593" s="55"/>
      <c r="AS593" s="55"/>
      <c r="AT593" s="55"/>
      <c r="AU593" s="55"/>
      <c r="AV593" s="55"/>
      <c r="AW593" s="55"/>
      <c r="AX593" s="55"/>
      <c r="AY593" s="55"/>
      <c r="AZ593" s="55"/>
      <c r="BA593" s="55"/>
      <c r="BB593" s="55"/>
      <c r="BC593" s="55"/>
      <c r="BD593" s="55"/>
      <c r="BE593" s="55"/>
      <c r="BF593" s="55"/>
      <c r="BG593" s="55"/>
      <c r="BH593" s="55"/>
      <c r="BI593" s="55"/>
      <c r="BJ593" s="55"/>
      <c r="BK593" s="55"/>
      <c r="BL593" s="55"/>
      <c r="BM593" s="55"/>
      <c r="BN593" s="55"/>
      <c r="BO593" s="55"/>
      <c r="BP593" s="55"/>
      <c r="BQ593" s="55"/>
      <c r="BR593" s="55"/>
      <c r="BS593" s="55"/>
      <c r="BT593" s="55"/>
      <c r="BU593" s="55"/>
      <c r="BV593" s="55"/>
      <c r="BW593" s="55"/>
      <c r="BX593" s="55"/>
      <c r="BY593" s="55"/>
      <c r="BZ593" s="55"/>
      <c r="CA593" s="55"/>
      <c r="CB593" s="55"/>
      <c r="CC593" s="55"/>
      <c r="CD593" s="55"/>
      <c r="CE593" s="55"/>
      <c r="CF593" s="55"/>
      <c r="CG593" s="55"/>
      <c r="CH593" s="55"/>
      <c r="CI593" s="55"/>
      <c r="CJ593" s="55"/>
      <c r="CK593" s="55"/>
      <c r="CL593" s="55"/>
      <c r="CM593" s="55"/>
      <c r="CN593" s="55"/>
      <c r="CO593" s="55"/>
      <c r="CP593" s="55"/>
      <c r="CQ593" s="55"/>
      <c r="CR593" s="55"/>
      <c r="CS593" s="55"/>
      <c r="CT593" s="55"/>
      <c r="CU593" s="55"/>
      <c r="CV593" s="55"/>
      <c r="CW593" s="55"/>
      <c r="CX593" s="55"/>
      <c r="CY593" s="55"/>
      <c r="CZ593" s="55"/>
      <c r="DA593" s="55"/>
      <c r="DB593" s="55"/>
      <c r="DC593" s="55"/>
      <c r="DD593" s="55"/>
      <c r="DE593" s="55"/>
      <c r="DF593" s="55"/>
      <c r="DG593" s="55"/>
      <c r="DH593" s="55"/>
      <c r="DI593" s="55"/>
    </row>
    <row r="594" spans="1:113" x14ac:dyDescent="0.25">
      <c r="A594" s="152">
        <v>13</v>
      </c>
      <c r="B594" s="60"/>
      <c r="C594" s="43"/>
      <c r="D594" s="233">
        <v>0</v>
      </c>
      <c r="E594" s="43">
        <v>0</v>
      </c>
      <c r="F594" s="59"/>
      <c r="G594" s="139">
        <f t="shared" si="183"/>
        <v>0</v>
      </c>
      <c r="H594" s="139"/>
      <c r="I594" s="56">
        <f t="shared" si="184"/>
        <v>0</v>
      </c>
      <c r="J594" s="56">
        <f t="shared" si="185"/>
        <v>0</v>
      </c>
      <c r="K594" s="57">
        <f t="shared" si="186"/>
        <v>0</v>
      </c>
      <c r="L594"/>
      <c r="M594" s="314">
        <f t="shared" si="182"/>
        <v>0</v>
      </c>
      <c r="N594" s="310"/>
      <c r="O594" s="315"/>
      <c r="P594" s="315"/>
      <c r="Q594" s="315"/>
      <c r="R594" s="315"/>
      <c r="S594" s="55"/>
      <c r="T594" s="55"/>
      <c r="U594" s="55"/>
      <c r="V594" s="55"/>
      <c r="W594" s="55"/>
      <c r="X594" s="55"/>
      <c r="Y594" s="55"/>
      <c r="Z594" s="55"/>
      <c r="AA594" s="55"/>
      <c r="AB594" s="55"/>
      <c r="AC594" s="55"/>
      <c r="AD594" s="55"/>
      <c r="AE594" s="55"/>
      <c r="AF594" s="55"/>
      <c r="AG594" s="55"/>
      <c r="AH594" s="55"/>
      <c r="AI594" s="55"/>
      <c r="AJ594" s="55"/>
      <c r="AK594" s="55"/>
      <c r="AL594" s="55"/>
      <c r="AM594" s="55"/>
      <c r="AN594" s="55"/>
      <c r="AO594" s="55"/>
      <c r="AP594" s="55"/>
      <c r="AQ594" s="55"/>
      <c r="AR594" s="55"/>
      <c r="AS594" s="55"/>
      <c r="AT594" s="55"/>
      <c r="AU594" s="55"/>
      <c r="AV594" s="55"/>
      <c r="AW594" s="55"/>
      <c r="AX594" s="55"/>
      <c r="AY594" s="55"/>
      <c r="AZ594" s="55"/>
      <c r="BA594" s="55"/>
      <c r="BB594" s="55"/>
      <c r="BC594" s="55"/>
      <c r="BD594" s="55"/>
      <c r="BE594" s="55"/>
      <c r="BF594" s="55"/>
      <c r="BG594" s="55"/>
      <c r="BH594" s="55"/>
      <c r="BI594" s="55"/>
      <c r="BJ594" s="55"/>
      <c r="BK594" s="55"/>
      <c r="BL594" s="55"/>
      <c r="BM594" s="55"/>
      <c r="BN594" s="55"/>
      <c r="BO594" s="55"/>
      <c r="BP594" s="55"/>
      <c r="BQ594" s="55"/>
      <c r="BR594" s="55"/>
      <c r="BS594" s="55"/>
      <c r="BT594" s="55"/>
      <c r="BU594" s="55"/>
      <c r="BV594" s="55"/>
      <c r="BW594" s="55"/>
      <c r="BX594" s="55"/>
      <c r="BY594" s="55"/>
      <c r="BZ594" s="55"/>
      <c r="CA594" s="55"/>
      <c r="CB594" s="55"/>
      <c r="CC594" s="55"/>
      <c r="CD594" s="55"/>
      <c r="CE594" s="55"/>
      <c r="CF594" s="55"/>
      <c r="CG594" s="55"/>
      <c r="CH594" s="55"/>
      <c r="CI594" s="55"/>
      <c r="CJ594" s="55"/>
      <c r="CK594" s="55"/>
      <c r="CL594" s="55"/>
      <c r="CM594" s="55"/>
      <c r="CN594" s="55"/>
      <c r="CO594" s="55"/>
      <c r="CP594" s="55"/>
      <c r="CQ594" s="55"/>
      <c r="CR594" s="55"/>
      <c r="CS594" s="55"/>
      <c r="CT594" s="55"/>
      <c r="CU594" s="55"/>
      <c r="CV594" s="55"/>
      <c r="CW594" s="55"/>
      <c r="CX594" s="55"/>
      <c r="CY594" s="55"/>
      <c r="CZ594" s="55"/>
      <c r="DA594" s="55"/>
      <c r="DB594" s="55"/>
      <c r="DC594" s="55"/>
      <c r="DD594" s="55"/>
      <c r="DE594" s="55"/>
      <c r="DF594" s="55"/>
      <c r="DG594" s="55"/>
      <c r="DH594" s="55"/>
      <c r="DI594" s="55"/>
    </row>
    <row r="595" spans="1:113" x14ac:dyDescent="0.25">
      <c r="A595" s="152">
        <v>14</v>
      </c>
      <c r="B595" s="60"/>
      <c r="C595" s="43"/>
      <c r="D595" s="233">
        <v>0</v>
      </c>
      <c r="E595" s="43">
        <v>0</v>
      </c>
      <c r="F595" s="59"/>
      <c r="G595" s="139">
        <f t="shared" si="183"/>
        <v>0</v>
      </c>
      <c r="H595" s="139"/>
      <c r="I595" s="56">
        <f t="shared" si="184"/>
        <v>0</v>
      </c>
      <c r="J595" s="56">
        <f t="shared" si="185"/>
        <v>0</v>
      </c>
      <c r="K595" s="57">
        <f t="shared" si="186"/>
        <v>0</v>
      </c>
      <c r="L595"/>
      <c r="M595" s="314">
        <f t="shared" si="182"/>
        <v>0</v>
      </c>
      <c r="N595" s="310"/>
      <c r="O595" s="315"/>
      <c r="P595" s="315"/>
      <c r="Q595" s="315"/>
      <c r="R595" s="315"/>
      <c r="S595" s="55"/>
      <c r="T595" s="55"/>
      <c r="U595" s="55"/>
      <c r="V595" s="55"/>
      <c r="W595" s="55"/>
      <c r="X595" s="55"/>
      <c r="Y595" s="55"/>
      <c r="Z595" s="55"/>
      <c r="AA595" s="55"/>
      <c r="AB595" s="55"/>
      <c r="AC595" s="55"/>
      <c r="AD595" s="55"/>
      <c r="AE595" s="55"/>
      <c r="AF595" s="55"/>
      <c r="AG595" s="55"/>
      <c r="AH595" s="55"/>
      <c r="AI595" s="55"/>
      <c r="AJ595" s="55"/>
      <c r="AK595" s="55"/>
      <c r="AL595" s="55"/>
      <c r="AM595" s="55"/>
      <c r="AN595" s="55"/>
      <c r="AO595" s="55"/>
      <c r="AP595" s="55"/>
      <c r="AQ595" s="55"/>
      <c r="AR595" s="55"/>
      <c r="AS595" s="55"/>
      <c r="AT595" s="55"/>
      <c r="AU595" s="55"/>
      <c r="AV595" s="55"/>
      <c r="AW595" s="55"/>
      <c r="AX595" s="55"/>
      <c r="AY595" s="55"/>
      <c r="AZ595" s="55"/>
      <c r="BA595" s="55"/>
      <c r="BB595" s="55"/>
      <c r="BC595" s="55"/>
      <c r="BD595" s="55"/>
      <c r="BE595" s="55"/>
      <c r="BF595" s="55"/>
      <c r="BG595" s="55"/>
      <c r="BH595" s="55"/>
      <c r="BI595" s="55"/>
      <c r="BJ595" s="55"/>
      <c r="BK595" s="55"/>
      <c r="BL595" s="55"/>
      <c r="BM595" s="55"/>
      <c r="BN595" s="55"/>
      <c r="BO595" s="55"/>
      <c r="BP595" s="55"/>
      <c r="BQ595" s="55"/>
      <c r="BR595" s="55"/>
      <c r="BS595" s="55"/>
      <c r="BT595" s="55"/>
      <c r="BU595" s="55"/>
      <c r="BV595" s="55"/>
      <c r="BW595" s="55"/>
      <c r="BX595" s="55"/>
      <c r="BY595" s="55"/>
      <c r="BZ595" s="55"/>
      <c r="CA595" s="55"/>
      <c r="CB595" s="55"/>
      <c r="CC595" s="55"/>
      <c r="CD595" s="55"/>
      <c r="CE595" s="55"/>
      <c r="CF595" s="55"/>
      <c r="CG595" s="55"/>
      <c r="CH595" s="55"/>
      <c r="CI595" s="55"/>
      <c r="CJ595" s="55"/>
      <c r="CK595" s="55"/>
      <c r="CL595" s="55"/>
      <c r="CM595" s="55"/>
      <c r="CN595" s="55"/>
      <c r="CO595" s="55"/>
      <c r="CP595" s="55"/>
      <c r="CQ595" s="55"/>
      <c r="CR595" s="55"/>
      <c r="CS595" s="55"/>
      <c r="CT595" s="55"/>
      <c r="CU595" s="55"/>
      <c r="CV595" s="55"/>
      <c r="CW595" s="55"/>
      <c r="CX595" s="55"/>
      <c r="CY595" s="55"/>
      <c r="CZ595" s="55"/>
      <c r="DA595" s="55"/>
      <c r="DB595" s="55"/>
      <c r="DC595" s="55"/>
      <c r="DD595" s="55"/>
      <c r="DE595" s="55"/>
      <c r="DF595" s="55"/>
      <c r="DG595" s="55"/>
      <c r="DH595" s="55"/>
      <c r="DI595" s="55"/>
    </row>
    <row r="596" spans="1:113" x14ac:dyDescent="0.25">
      <c r="A596" s="152">
        <v>15</v>
      </c>
      <c r="B596" s="60"/>
      <c r="C596" s="43"/>
      <c r="D596" s="233">
        <v>0</v>
      </c>
      <c r="E596" s="43">
        <v>0</v>
      </c>
      <c r="F596" s="59"/>
      <c r="G596" s="139">
        <f t="shared" si="183"/>
        <v>0</v>
      </c>
      <c r="H596" s="139"/>
      <c r="I596" s="56">
        <f t="shared" si="184"/>
        <v>0</v>
      </c>
      <c r="J596" s="56">
        <f t="shared" si="185"/>
        <v>0</v>
      </c>
      <c r="K596" s="57">
        <f t="shared" si="186"/>
        <v>0</v>
      </c>
      <c r="L596"/>
      <c r="M596" s="314">
        <f t="shared" si="182"/>
        <v>0</v>
      </c>
      <c r="N596" s="310"/>
      <c r="O596" s="315"/>
      <c r="P596" s="315"/>
      <c r="Q596" s="315"/>
      <c r="R596" s="315"/>
      <c r="S596" s="55"/>
      <c r="T596" s="55"/>
      <c r="U596" s="55"/>
      <c r="V596" s="55"/>
      <c r="W596" s="55"/>
      <c r="X596" s="55"/>
      <c r="Y596" s="55"/>
      <c r="Z596" s="55"/>
      <c r="AA596" s="55"/>
      <c r="AB596" s="55"/>
      <c r="AC596" s="55"/>
      <c r="AD596" s="55"/>
      <c r="AE596" s="55"/>
      <c r="AF596" s="55"/>
      <c r="AG596" s="55"/>
      <c r="AH596" s="55"/>
      <c r="AI596" s="55"/>
      <c r="AJ596" s="55"/>
      <c r="AK596" s="55"/>
      <c r="AL596" s="55"/>
      <c r="AM596" s="55"/>
      <c r="AN596" s="55"/>
      <c r="AO596" s="55"/>
      <c r="AP596" s="55"/>
      <c r="AQ596" s="55"/>
      <c r="AR596" s="55"/>
      <c r="AS596" s="55"/>
      <c r="AT596" s="55"/>
      <c r="AU596" s="55"/>
      <c r="AV596" s="55"/>
      <c r="AW596" s="55"/>
      <c r="AX596" s="55"/>
      <c r="AY596" s="55"/>
      <c r="AZ596" s="55"/>
      <c r="BA596" s="55"/>
      <c r="BB596" s="55"/>
      <c r="BC596" s="55"/>
      <c r="BD596" s="55"/>
      <c r="BE596" s="55"/>
      <c r="BF596" s="55"/>
      <c r="BG596" s="55"/>
      <c r="BH596" s="55"/>
      <c r="BI596" s="55"/>
      <c r="BJ596" s="55"/>
      <c r="BK596" s="55"/>
      <c r="BL596" s="55"/>
      <c r="BM596" s="55"/>
      <c r="BN596" s="55"/>
      <c r="BO596" s="55"/>
      <c r="BP596" s="55"/>
      <c r="BQ596" s="55"/>
      <c r="BR596" s="55"/>
      <c r="BS596" s="55"/>
      <c r="BT596" s="55"/>
      <c r="BU596" s="55"/>
      <c r="BV596" s="55"/>
      <c r="BW596" s="55"/>
      <c r="BX596" s="55"/>
      <c r="BY596" s="55"/>
      <c r="BZ596" s="55"/>
      <c r="CA596" s="55"/>
      <c r="CB596" s="55"/>
      <c r="CC596" s="55"/>
      <c r="CD596" s="55"/>
      <c r="CE596" s="55"/>
      <c r="CF596" s="55"/>
      <c r="CG596" s="55"/>
      <c r="CH596" s="55"/>
      <c r="CI596" s="55"/>
      <c r="CJ596" s="55"/>
      <c r="CK596" s="55"/>
      <c r="CL596" s="55"/>
      <c r="CM596" s="55"/>
      <c r="CN596" s="55"/>
      <c r="CO596" s="55"/>
      <c r="CP596" s="55"/>
      <c r="CQ596" s="55"/>
      <c r="CR596" s="55"/>
      <c r="CS596" s="55"/>
      <c r="CT596" s="55"/>
      <c r="CU596" s="55"/>
      <c r="CV596" s="55"/>
      <c r="CW596" s="55"/>
      <c r="CX596" s="55"/>
      <c r="CY596" s="55"/>
      <c r="CZ596" s="55"/>
      <c r="DA596" s="55"/>
      <c r="DB596" s="55"/>
      <c r="DC596" s="55"/>
      <c r="DD596" s="55"/>
      <c r="DE596" s="55"/>
      <c r="DF596" s="55"/>
      <c r="DG596" s="55"/>
      <c r="DH596" s="55"/>
      <c r="DI596" s="55"/>
    </row>
    <row r="597" spans="1:113" x14ac:dyDescent="0.25">
      <c r="A597" s="152">
        <v>16</v>
      </c>
      <c r="B597" s="60"/>
      <c r="C597" s="43"/>
      <c r="D597" s="233">
        <v>0</v>
      </c>
      <c r="E597" s="43">
        <v>0</v>
      </c>
      <c r="F597" s="59"/>
      <c r="G597" s="139">
        <f t="shared" si="183"/>
        <v>0</v>
      </c>
      <c r="H597" s="139"/>
      <c r="I597" s="56">
        <f t="shared" si="184"/>
        <v>0</v>
      </c>
      <c r="J597" s="56">
        <f t="shared" si="185"/>
        <v>0</v>
      </c>
      <c r="K597" s="57">
        <f t="shared" si="186"/>
        <v>0</v>
      </c>
      <c r="L597"/>
      <c r="M597" s="314">
        <f t="shared" si="182"/>
        <v>0</v>
      </c>
      <c r="N597" s="310"/>
      <c r="O597" s="315"/>
      <c r="P597" s="315"/>
      <c r="Q597" s="315"/>
      <c r="R597" s="315"/>
      <c r="S597" s="55"/>
      <c r="T597" s="55"/>
      <c r="U597" s="55"/>
      <c r="V597" s="55"/>
      <c r="W597" s="55"/>
      <c r="X597" s="55"/>
      <c r="Y597" s="55"/>
      <c r="Z597" s="55"/>
      <c r="AA597" s="55"/>
      <c r="AB597" s="55"/>
      <c r="AC597" s="55"/>
      <c r="AD597" s="55"/>
      <c r="AE597" s="55"/>
      <c r="AF597" s="55"/>
      <c r="AG597" s="55"/>
      <c r="AH597" s="55"/>
      <c r="AI597" s="55"/>
      <c r="AJ597" s="55"/>
      <c r="AK597" s="55"/>
      <c r="AL597" s="55"/>
      <c r="AM597" s="55"/>
      <c r="AN597" s="55"/>
      <c r="AO597" s="55"/>
      <c r="AP597" s="55"/>
      <c r="AQ597" s="55"/>
      <c r="AR597" s="55"/>
      <c r="AS597" s="55"/>
      <c r="AT597" s="55"/>
      <c r="AU597" s="55"/>
      <c r="AV597" s="55"/>
      <c r="AW597" s="55"/>
      <c r="AX597" s="55"/>
      <c r="AY597" s="55"/>
      <c r="AZ597" s="55"/>
      <c r="BA597" s="55"/>
      <c r="BB597" s="55"/>
      <c r="BC597" s="55"/>
      <c r="BD597" s="55"/>
      <c r="BE597" s="55"/>
      <c r="BF597" s="55"/>
      <c r="BG597" s="55"/>
      <c r="BH597" s="55"/>
      <c r="BI597" s="55"/>
      <c r="BJ597" s="55"/>
      <c r="BK597" s="55"/>
      <c r="BL597" s="55"/>
      <c r="BM597" s="55"/>
      <c r="BN597" s="55"/>
      <c r="BO597" s="55"/>
      <c r="BP597" s="55"/>
      <c r="BQ597" s="55"/>
      <c r="BR597" s="55"/>
      <c r="BS597" s="55"/>
      <c r="BT597" s="55"/>
      <c r="BU597" s="55"/>
      <c r="BV597" s="55"/>
      <c r="BW597" s="55"/>
      <c r="BX597" s="55"/>
      <c r="BY597" s="55"/>
      <c r="BZ597" s="55"/>
      <c r="CA597" s="55"/>
      <c r="CB597" s="55"/>
      <c r="CC597" s="55"/>
      <c r="CD597" s="55"/>
      <c r="CE597" s="55"/>
      <c r="CF597" s="55"/>
      <c r="CG597" s="55"/>
      <c r="CH597" s="55"/>
      <c r="CI597" s="55"/>
      <c r="CJ597" s="55"/>
      <c r="CK597" s="55"/>
      <c r="CL597" s="55"/>
      <c r="CM597" s="55"/>
      <c r="CN597" s="55"/>
      <c r="CO597" s="55"/>
      <c r="CP597" s="55"/>
      <c r="CQ597" s="55"/>
      <c r="CR597" s="55"/>
      <c r="CS597" s="55"/>
      <c r="CT597" s="55"/>
      <c r="CU597" s="55"/>
      <c r="CV597" s="55"/>
      <c r="CW597" s="55"/>
      <c r="CX597" s="55"/>
      <c r="CY597" s="55"/>
      <c r="CZ597" s="55"/>
      <c r="DA597" s="55"/>
      <c r="DB597" s="55"/>
      <c r="DC597" s="55"/>
      <c r="DD597" s="55"/>
      <c r="DE597" s="55"/>
      <c r="DF597" s="55"/>
      <c r="DG597" s="55"/>
      <c r="DH597" s="55"/>
      <c r="DI597" s="55"/>
    </row>
    <row r="598" spans="1:113" x14ac:dyDescent="0.25">
      <c r="A598" s="170">
        <v>17</v>
      </c>
      <c r="B598" s="231"/>
      <c r="C598" s="122"/>
      <c r="D598" s="233">
        <v>0</v>
      </c>
      <c r="E598" s="122">
        <v>0</v>
      </c>
      <c r="F598" s="242"/>
      <c r="G598" s="169">
        <f t="shared" si="183"/>
        <v>0</v>
      </c>
      <c r="H598" s="139"/>
      <c r="I598" s="109">
        <f t="shared" si="184"/>
        <v>0</v>
      </c>
      <c r="J598" s="109">
        <f t="shared" si="185"/>
        <v>0</v>
      </c>
      <c r="K598" s="110">
        <f t="shared" si="186"/>
        <v>0</v>
      </c>
      <c r="L598"/>
      <c r="M598" s="314">
        <f t="shared" si="182"/>
        <v>0</v>
      </c>
      <c r="N598" s="310"/>
      <c r="O598" s="315"/>
      <c r="P598" s="315"/>
      <c r="Q598" s="315"/>
      <c r="R598" s="315"/>
      <c r="S598" s="55"/>
      <c r="T598" s="55"/>
      <c r="U598" s="55"/>
      <c r="V598" s="55"/>
      <c r="W598" s="55"/>
      <c r="X598" s="55"/>
      <c r="Y598" s="55"/>
      <c r="Z598" s="55"/>
      <c r="AA598" s="55"/>
      <c r="AB598" s="55"/>
      <c r="AC598" s="55"/>
      <c r="AD598" s="55"/>
      <c r="AE598" s="55"/>
      <c r="AF598" s="55"/>
      <c r="AG598" s="55"/>
      <c r="AH598" s="55"/>
      <c r="AI598" s="55"/>
      <c r="AJ598" s="55"/>
      <c r="AK598" s="55"/>
      <c r="AL598" s="55"/>
      <c r="AM598" s="55"/>
      <c r="AN598" s="55"/>
      <c r="AO598" s="55"/>
      <c r="AP598" s="55"/>
      <c r="AQ598" s="55"/>
      <c r="AR598" s="55"/>
      <c r="AS598" s="55"/>
      <c r="AT598" s="55"/>
      <c r="AU598" s="55"/>
      <c r="AV598" s="55"/>
      <c r="AW598" s="55"/>
      <c r="AX598" s="55"/>
      <c r="AY598" s="55"/>
      <c r="AZ598" s="55"/>
      <c r="BA598" s="55"/>
      <c r="BB598" s="55"/>
      <c r="BC598" s="55"/>
      <c r="BD598" s="55"/>
      <c r="BE598" s="55"/>
      <c r="BF598" s="55"/>
      <c r="BG598" s="55"/>
      <c r="BH598" s="55"/>
      <c r="BI598" s="55"/>
      <c r="BJ598" s="55"/>
      <c r="BK598" s="55"/>
      <c r="BL598" s="55"/>
      <c r="BM598" s="55"/>
      <c r="BN598" s="55"/>
      <c r="BO598" s="55"/>
      <c r="BP598" s="55"/>
      <c r="BQ598" s="55"/>
      <c r="BR598" s="55"/>
      <c r="BS598" s="55"/>
      <c r="BT598" s="55"/>
      <c r="BU598" s="55"/>
      <c r="BV598" s="55"/>
      <c r="BW598" s="55"/>
      <c r="BX598" s="55"/>
      <c r="BY598" s="55"/>
      <c r="BZ598" s="55"/>
      <c r="CA598" s="55"/>
      <c r="CB598" s="55"/>
      <c r="CC598" s="55"/>
      <c r="CD598" s="55"/>
      <c r="CE598" s="55"/>
      <c r="CF598" s="55"/>
      <c r="CG598" s="55"/>
      <c r="CH598" s="55"/>
      <c r="CI598" s="55"/>
      <c r="CJ598" s="55"/>
      <c r="CK598" s="55"/>
      <c r="CL598" s="55"/>
      <c r="CM598" s="55"/>
      <c r="CN598" s="55"/>
      <c r="CO598" s="55"/>
      <c r="CP598" s="55"/>
      <c r="CQ598" s="55"/>
      <c r="CR598" s="55"/>
      <c r="CS598" s="55"/>
      <c r="CT598" s="55"/>
      <c r="CU598" s="55"/>
      <c r="CV598" s="55"/>
      <c r="CW598" s="55"/>
      <c r="CX598" s="55"/>
      <c r="CY598" s="55"/>
      <c r="CZ598" s="55"/>
      <c r="DA598" s="55"/>
      <c r="DB598" s="55"/>
      <c r="DC598" s="55"/>
      <c r="DD598" s="55"/>
      <c r="DE598" s="55"/>
      <c r="DF598" s="55"/>
      <c r="DG598" s="55"/>
      <c r="DH598" s="55"/>
      <c r="DI598" s="55"/>
    </row>
    <row r="599" spans="1:113" x14ac:dyDescent="0.25">
      <c r="A599" s="243">
        <v>18</v>
      </c>
      <c r="B599" s="213"/>
      <c r="C599" s="44"/>
      <c r="D599" s="233">
        <v>0</v>
      </c>
      <c r="E599" s="122">
        <v>0</v>
      </c>
      <c r="F599" s="242"/>
      <c r="G599" s="169">
        <f t="shared" si="183"/>
        <v>0</v>
      </c>
      <c r="H599" s="139"/>
      <c r="I599" s="109">
        <f t="shared" si="184"/>
        <v>0</v>
      </c>
      <c r="J599" s="109">
        <f t="shared" si="185"/>
        <v>0</v>
      </c>
      <c r="K599" s="110">
        <f t="shared" si="186"/>
        <v>0</v>
      </c>
      <c r="L599"/>
      <c r="M599" s="314">
        <f t="shared" si="182"/>
        <v>0</v>
      </c>
      <c r="N599" s="310"/>
      <c r="O599" s="315"/>
      <c r="P599" s="315"/>
      <c r="Q599" s="315"/>
      <c r="R599" s="315"/>
      <c r="S599" s="55"/>
      <c r="T599" s="55"/>
      <c r="U599" s="55"/>
      <c r="V599" s="55"/>
      <c r="W599" s="55"/>
      <c r="X599" s="55"/>
      <c r="Y599" s="55"/>
      <c r="Z599" s="55"/>
      <c r="AA599" s="55"/>
      <c r="AB599" s="55"/>
      <c r="AC599" s="55"/>
      <c r="AD599" s="55"/>
      <c r="AE599" s="55"/>
      <c r="AF599" s="55"/>
      <c r="AG599" s="55"/>
      <c r="AH599" s="55"/>
      <c r="AI599" s="55"/>
      <c r="AJ599" s="55"/>
      <c r="AK599" s="55"/>
      <c r="AL599" s="55"/>
      <c r="AM599" s="55"/>
      <c r="AN599" s="55"/>
      <c r="AO599" s="55"/>
      <c r="AP599" s="55"/>
      <c r="AQ599" s="55"/>
      <c r="AR599" s="55"/>
      <c r="AS599" s="55"/>
      <c r="AT599" s="55"/>
      <c r="AU599" s="55"/>
      <c r="AV599" s="55"/>
      <c r="AW599" s="55"/>
      <c r="AX599" s="55"/>
      <c r="AY599" s="55"/>
      <c r="AZ599" s="55"/>
      <c r="BA599" s="55"/>
      <c r="BB599" s="55"/>
      <c r="BC599" s="55"/>
      <c r="BD599" s="55"/>
      <c r="BE599" s="55"/>
      <c r="BF599" s="55"/>
      <c r="BG599" s="55"/>
      <c r="BH599" s="55"/>
      <c r="BI599" s="55"/>
      <c r="BJ599" s="55"/>
      <c r="BK599" s="55"/>
      <c r="BL599" s="55"/>
      <c r="BM599" s="55"/>
      <c r="BN599" s="55"/>
      <c r="BO599" s="55"/>
      <c r="BP599" s="55"/>
      <c r="BQ599" s="55"/>
      <c r="BR599" s="55"/>
      <c r="BS599" s="55"/>
      <c r="BT599" s="55"/>
      <c r="BU599" s="55"/>
      <c r="BV599" s="55"/>
      <c r="BW599" s="55"/>
      <c r="BX599" s="55"/>
      <c r="BY599" s="55"/>
      <c r="BZ599" s="55"/>
      <c r="CA599" s="55"/>
      <c r="CB599" s="55"/>
      <c r="CC599" s="55"/>
      <c r="CD599" s="55"/>
      <c r="CE599" s="55"/>
      <c r="CF599" s="55"/>
      <c r="CG599" s="55"/>
      <c r="CH599" s="55"/>
      <c r="CI599" s="55"/>
      <c r="CJ599" s="55"/>
      <c r="CK599" s="55"/>
      <c r="CL599" s="55"/>
      <c r="CM599" s="55"/>
      <c r="CN599" s="55"/>
      <c r="CO599" s="55"/>
      <c r="CP599" s="55"/>
      <c r="CQ599" s="55"/>
      <c r="CR599" s="55"/>
      <c r="CS599" s="55"/>
      <c r="CT599" s="55"/>
      <c r="CU599" s="55"/>
      <c r="CV599" s="55"/>
      <c r="CW599" s="55"/>
      <c r="CX599" s="55"/>
      <c r="CY599" s="55"/>
      <c r="CZ599" s="55"/>
      <c r="DA599" s="55"/>
      <c r="DB599" s="55"/>
      <c r="DC599" s="55"/>
      <c r="DD599" s="55"/>
      <c r="DE599" s="55"/>
      <c r="DF599" s="55"/>
      <c r="DG599" s="55"/>
      <c r="DH599" s="55"/>
      <c r="DI599" s="55"/>
    </row>
    <row r="600" spans="1:113" x14ac:dyDescent="0.25">
      <c r="A600" s="170">
        <v>19</v>
      </c>
      <c r="B600" s="248"/>
      <c r="C600" s="44"/>
      <c r="D600" s="233">
        <v>0</v>
      </c>
      <c r="E600" s="122">
        <v>0</v>
      </c>
      <c r="F600" s="242"/>
      <c r="G600" s="169">
        <f t="shared" si="183"/>
        <v>0</v>
      </c>
      <c r="H600" s="139"/>
      <c r="I600" s="109">
        <f t="shared" si="184"/>
        <v>0</v>
      </c>
      <c r="J600" s="109">
        <f t="shared" si="185"/>
        <v>0</v>
      </c>
      <c r="K600" s="110">
        <f t="shared" si="186"/>
        <v>0</v>
      </c>
      <c r="L600"/>
      <c r="M600" s="314">
        <f t="shared" si="182"/>
        <v>0</v>
      </c>
      <c r="N600" s="310"/>
      <c r="O600" s="315"/>
      <c r="P600" s="315"/>
      <c r="Q600" s="315"/>
      <c r="R600" s="315"/>
      <c r="S600" s="55"/>
      <c r="T600" s="55"/>
      <c r="U600" s="55"/>
      <c r="V600" s="55"/>
      <c r="W600" s="55"/>
      <c r="X600" s="55"/>
      <c r="Y600" s="55"/>
      <c r="Z600" s="55"/>
      <c r="AA600" s="55"/>
      <c r="AB600" s="55"/>
      <c r="AC600" s="55"/>
      <c r="AD600" s="55"/>
      <c r="AE600" s="55"/>
      <c r="AF600" s="55"/>
      <c r="AG600" s="55"/>
      <c r="AH600" s="55"/>
      <c r="AI600" s="55"/>
      <c r="AJ600" s="55"/>
      <c r="AK600" s="55"/>
      <c r="AL600" s="55"/>
      <c r="AM600" s="55"/>
      <c r="AN600" s="55"/>
      <c r="AO600" s="55"/>
      <c r="AP600" s="55"/>
      <c r="AQ600" s="55"/>
      <c r="AR600" s="55"/>
      <c r="AS600" s="55"/>
      <c r="AT600" s="55"/>
      <c r="AU600" s="55"/>
      <c r="AV600" s="55"/>
      <c r="AW600" s="55"/>
      <c r="AX600" s="55"/>
      <c r="AY600" s="55"/>
      <c r="AZ600" s="55"/>
      <c r="BA600" s="55"/>
      <c r="BB600" s="55"/>
      <c r="BC600" s="55"/>
      <c r="BD600" s="55"/>
      <c r="BE600" s="55"/>
      <c r="BF600" s="55"/>
      <c r="BG600" s="55"/>
      <c r="BH600" s="55"/>
      <c r="BI600" s="55"/>
      <c r="BJ600" s="55"/>
      <c r="BK600" s="55"/>
      <c r="BL600" s="55"/>
      <c r="BM600" s="55"/>
      <c r="BN600" s="55"/>
      <c r="BO600" s="55"/>
      <c r="BP600" s="55"/>
      <c r="BQ600" s="55"/>
      <c r="BR600" s="55"/>
      <c r="BS600" s="55"/>
      <c r="BT600" s="55"/>
      <c r="BU600" s="55"/>
      <c r="BV600" s="55"/>
      <c r="BW600" s="55"/>
      <c r="BX600" s="55"/>
      <c r="BY600" s="55"/>
      <c r="BZ600" s="55"/>
      <c r="CA600" s="55"/>
      <c r="CB600" s="55"/>
      <c r="CC600" s="55"/>
      <c r="CD600" s="55"/>
      <c r="CE600" s="55"/>
      <c r="CF600" s="55"/>
      <c r="CG600" s="55"/>
      <c r="CH600" s="55"/>
      <c r="CI600" s="55"/>
      <c r="CJ600" s="55"/>
      <c r="CK600" s="55"/>
      <c r="CL600" s="55"/>
      <c r="CM600" s="55"/>
      <c r="CN600" s="55"/>
      <c r="CO600" s="55"/>
      <c r="CP600" s="55"/>
      <c r="CQ600" s="55"/>
      <c r="CR600" s="55"/>
      <c r="CS600" s="55"/>
      <c r="CT600" s="55"/>
      <c r="CU600" s="55"/>
      <c r="CV600" s="55"/>
      <c r="CW600" s="55"/>
      <c r="CX600" s="55"/>
      <c r="CY600" s="55"/>
      <c r="CZ600" s="55"/>
      <c r="DA600" s="55"/>
      <c r="DB600" s="55"/>
      <c r="DC600" s="55"/>
      <c r="DD600" s="55"/>
      <c r="DE600" s="55"/>
      <c r="DF600" s="55"/>
      <c r="DG600" s="55"/>
      <c r="DH600" s="55"/>
      <c r="DI600" s="55"/>
    </row>
    <row r="601" spans="1:113" ht="15.75" thickBot="1" x14ac:dyDescent="0.3">
      <c r="A601" s="243">
        <v>20</v>
      </c>
      <c r="B601" s="257"/>
      <c r="C601" s="44"/>
      <c r="D601" s="233">
        <v>0</v>
      </c>
      <c r="E601" s="122">
        <v>0</v>
      </c>
      <c r="F601" s="242"/>
      <c r="G601" s="169">
        <f t="shared" si="183"/>
        <v>0</v>
      </c>
      <c r="H601" s="139"/>
      <c r="I601" s="109">
        <f t="shared" si="184"/>
        <v>0</v>
      </c>
      <c r="J601" s="109">
        <f t="shared" si="185"/>
        <v>0</v>
      </c>
      <c r="K601" s="110">
        <f t="shared" si="186"/>
        <v>0</v>
      </c>
      <c r="L601"/>
      <c r="M601" s="314">
        <f t="shared" si="182"/>
        <v>0</v>
      </c>
      <c r="N601" s="310"/>
      <c r="O601" s="315"/>
      <c r="P601" s="315"/>
      <c r="Q601" s="315"/>
      <c r="R601" s="315"/>
      <c r="S601" s="55"/>
      <c r="T601" s="55"/>
      <c r="U601" s="55"/>
      <c r="V601" s="55"/>
      <c r="W601" s="55"/>
      <c r="X601" s="55"/>
      <c r="Y601" s="55"/>
      <c r="Z601" s="55"/>
      <c r="AA601" s="55"/>
      <c r="AB601" s="55"/>
      <c r="AC601" s="55"/>
      <c r="AD601" s="55"/>
      <c r="AE601" s="55"/>
      <c r="AF601" s="55"/>
      <c r="AG601" s="55"/>
      <c r="AH601" s="55"/>
      <c r="AI601" s="55"/>
      <c r="AJ601" s="55"/>
      <c r="AK601" s="55"/>
      <c r="AL601" s="55"/>
      <c r="AM601" s="55"/>
      <c r="AN601" s="55"/>
      <c r="AO601" s="55"/>
      <c r="AP601" s="55"/>
      <c r="AQ601" s="55"/>
      <c r="AR601" s="55"/>
      <c r="AS601" s="55"/>
      <c r="AT601" s="55"/>
      <c r="AU601" s="55"/>
      <c r="AV601" s="55"/>
      <c r="AW601" s="55"/>
      <c r="AX601" s="55"/>
      <c r="AY601" s="55"/>
      <c r="AZ601" s="55"/>
      <c r="BA601" s="55"/>
      <c r="BB601" s="55"/>
      <c r="BC601" s="55"/>
      <c r="BD601" s="55"/>
      <c r="BE601" s="55"/>
      <c r="BF601" s="55"/>
      <c r="BG601" s="55"/>
      <c r="BH601" s="55"/>
      <c r="BI601" s="55"/>
      <c r="BJ601" s="55"/>
      <c r="BK601" s="55"/>
      <c r="BL601" s="55"/>
      <c r="BM601" s="55"/>
      <c r="BN601" s="55"/>
      <c r="BO601" s="55"/>
      <c r="BP601" s="55"/>
      <c r="BQ601" s="55"/>
      <c r="BR601" s="55"/>
      <c r="BS601" s="55"/>
      <c r="BT601" s="55"/>
      <c r="BU601" s="55"/>
      <c r="BV601" s="55"/>
      <c r="BW601" s="55"/>
      <c r="BX601" s="55"/>
      <c r="BY601" s="55"/>
      <c r="BZ601" s="55"/>
      <c r="CA601" s="55"/>
      <c r="CB601" s="55"/>
      <c r="CC601" s="55"/>
      <c r="CD601" s="55"/>
      <c r="CE601" s="55"/>
      <c r="CF601" s="55"/>
      <c r="CG601" s="55"/>
      <c r="CH601" s="55"/>
      <c r="CI601" s="55"/>
      <c r="CJ601" s="55"/>
      <c r="CK601" s="55"/>
      <c r="CL601" s="55"/>
      <c r="CM601" s="55"/>
      <c r="CN601" s="55"/>
      <c r="CO601" s="55"/>
      <c r="CP601" s="55"/>
      <c r="CQ601" s="55"/>
      <c r="CR601" s="55"/>
      <c r="CS601" s="55"/>
      <c r="CT601" s="55"/>
      <c r="CU601" s="55"/>
      <c r="CV601" s="55"/>
      <c r="CW601" s="55"/>
      <c r="CX601" s="55"/>
      <c r="CY601" s="55"/>
      <c r="CZ601" s="55"/>
      <c r="DA601" s="55"/>
      <c r="DB601" s="55"/>
      <c r="DC601" s="55"/>
      <c r="DD601" s="55"/>
      <c r="DE601" s="55"/>
      <c r="DF601" s="55"/>
      <c r="DG601" s="55"/>
      <c r="DH601" s="55"/>
      <c r="DI601" s="55"/>
    </row>
    <row r="602" spans="1:113" ht="15.75" thickBot="1" x14ac:dyDescent="0.3">
      <c r="A602" s="128"/>
      <c r="B602" s="119" t="s">
        <v>882</v>
      </c>
      <c r="C602" s="36"/>
      <c r="D602" s="36"/>
      <c r="E602" s="29">
        <f>SUM(E582:E601)</f>
        <v>2580</v>
      </c>
      <c r="F602" s="29">
        <f t="shared" ref="F602:J602" si="187">SUM(F582:F601)</f>
        <v>9000</v>
      </c>
      <c r="G602" s="29">
        <f t="shared" si="187"/>
        <v>11580</v>
      </c>
      <c r="H602" s="29">
        <f t="shared" si="187"/>
        <v>7660</v>
      </c>
      <c r="I602" s="29">
        <f t="shared" si="187"/>
        <v>3920</v>
      </c>
      <c r="J602" s="29">
        <f t="shared" si="187"/>
        <v>97130000</v>
      </c>
      <c r="K602" s="47">
        <f>SUM(K582:K601)</f>
        <v>15253299</v>
      </c>
      <c r="L602"/>
      <c r="M602" s="326">
        <f t="shared" si="182"/>
        <v>0</v>
      </c>
      <c r="N602" s="325"/>
      <c r="O602" s="325"/>
      <c r="P602" s="325"/>
      <c r="Q602" s="325"/>
      <c r="R602" s="325"/>
      <c r="S602" s="324"/>
      <c r="T602" s="324"/>
      <c r="U602" s="324"/>
      <c r="V602" s="324"/>
      <c r="W602" s="324"/>
      <c r="X602" s="324"/>
      <c r="Y602" s="324"/>
      <c r="Z602" s="324"/>
      <c r="AA602" s="324"/>
      <c r="AB602" s="324"/>
      <c r="AC602" s="324"/>
      <c r="AD602" s="324"/>
      <c r="AE602" s="324"/>
      <c r="AF602" s="324"/>
      <c r="AG602" s="324"/>
      <c r="AH602" s="324"/>
      <c r="AI602" s="324"/>
      <c r="AJ602" s="324"/>
      <c r="AK602" s="324"/>
      <c r="AL602" s="324"/>
      <c r="AM602" s="324"/>
      <c r="AN602" s="324"/>
      <c r="AO602" s="324"/>
      <c r="AP602" s="324"/>
      <c r="AQ602" s="324"/>
      <c r="AR602" s="324"/>
      <c r="AS602" s="324"/>
      <c r="AT602" s="324"/>
      <c r="AU602" s="324"/>
      <c r="AV602" s="324"/>
      <c r="AW602" s="324"/>
      <c r="AX602" s="324"/>
      <c r="AY602" s="324"/>
      <c r="AZ602" s="324"/>
      <c r="BA602" s="324"/>
      <c r="BB602" s="324"/>
      <c r="BC602" s="324"/>
      <c r="BD602" s="324"/>
      <c r="BE602" s="324"/>
      <c r="BF602" s="324"/>
      <c r="BG602" s="324"/>
      <c r="BH602" s="324"/>
      <c r="BI602" s="324"/>
      <c r="BJ602" s="324"/>
      <c r="BK602" s="324"/>
      <c r="BL602" s="324"/>
      <c r="BM602" s="324"/>
      <c r="BN602" s="324"/>
      <c r="BO602" s="324"/>
      <c r="BP602" s="324"/>
      <c r="BQ602" s="324"/>
      <c r="BR602" s="324"/>
      <c r="BS602" s="324"/>
      <c r="BT602" s="324"/>
      <c r="BU602" s="324"/>
      <c r="BV602" s="324"/>
      <c r="BW602" s="324"/>
      <c r="BX602" s="324"/>
      <c r="BY602" s="324"/>
      <c r="BZ602" s="324"/>
      <c r="CA602" s="324"/>
      <c r="CB602" s="324"/>
      <c r="CC602" s="324"/>
      <c r="CD602" s="324"/>
      <c r="CE602" s="324"/>
      <c r="CF602" s="324"/>
      <c r="CG602" s="324"/>
      <c r="CH602" s="324"/>
      <c r="CI602" s="324"/>
      <c r="CJ602" s="324"/>
      <c r="CK602" s="324"/>
      <c r="CL602" s="324"/>
      <c r="CM602" s="324"/>
      <c r="CN602" s="324"/>
      <c r="CO602" s="324"/>
      <c r="CP602" s="324"/>
      <c r="CQ602" s="324"/>
      <c r="CR602" s="324"/>
      <c r="CS602" s="324"/>
      <c r="CT602" s="324"/>
      <c r="CU602" s="324"/>
      <c r="CV602" s="324"/>
      <c r="CW602" s="324"/>
      <c r="CX602" s="324"/>
      <c r="CY602" s="324"/>
      <c r="CZ602" s="324"/>
      <c r="DA602" s="324"/>
      <c r="DB602" s="324"/>
      <c r="DC602" s="324"/>
      <c r="DD602" s="324"/>
      <c r="DE602" s="324"/>
      <c r="DF602" s="324"/>
      <c r="DG602" s="324"/>
      <c r="DH602" s="324"/>
      <c r="DI602" s="324"/>
    </row>
    <row r="603" spans="1:113" x14ac:dyDescent="0.25">
      <c r="L603"/>
      <c r="M603"/>
      <c r="N603"/>
      <c r="O603"/>
      <c r="P603"/>
      <c r="Q603"/>
      <c r="R603"/>
      <c r="S603"/>
      <c r="T603"/>
      <c r="U603"/>
      <c r="V603"/>
    </row>
    <row r="604" spans="1:113" ht="15.75" thickBot="1" x14ac:dyDescent="0.3">
      <c r="A604" s="103" t="s">
        <v>546</v>
      </c>
      <c r="L604"/>
      <c r="M604"/>
      <c r="N604"/>
      <c r="O604"/>
      <c r="P604"/>
      <c r="Q604"/>
      <c r="R604"/>
      <c r="S604"/>
      <c r="T604"/>
      <c r="U604"/>
      <c r="V604"/>
    </row>
    <row r="605" spans="1:113" ht="15.75" thickBot="1" x14ac:dyDescent="0.3">
      <c r="A605" s="128"/>
      <c r="B605" s="41" t="s">
        <v>885</v>
      </c>
      <c r="C605" s="36"/>
      <c r="D605" s="36"/>
      <c r="E605" s="35">
        <f t="shared" ref="E605:K605" si="188">+E26+E44+E66+E88+E121+E182+E224+E252+E383+E440+E492+E515+E538+E576+E602</f>
        <v>83291</v>
      </c>
      <c r="F605" s="35">
        <f t="shared" si="188"/>
        <v>9000</v>
      </c>
      <c r="G605" s="35">
        <f t="shared" si="188"/>
        <v>92291</v>
      </c>
      <c r="H605" s="35">
        <f t="shared" si="188"/>
        <v>7660</v>
      </c>
      <c r="I605" s="35">
        <f t="shared" si="188"/>
        <v>84631</v>
      </c>
      <c r="J605" s="35">
        <f t="shared" si="188"/>
        <v>901440000</v>
      </c>
      <c r="K605" s="198">
        <f t="shared" si="188"/>
        <v>210042859</v>
      </c>
      <c r="L605"/>
      <c r="M605"/>
      <c r="N605"/>
      <c r="O605"/>
      <c r="P605"/>
      <c r="Q605"/>
      <c r="R605"/>
      <c r="S605"/>
      <c r="T605"/>
      <c r="U605"/>
      <c r="V605"/>
    </row>
    <row r="606" spans="1:113" x14ac:dyDescent="0.25">
      <c r="L606"/>
      <c r="M606"/>
      <c r="N606"/>
      <c r="O606"/>
      <c r="P606"/>
      <c r="Q606"/>
      <c r="R606"/>
      <c r="S606"/>
      <c r="T606"/>
      <c r="U606"/>
      <c r="V606"/>
    </row>
    <row r="607" spans="1:113" x14ac:dyDescent="0.25">
      <c r="L607"/>
      <c r="M607"/>
      <c r="N607"/>
      <c r="O607"/>
      <c r="P607"/>
      <c r="Q607"/>
      <c r="R607"/>
      <c r="S607"/>
      <c r="T607"/>
      <c r="U607"/>
      <c r="V607"/>
    </row>
    <row r="610" spans="5:12" x14ac:dyDescent="0.25">
      <c r="E610" s="19"/>
      <c r="F610" s="19"/>
      <c r="G610" s="19"/>
      <c r="H610" s="19"/>
      <c r="I610" s="19"/>
      <c r="J610" s="19"/>
      <c r="K610" s="189"/>
      <c r="L610" s="189"/>
    </row>
    <row r="612" spans="5:12" x14ac:dyDescent="0.25">
      <c r="E612" s="186"/>
      <c r="F612" s="186"/>
      <c r="G612" s="186"/>
      <c r="H612" s="186"/>
      <c r="I612" s="186"/>
      <c r="J612" s="186"/>
      <c r="K612" s="186"/>
      <c r="L612" s="186"/>
    </row>
  </sheetData>
  <mergeCells count="1635">
    <mergeCell ref="J578:J579"/>
    <mergeCell ref="K578:K579"/>
    <mergeCell ref="A578:A580"/>
    <mergeCell ref="B578:B579"/>
    <mergeCell ref="C578:C579"/>
    <mergeCell ref="D578:D579"/>
    <mergeCell ref="E578:I578"/>
    <mergeCell ref="K517:K518"/>
    <mergeCell ref="K494:K495"/>
    <mergeCell ref="A494:A496"/>
    <mergeCell ref="B494:B495"/>
    <mergeCell ref="C494:C495"/>
    <mergeCell ref="D494:D495"/>
    <mergeCell ref="J494:J495"/>
    <mergeCell ref="E494:I494"/>
    <mergeCell ref="E517:I517"/>
    <mergeCell ref="A517:A519"/>
    <mergeCell ref="B517:B518"/>
    <mergeCell ref="C517:C518"/>
    <mergeCell ref="D517:D518"/>
    <mergeCell ref="J517:J518"/>
    <mergeCell ref="K226:K227"/>
    <mergeCell ref="A254:A256"/>
    <mergeCell ref="B254:B255"/>
    <mergeCell ref="C254:C255"/>
    <mergeCell ref="D254:D255"/>
    <mergeCell ref="J254:J255"/>
    <mergeCell ref="K254:K255"/>
    <mergeCell ref="A226:A228"/>
    <mergeCell ref="B226:B227"/>
    <mergeCell ref="C226:C227"/>
    <mergeCell ref="D226:D227"/>
    <mergeCell ref="J226:J227"/>
    <mergeCell ref="E226:I226"/>
    <mergeCell ref="E254:I254"/>
    <mergeCell ref="K385:K386"/>
    <mergeCell ref="A442:A444"/>
    <mergeCell ref="B442:B443"/>
    <mergeCell ref="C442:C443"/>
    <mergeCell ref="D442:D443"/>
    <mergeCell ref="J442:J443"/>
    <mergeCell ref="K442:K443"/>
    <mergeCell ref="A385:A387"/>
    <mergeCell ref="B385:B386"/>
    <mergeCell ref="C385:C386"/>
    <mergeCell ref="D385:D386"/>
    <mergeCell ref="J385:J386"/>
    <mergeCell ref="E385:I385"/>
    <mergeCell ref="E442:I442"/>
    <mergeCell ref="D90:D91"/>
    <mergeCell ref="J90:J91"/>
    <mergeCell ref="K90:K91"/>
    <mergeCell ref="A68:A70"/>
    <mergeCell ref="B68:B69"/>
    <mergeCell ref="C68:C69"/>
    <mergeCell ref="D68:D69"/>
    <mergeCell ref="J68:J69"/>
    <mergeCell ref="E90:I90"/>
    <mergeCell ref="E68:I68"/>
    <mergeCell ref="K123:K124"/>
    <mergeCell ref="A184:A186"/>
    <mergeCell ref="B184:B185"/>
    <mergeCell ref="C184:C185"/>
    <mergeCell ref="D184:D185"/>
    <mergeCell ref="J184:J185"/>
    <mergeCell ref="K184:K185"/>
    <mergeCell ref="A123:A125"/>
    <mergeCell ref="B123:B124"/>
    <mergeCell ref="C123:C124"/>
    <mergeCell ref="D123:D124"/>
    <mergeCell ref="J123:J124"/>
    <mergeCell ref="E123:I123"/>
    <mergeCell ref="E184:I184"/>
    <mergeCell ref="K3:K4"/>
    <mergeCell ref="A3:A5"/>
    <mergeCell ref="B3:B4"/>
    <mergeCell ref="C3:C4"/>
    <mergeCell ref="D3:D4"/>
    <mergeCell ref="J3:J4"/>
    <mergeCell ref="E3:I3"/>
    <mergeCell ref="J540:J541"/>
    <mergeCell ref="K540:K541"/>
    <mergeCell ref="A540:A542"/>
    <mergeCell ref="B540:B541"/>
    <mergeCell ref="C540:C541"/>
    <mergeCell ref="D540:D541"/>
    <mergeCell ref="E540:I540"/>
    <mergeCell ref="K28:K29"/>
    <mergeCell ref="A46:A48"/>
    <mergeCell ref="B46:B47"/>
    <mergeCell ref="C46:C47"/>
    <mergeCell ref="D46:D47"/>
    <mergeCell ref="J46:J47"/>
    <mergeCell ref="K46:K47"/>
    <mergeCell ref="A28:A30"/>
    <mergeCell ref="B28:B29"/>
    <mergeCell ref="C28:C29"/>
    <mergeCell ref="D28:D29"/>
    <mergeCell ref="J28:J29"/>
    <mergeCell ref="E28:I28"/>
    <mergeCell ref="E46:I46"/>
    <mergeCell ref="K68:K69"/>
    <mergeCell ref="A90:A92"/>
    <mergeCell ref="B90:B91"/>
    <mergeCell ref="C90:C91"/>
    <mergeCell ref="M3:M5"/>
    <mergeCell ref="N3:DI3"/>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AE4:AE5"/>
    <mergeCell ref="AF4:AF5"/>
    <mergeCell ref="AG4:AG5"/>
    <mergeCell ref="AH4:AH5"/>
    <mergeCell ref="AI4:AI5"/>
    <mergeCell ref="AS4:AS5"/>
    <mergeCell ref="AT4:AT5"/>
    <mergeCell ref="AU4:AU5"/>
    <mergeCell ref="AV4:AV5"/>
    <mergeCell ref="AW4:AW5"/>
    <mergeCell ref="AX4:AX5"/>
    <mergeCell ref="AY4:AY5"/>
    <mergeCell ref="AZ4:AZ5"/>
    <mergeCell ref="BA4:BA5"/>
    <mergeCell ref="AJ4:AJ5"/>
    <mergeCell ref="AK4:AK5"/>
    <mergeCell ref="AL4:AL5"/>
    <mergeCell ref="AM4:AM5"/>
    <mergeCell ref="AN4:AN5"/>
    <mergeCell ref="AO4:AO5"/>
    <mergeCell ref="AP4:AP5"/>
    <mergeCell ref="AQ4:AQ5"/>
    <mergeCell ref="AR4:AR5"/>
    <mergeCell ref="BX4:BX5"/>
    <mergeCell ref="BY4:BY5"/>
    <mergeCell ref="BZ4:BZ5"/>
    <mergeCell ref="CA4:CA5"/>
    <mergeCell ref="CB4:CB5"/>
    <mergeCell ref="BK4:BK5"/>
    <mergeCell ref="BL4:BL5"/>
    <mergeCell ref="BM4:BM5"/>
    <mergeCell ref="BN4:BN5"/>
    <mergeCell ref="BO4:BO5"/>
    <mergeCell ref="BP4:BP5"/>
    <mergeCell ref="BQ4:BQ5"/>
    <mergeCell ref="BR4:BR5"/>
    <mergeCell ref="BS4:BS5"/>
    <mergeCell ref="BB4:BB5"/>
    <mergeCell ref="BC4:BC5"/>
    <mergeCell ref="BD4:BD5"/>
    <mergeCell ref="BE4:BE5"/>
    <mergeCell ref="BF4:BF5"/>
    <mergeCell ref="BG4:BG5"/>
    <mergeCell ref="BH4:BH5"/>
    <mergeCell ref="BI4:BI5"/>
    <mergeCell ref="BJ4:BJ5"/>
    <mergeCell ref="AC29:AC30"/>
    <mergeCell ref="CU4:CU5"/>
    <mergeCell ref="CV4:CV5"/>
    <mergeCell ref="CW4:CW5"/>
    <mergeCell ref="CX4:CX5"/>
    <mergeCell ref="CY4:CY5"/>
    <mergeCell ref="CZ4:CZ5"/>
    <mergeCell ref="DA4:DA5"/>
    <mergeCell ref="DB4:DB5"/>
    <mergeCell ref="DC4:DC5"/>
    <mergeCell ref="CL4:CL5"/>
    <mergeCell ref="CM4:CM5"/>
    <mergeCell ref="CN4:CN5"/>
    <mergeCell ref="CO4:CO5"/>
    <mergeCell ref="CP4:CP5"/>
    <mergeCell ref="CQ4:CQ5"/>
    <mergeCell ref="CR4:CR5"/>
    <mergeCell ref="CS4:CS5"/>
    <mergeCell ref="CT4:CT5"/>
    <mergeCell ref="CC4:CC5"/>
    <mergeCell ref="CD4:CD5"/>
    <mergeCell ref="CE4:CE5"/>
    <mergeCell ref="CF4:CF5"/>
    <mergeCell ref="CG4:CG5"/>
    <mergeCell ref="CH4:CH5"/>
    <mergeCell ref="CI4:CI5"/>
    <mergeCell ref="CJ4:CJ5"/>
    <mergeCell ref="CK4:CK5"/>
    <mergeCell ref="BT4:BT5"/>
    <mergeCell ref="BU4:BU5"/>
    <mergeCell ref="BV4:BV5"/>
    <mergeCell ref="BW4:BW5"/>
    <mergeCell ref="AD29:AD30"/>
    <mergeCell ref="AE29:AE30"/>
    <mergeCell ref="AF29:AF30"/>
    <mergeCell ref="AG29:AG30"/>
    <mergeCell ref="AH29:AH30"/>
    <mergeCell ref="AI29:AI30"/>
    <mergeCell ref="AJ29:AJ30"/>
    <mergeCell ref="AK29:AK30"/>
    <mergeCell ref="AL29:AL30"/>
    <mergeCell ref="DD4:DD5"/>
    <mergeCell ref="DE4:DE5"/>
    <mergeCell ref="DF4:DF5"/>
    <mergeCell ref="DG4:DG5"/>
    <mergeCell ref="DH4:DH5"/>
    <mergeCell ref="DI4:DI5"/>
    <mergeCell ref="M28:M30"/>
    <mergeCell ref="N28:DI28"/>
    <mergeCell ref="N29:N30"/>
    <mergeCell ref="O29:O30"/>
    <mergeCell ref="P29:P30"/>
    <mergeCell ref="Q29:Q30"/>
    <mergeCell ref="R29:R30"/>
    <mergeCell ref="S29:S30"/>
    <mergeCell ref="T29:T30"/>
    <mergeCell ref="U29:U30"/>
    <mergeCell ref="V29:V30"/>
    <mergeCell ref="W29:W30"/>
    <mergeCell ref="X29:X30"/>
    <mergeCell ref="Y29:Y30"/>
    <mergeCell ref="Z29:Z30"/>
    <mergeCell ref="AA29:AA30"/>
    <mergeCell ref="AB29:AB30"/>
    <mergeCell ref="AV29:AV30"/>
    <mergeCell ref="AW29:AW30"/>
    <mergeCell ref="AX29:AX30"/>
    <mergeCell ref="AY29:AY30"/>
    <mergeCell ref="AZ29:AZ30"/>
    <mergeCell ref="BA29:BA30"/>
    <mergeCell ref="BB29:BB30"/>
    <mergeCell ref="BC29:BC30"/>
    <mergeCell ref="BD29:BD30"/>
    <mergeCell ref="AM29:AM30"/>
    <mergeCell ref="AN29:AN30"/>
    <mergeCell ref="AO29:AO30"/>
    <mergeCell ref="AP29:AP30"/>
    <mergeCell ref="AQ29:AQ30"/>
    <mergeCell ref="AR29:AR30"/>
    <mergeCell ref="AS29:AS30"/>
    <mergeCell ref="AT29:AT30"/>
    <mergeCell ref="AU29:AU30"/>
    <mergeCell ref="CA29:CA30"/>
    <mergeCell ref="CB29:CB30"/>
    <mergeCell ref="CC29:CC30"/>
    <mergeCell ref="CD29:CD30"/>
    <mergeCell ref="CE29:CE30"/>
    <mergeCell ref="BN29:BN30"/>
    <mergeCell ref="BO29:BO30"/>
    <mergeCell ref="BP29:BP30"/>
    <mergeCell ref="BQ29:BQ30"/>
    <mergeCell ref="BR29:BR30"/>
    <mergeCell ref="BS29:BS30"/>
    <mergeCell ref="BT29:BT30"/>
    <mergeCell ref="BU29:BU30"/>
    <mergeCell ref="BV29:BV30"/>
    <mergeCell ref="BE29:BE30"/>
    <mergeCell ref="BF29:BF30"/>
    <mergeCell ref="BG29:BG30"/>
    <mergeCell ref="BH29:BH30"/>
    <mergeCell ref="BI29:BI30"/>
    <mergeCell ref="BJ29:BJ30"/>
    <mergeCell ref="BK29:BK30"/>
    <mergeCell ref="BL29:BL30"/>
    <mergeCell ref="BM29:BM30"/>
    <mergeCell ref="AF47:AF48"/>
    <mergeCell ref="CX29:CX30"/>
    <mergeCell ref="CY29:CY30"/>
    <mergeCell ref="CZ29:CZ30"/>
    <mergeCell ref="DA29:DA30"/>
    <mergeCell ref="DB29:DB30"/>
    <mergeCell ref="DC29:DC30"/>
    <mergeCell ref="DD29:DD30"/>
    <mergeCell ref="DE29:DE30"/>
    <mergeCell ref="DF29:DF30"/>
    <mergeCell ref="CO29:CO30"/>
    <mergeCell ref="CP29:CP30"/>
    <mergeCell ref="CQ29:CQ30"/>
    <mergeCell ref="CR29:CR30"/>
    <mergeCell ref="CS29:CS30"/>
    <mergeCell ref="CT29:CT30"/>
    <mergeCell ref="CU29:CU30"/>
    <mergeCell ref="CV29:CV30"/>
    <mergeCell ref="CW29:CW30"/>
    <mergeCell ref="CF29:CF30"/>
    <mergeCell ref="CG29:CG30"/>
    <mergeCell ref="CH29:CH30"/>
    <mergeCell ref="CI29:CI30"/>
    <mergeCell ref="CJ29:CJ30"/>
    <mergeCell ref="CK29:CK30"/>
    <mergeCell ref="CL29:CL30"/>
    <mergeCell ref="CM29:CM30"/>
    <mergeCell ref="CN29:CN30"/>
    <mergeCell ref="BW29:BW30"/>
    <mergeCell ref="BX29:BX30"/>
    <mergeCell ref="BY29:BY30"/>
    <mergeCell ref="BZ29:BZ30"/>
    <mergeCell ref="AG47:AG48"/>
    <mergeCell ref="AH47:AH48"/>
    <mergeCell ref="AI47:AI48"/>
    <mergeCell ref="AJ47:AJ48"/>
    <mergeCell ref="AK47:AK48"/>
    <mergeCell ref="AL47:AL48"/>
    <mergeCell ref="AM47:AM48"/>
    <mergeCell ref="AN47:AN48"/>
    <mergeCell ref="AO47:AO48"/>
    <mergeCell ref="DG29:DG30"/>
    <mergeCell ref="DH29:DH30"/>
    <mergeCell ref="DI29:DI30"/>
    <mergeCell ref="M46:M48"/>
    <mergeCell ref="N46:DI46"/>
    <mergeCell ref="N47:N48"/>
    <mergeCell ref="O47:O48"/>
    <mergeCell ref="P47:P48"/>
    <mergeCell ref="Q47:Q48"/>
    <mergeCell ref="R47:R48"/>
    <mergeCell ref="S47:S48"/>
    <mergeCell ref="T47:T48"/>
    <mergeCell ref="U47:U48"/>
    <mergeCell ref="V47:V48"/>
    <mergeCell ref="W47:W48"/>
    <mergeCell ref="X47:X48"/>
    <mergeCell ref="Y47:Y48"/>
    <mergeCell ref="Z47:Z48"/>
    <mergeCell ref="AA47:AA48"/>
    <mergeCell ref="AB47:AB48"/>
    <mergeCell ref="AC47:AC48"/>
    <mergeCell ref="AD47:AD48"/>
    <mergeCell ref="AE47:AE48"/>
    <mergeCell ref="AY47:AY48"/>
    <mergeCell ref="AZ47:AZ48"/>
    <mergeCell ref="BA47:BA48"/>
    <mergeCell ref="BB47:BB48"/>
    <mergeCell ref="BC47:BC48"/>
    <mergeCell ref="BD47:BD48"/>
    <mergeCell ref="BE47:BE48"/>
    <mergeCell ref="BF47:BF48"/>
    <mergeCell ref="BG47:BG48"/>
    <mergeCell ref="AP47:AP48"/>
    <mergeCell ref="AQ47:AQ48"/>
    <mergeCell ref="AR47:AR48"/>
    <mergeCell ref="AS47:AS48"/>
    <mergeCell ref="AT47:AT48"/>
    <mergeCell ref="AU47:AU48"/>
    <mergeCell ref="AV47:AV48"/>
    <mergeCell ref="AW47:AW48"/>
    <mergeCell ref="AX47:AX48"/>
    <mergeCell ref="BQ47:BQ48"/>
    <mergeCell ref="BR47:BR48"/>
    <mergeCell ref="BS47:BS48"/>
    <mergeCell ref="BT47:BT48"/>
    <mergeCell ref="BU47:BU48"/>
    <mergeCell ref="BV47:BV48"/>
    <mergeCell ref="BW47:BW48"/>
    <mergeCell ref="BX47:BX48"/>
    <mergeCell ref="BY47:BY48"/>
    <mergeCell ref="BH47:BH48"/>
    <mergeCell ref="BI47:BI48"/>
    <mergeCell ref="BJ47:BJ48"/>
    <mergeCell ref="BK47:BK48"/>
    <mergeCell ref="BL47:BL48"/>
    <mergeCell ref="BM47:BM48"/>
    <mergeCell ref="BN47:BN48"/>
    <mergeCell ref="BO47:BO48"/>
    <mergeCell ref="BP47:BP48"/>
    <mergeCell ref="CI47:CI48"/>
    <mergeCell ref="CJ47:CJ48"/>
    <mergeCell ref="CK47:CK48"/>
    <mergeCell ref="CL47:CL48"/>
    <mergeCell ref="CM47:CM48"/>
    <mergeCell ref="CN47:CN48"/>
    <mergeCell ref="CO47:CO48"/>
    <mergeCell ref="CP47:CP48"/>
    <mergeCell ref="CQ47:CQ48"/>
    <mergeCell ref="BZ47:BZ48"/>
    <mergeCell ref="CA47:CA48"/>
    <mergeCell ref="CB47:CB48"/>
    <mergeCell ref="CC47:CC48"/>
    <mergeCell ref="CD47:CD48"/>
    <mergeCell ref="CE47:CE48"/>
    <mergeCell ref="CF47:CF48"/>
    <mergeCell ref="CG47:CG48"/>
    <mergeCell ref="CH47:CH48"/>
    <mergeCell ref="DA47:DA48"/>
    <mergeCell ref="DB47:DB48"/>
    <mergeCell ref="DC47:DC48"/>
    <mergeCell ref="DD47:DD48"/>
    <mergeCell ref="DE47:DE48"/>
    <mergeCell ref="DF47:DF48"/>
    <mergeCell ref="DG47:DG48"/>
    <mergeCell ref="DH47:DH48"/>
    <mergeCell ref="DI47:DI48"/>
    <mergeCell ref="CR47:CR48"/>
    <mergeCell ref="CS47:CS48"/>
    <mergeCell ref="CT47:CT48"/>
    <mergeCell ref="CU47:CU48"/>
    <mergeCell ref="CV47:CV48"/>
    <mergeCell ref="CW47:CW48"/>
    <mergeCell ref="CX47:CX48"/>
    <mergeCell ref="CY47:CY48"/>
    <mergeCell ref="CZ47:CZ48"/>
    <mergeCell ref="M68:M70"/>
    <mergeCell ref="N68:DI68"/>
    <mergeCell ref="N69:N70"/>
    <mergeCell ref="O69:O70"/>
    <mergeCell ref="P69:P70"/>
    <mergeCell ref="Q69:Q70"/>
    <mergeCell ref="R69:R70"/>
    <mergeCell ref="S69:S70"/>
    <mergeCell ref="T69:T70"/>
    <mergeCell ref="U69:U70"/>
    <mergeCell ref="V69:V70"/>
    <mergeCell ref="W69:W70"/>
    <mergeCell ref="X69:X70"/>
    <mergeCell ref="Y69:Y70"/>
    <mergeCell ref="Z69:Z70"/>
    <mergeCell ref="AA69:AA70"/>
    <mergeCell ref="AB69:AB70"/>
    <mergeCell ref="AC69:AC70"/>
    <mergeCell ref="AD69:AD70"/>
    <mergeCell ref="AE69:AE70"/>
    <mergeCell ref="AF69:AF70"/>
    <mergeCell ref="AG69:AG70"/>
    <mergeCell ref="AH69:AH70"/>
    <mergeCell ref="AI69:AI70"/>
    <mergeCell ref="AS69:AS70"/>
    <mergeCell ref="AT69:AT70"/>
    <mergeCell ref="AU69:AU70"/>
    <mergeCell ref="AV69:AV70"/>
    <mergeCell ref="AW69:AW70"/>
    <mergeCell ref="AX69:AX70"/>
    <mergeCell ref="AY69:AY70"/>
    <mergeCell ref="AZ69:AZ70"/>
    <mergeCell ref="BA69:BA70"/>
    <mergeCell ref="AJ69:AJ70"/>
    <mergeCell ref="AK69:AK70"/>
    <mergeCell ref="AL69:AL70"/>
    <mergeCell ref="AM69:AM70"/>
    <mergeCell ref="AN69:AN70"/>
    <mergeCell ref="AO69:AO70"/>
    <mergeCell ref="AP69:AP70"/>
    <mergeCell ref="AQ69:AQ70"/>
    <mergeCell ref="AR69:AR70"/>
    <mergeCell ref="BX69:BX70"/>
    <mergeCell ref="BY69:BY70"/>
    <mergeCell ref="BZ69:BZ70"/>
    <mergeCell ref="CA69:CA70"/>
    <mergeCell ref="CB69:CB70"/>
    <mergeCell ref="BK69:BK70"/>
    <mergeCell ref="BL69:BL70"/>
    <mergeCell ref="BM69:BM70"/>
    <mergeCell ref="BN69:BN70"/>
    <mergeCell ref="BO69:BO70"/>
    <mergeCell ref="BP69:BP70"/>
    <mergeCell ref="BQ69:BQ70"/>
    <mergeCell ref="BR69:BR70"/>
    <mergeCell ref="BS69:BS70"/>
    <mergeCell ref="BB69:BB70"/>
    <mergeCell ref="BC69:BC70"/>
    <mergeCell ref="BD69:BD70"/>
    <mergeCell ref="BE69:BE70"/>
    <mergeCell ref="BF69:BF70"/>
    <mergeCell ref="BG69:BG70"/>
    <mergeCell ref="BH69:BH70"/>
    <mergeCell ref="BI69:BI70"/>
    <mergeCell ref="BJ69:BJ70"/>
    <mergeCell ref="AC91:AC92"/>
    <mergeCell ref="CU69:CU70"/>
    <mergeCell ref="CV69:CV70"/>
    <mergeCell ref="CW69:CW70"/>
    <mergeCell ref="CX69:CX70"/>
    <mergeCell ref="CY69:CY70"/>
    <mergeCell ref="CZ69:CZ70"/>
    <mergeCell ref="DA69:DA70"/>
    <mergeCell ref="DB69:DB70"/>
    <mergeCell ref="DC69:DC70"/>
    <mergeCell ref="CL69:CL70"/>
    <mergeCell ref="CM69:CM70"/>
    <mergeCell ref="CN69:CN70"/>
    <mergeCell ref="CO69:CO70"/>
    <mergeCell ref="CP69:CP70"/>
    <mergeCell ref="CQ69:CQ70"/>
    <mergeCell ref="CR69:CR70"/>
    <mergeCell ref="CS69:CS70"/>
    <mergeCell ref="CT69:CT70"/>
    <mergeCell ref="CC69:CC70"/>
    <mergeCell ref="CD69:CD70"/>
    <mergeCell ref="CE69:CE70"/>
    <mergeCell ref="CF69:CF70"/>
    <mergeCell ref="CG69:CG70"/>
    <mergeCell ref="CH69:CH70"/>
    <mergeCell ref="CI69:CI70"/>
    <mergeCell ref="CJ69:CJ70"/>
    <mergeCell ref="CK69:CK70"/>
    <mergeCell ref="BT69:BT70"/>
    <mergeCell ref="BU69:BU70"/>
    <mergeCell ref="BV69:BV70"/>
    <mergeCell ref="BW69:BW70"/>
    <mergeCell ref="AD91:AD92"/>
    <mergeCell ref="AE91:AE92"/>
    <mergeCell ref="AF91:AF92"/>
    <mergeCell ref="AG91:AG92"/>
    <mergeCell ref="AH91:AH92"/>
    <mergeCell ref="AI91:AI92"/>
    <mergeCell ref="AJ91:AJ92"/>
    <mergeCell ref="AK91:AK92"/>
    <mergeCell ref="AL91:AL92"/>
    <mergeCell ref="DD69:DD70"/>
    <mergeCell ref="DE69:DE70"/>
    <mergeCell ref="DF69:DF70"/>
    <mergeCell ref="DG69:DG70"/>
    <mergeCell ref="DH69:DH70"/>
    <mergeCell ref="DI69:DI70"/>
    <mergeCell ref="M90:M92"/>
    <mergeCell ref="N90:DI90"/>
    <mergeCell ref="N91:N92"/>
    <mergeCell ref="O91:O92"/>
    <mergeCell ref="P91:P92"/>
    <mergeCell ref="Q91:Q92"/>
    <mergeCell ref="R91:R92"/>
    <mergeCell ref="S91:S92"/>
    <mergeCell ref="T91:T92"/>
    <mergeCell ref="U91:U92"/>
    <mergeCell ref="V91:V92"/>
    <mergeCell ref="W91:W92"/>
    <mergeCell ref="X91:X92"/>
    <mergeCell ref="Y91:Y92"/>
    <mergeCell ref="Z91:Z92"/>
    <mergeCell ref="AA91:AA92"/>
    <mergeCell ref="AB91:AB92"/>
    <mergeCell ref="AV91:AV92"/>
    <mergeCell ref="AW91:AW92"/>
    <mergeCell ref="AX91:AX92"/>
    <mergeCell ref="AY91:AY92"/>
    <mergeCell ref="AZ91:AZ92"/>
    <mergeCell ref="BA91:BA92"/>
    <mergeCell ref="BB91:BB92"/>
    <mergeCell ref="BC91:BC92"/>
    <mergeCell ref="BD91:BD92"/>
    <mergeCell ref="AM91:AM92"/>
    <mergeCell ref="AN91:AN92"/>
    <mergeCell ref="AO91:AO92"/>
    <mergeCell ref="AP91:AP92"/>
    <mergeCell ref="AQ91:AQ92"/>
    <mergeCell ref="AR91:AR92"/>
    <mergeCell ref="AS91:AS92"/>
    <mergeCell ref="AT91:AT92"/>
    <mergeCell ref="AU91:AU92"/>
    <mergeCell ref="CA91:CA92"/>
    <mergeCell ref="CB91:CB92"/>
    <mergeCell ref="CC91:CC92"/>
    <mergeCell ref="CD91:CD92"/>
    <mergeCell ref="CE91:CE92"/>
    <mergeCell ref="BN91:BN92"/>
    <mergeCell ref="BO91:BO92"/>
    <mergeCell ref="BP91:BP92"/>
    <mergeCell ref="BQ91:BQ92"/>
    <mergeCell ref="BR91:BR92"/>
    <mergeCell ref="BS91:BS92"/>
    <mergeCell ref="BT91:BT92"/>
    <mergeCell ref="BU91:BU92"/>
    <mergeCell ref="BV91:BV92"/>
    <mergeCell ref="BE91:BE92"/>
    <mergeCell ref="BF91:BF92"/>
    <mergeCell ref="BG91:BG92"/>
    <mergeCell ref="BH91:BH92"/>
    <mergeCell ref="BI91:BI92"/>
    <mergeCell ref="BJ91:BJ92"/>
    <mergeCell ref="BK91:BK92"/>
    <mergeCell ref="BL91:BL92"/>
    <mergeCell ref="BM91:BM92"/>
    <mergeCell ref="AF124:AF125"/>
    <mergeCell ref="CX91:CX92"/>
    <mergeCell ref="CY91:CY92"/>
    <mergeCell ref="CZ91:CZ92"/>
    <mergeCell ref="DA91:DA92"/>
    <mergeCell ref="DB91:DB92"/>
    <mergeCell ref="DC91:DC92"/>
    <mergeCell ref="DD91:DD92"/>
    <mergeCell ref="DE91:DE92"/>
    <mergeCell ref="DF91:DF92"/>
    <mergeCell ref="CO91:CO92"/>
    <mergeCell ref="CP91:CP92"/>
    <mergeCell ref="CQ91:CQ92"/>
    <mergeCell ref="CR91:CR92"/>
    <mergeCell ref="CS91:CS92"/>
    <mergeCell ref="CT91:CT92"/>
    <mergeCell ref="CU91:CU92"/>
    <mergeCell ref="CV91:CV92"/>
    <mergeCell ref="CW91:CW92"/>
    <mergeCell ref="CF91:CF92"/>
    <mergeCell ref="CG91:CG92"/>
    <mergeCell ref="CH91:CH92"/>
    <mergeCell ref="CI91:CI92"/>
    <mergeCell ref="CJ91:CJ92"/>
    <mergeCell ref="CK91:CK92"/>
    <mergeCell ref="CL91:CL92"/>
    <mergeCell ref="CM91:CM92"/>
    <mergeCell ref="CN91:CN92"/>
    <mergeCell ref="BW91:BW92"/>
    <mergeCell ref="BX91:BX92"/>
    <mergeCell ref="BY91:BY92"/>
    <mergeCell ref="BZ91:BZ92"/>
    <mergeCell ref="AG124:AG125"/>
    <mergeCell ref="AH124:AH125"/>
    <mergeCell ref="AI124:AI125"/>
    <mergeCell ref="AJ124:AJ125"/>
    <mergeCell ref="AK124:AK125"/>
    <mergeCell ref="AL124:AL125"/>
    <mergeCell ref="AM124:AM125"/>
    <mergeCell ref="AN124:AN125"/>
    <mergeCell ref="AO124:AO125"/>
    <mergeCell ref="DG91:DG92"/>
    <mergeCell ref="DH91:DH92"/>
    <mergeCell ref="DI91:DI92"/>
    <mergeCell ref="M123:M125"/>
    <mergeCell ref="N123:DI123"/>
    <mergeCell ref="N124:N125"/>
    <mergeCell ref="O124:O125"/>
    <mergeCell ref="P124:P125"/>
    <mergeCell ref="Q124:Q125"/>
    <mergeCell ref="R124:R125"/>
    <mergeCell ref="S124:S125"/>
    <mergeCell ref="T124:T125"/>
    <mergeCell ref="U124:U125"/>
    <mergeCell ref="V124:V125"/>
    <mergeCell ref="W124:W125"/>
    <mergeCell ref="X124:X125"/>
    <mergeCell ref="Y124:Y125"/>
    <mergeCell ref="Z124:Z125"/>
    <mergeCell ref="AA124:AA125"/>
    <mergeCell ref="AB124:AB125"/>
    <mergeCell ref="AC124:AC125"/>
    <mergeCell ref="AD124:AD125"/>
    <mergeCell ref="AE124:AE125"/>
    <mergeCell ref="AY124:AY125"/>
    <mergeCell ref="AZ124:AZ125"/>
    <mergeCell ref="BA124:BA125"/>
    <mergeCell ref="BB124:BB125"/>
    <mergeCell ref="BC124:BC125"/>
    <mergeCell ref="BD124:BD125"/>
    <mergeCell ref="BE124:BE125"/>
    <mergeCell ref="BF124:BF125"/>
    <mergeCell ref="BG124:BG125"/>
    <mergeCell ref="AP124:AP125"/>
    <mergeCell ref="AQ124:AQ125"/>
    <mergeCell ref="AR124:AR125"/>
    <mergeCell ref="AS124:AS125"/>
    <mergeCell ref="AT124:AT125"/>
    <mergeCell ref="AU124:AU125"/>
    <mergeCell ref="AV124:AV125"/>
    <mergeCell ref="AW124:AW125"/>
    <mergeCell ref="AX124:AX125"/>
    <mergeCell ref="BQ124:BQ125"/>
    <mergeCell ref="BR124:BR125"/>
    <mergeCell ref="BS124:BS125"/>
    <mergeCell ref="BT124:BT125"/>
    <mergeCell ref="BU124:BU125"/>
    <mergeCell ref="BV124:BV125"/>
    <mergeCell ref="BW124:BW125"/>
    <mergeCell ref="BX124:BX125"/>
    <mergeCell ref="BY124:BY125"/>
    <mergeCell ref="BH124:BH125"/>
    <mergeCell ref="BI124:BI125"/>
    <mergeCell ref="BJ124:BJ125"/>
    <mergeCell ref="BK124:BK125"/>
    <mergeCell ref="BL124:BL125"/>
    <mergeCell ref="BM124:BM125"/>
    <mergeCell ref="BN124:BN125"/>
    <mergeCell ref="BO124:BO125"/>
    <mergeCell ref="BP124:BP125"/>
    <mergeCell ref="CI124:CI125"/>
    <mergeCell ref="CJ124:CJ125"/>
    <mergeCell ref="CK124:CK125"/>
    <mergeCell ref="CL124:CL125"/>
    <mergeCell ref="CM124:CM125"/>
    <mergeCell ref="CN124:CN125"/>
    <mergeCell ref="CO124:CO125"/>
    <mergeCell ref="CP124:CP125"/>
    <mergeCell ref="CQ124:CQ125"/>
    <mergeCell ref="BZ124:BZ125"/>
    <mergeCell ref="CA124:CA125"/>
    <mergeCell ref="CB124:CB125"/>
    <mergeCell ref="CC124:CC125"/>
    <mergeCell ref="CD124:CD125"/>
    <mergeCell ref="CE124:CE125"/>
    <mergeCell ref="CF124:CF125"/>
    <mergeCell ref="CG124:CG125"/>
    <mergeCell ref="CH124:CH125"/>
    <mergeCell ref="DA124:DA125"/>
    <mergeCell ref="DB124:DB125"/>
    <mergeCell ref="DC124:DC125"/>
    <mergeCell ref="DD124:DD125"/>
    <mergeCell ref="DE124:DE125"/>
    <mergeCell ref="DF124:DF125"/>
    <mergeCell ref="DG124:DG125"/>
    <mergeCell ref="DH124:DH125"/>
    <mergeCell ref="DI124:DI125"/>
    <mergeCell ref="CR124:CR125"/>
    <mergeCell ref="CS124:CS125"/>
    <mergeCell ref="CT124:CT125"/>
    <mergeCell ref="CU124:CU125"/>
    <mergeCell ref="CV124:CV125"/>
    <mergeCell ref="CW124:CW125"/>
    <mergeCell ref="CX124:CX125"/>
    <mergeCell ref="CY124:CY125"/>
    <mergeCell ref="CZ124:CZ125"/>
    <mergeCell ref="M184:M186"/>
    <mergeCell ref="N184:DI184"/>
    <mergeCell ref="N185:N186"/>
    <mergeCell ref="O185:O186"/>
    <mergeCell ref="P185:P186"/>
    <mergeCell ref="Q185:Q186"/>
    <mergeCell ref="R185:R186"/>
    <mergeCell ref="S185:S186"/>
    <mergeCell ref="T185:T186"/>
    <mergeCell ref="U185:U186"/>
    <mergeCell ref="V185:V186"/>
    <mergeCell ref="W185:W186"/>
    <mergeCell ref="X185:X186"/>
    <mergeCell ref="Y185:Y186"/>
    <mergeCell ref="Z185:Z186"/>
    <mergeCell ref="AA185:AA186"/>
    <mergeCell ref="AB185:AB186"/>
    <mergeCell ref="AC185:AC186"/>
    <mergeCell ref="AD185:AD186"/>
    <mergeCell ref="AE185:AE186"/>
    <mergeCell ref="AF185:AF186"/>
    <mergeCell ref="AG185:AG186"/>
    <mergeCell ref="AH185:AH186"/>
    <mergeCell ref="AI185:AI186"/>
    <mergeCell ref="AS185:AS186"/>
    <mergeCell ref="AT185:AT186"/>
    <mergeCell ref="AU185:AU186"/>
    <mergeCell ref="AV185:AV186"/>
    <mergeCell ref="AW185:AW186"/>
    <mergeCell ref="AX185:AX186"/>
    <mergeCell ref="AY185:AY186"/>
    <mergeCell ref="AZ185:AZ186"/>
    <mergeCell ref="BA185:BA186"/>
    <mergeCell ref="AJ185:AJ186"/>
    <mergeCell ref="AK185:AK186"/>
    <mergeCell ref="AL185:AL186"/>
    <mergeCell ref="AM185:AM186"/>
    <mergeCell ref="AN185:AN186"/>
    <mergeCell ref="AO185:AO186"/>
    <mergeCell ref="AP185:AP186"/>
    <mergeCell ref="AQ185:AQ186"/>
    <mergeCell ref="AR185:AR186"/>
    <mergeCell ref="BX185:BX186"/>
    <mergeCell ref="BY185:BY186"/>
    <mergeCell ref="BZ185:BZ186"/>
    <mergeCell ref="CA185:CA186"/>
    <mergeCell ref="CB185:CB186"/>
    <mergeCell ref="BK185:BK186"/>
    <mergeCell ref="BL185:BL186"/>
    <mergeCell ref="BM185:BM186"/>
    <mergeCell ref="BN185:BN186"/>
    <mergeCell ref="BO185:BO186"/>
    <mergeCell ref="BP185:BP186"/>
    <mergeCell ref="BQ185:BQ186"/>
    <mergeCell ref="BR185:BR186"/>
    <mergeCell ref="BS185:BS186"/>
    <mergeCell ref="BB185:BB186"/>
    <mergeCell ref="BC185:BC186"/>
    <mergeCell ref="BD185:BD186"/>
    <mergeCell ref="BE185:BE186"/>
    <mergeCell ref="BF185:BF186"/>
    <mergeCell ref="BG185:BG186"/>
    <mergeCell ref="BH185:BH186"/>
    <mergeCell ref="BI185:BI186"/>
    <mergeCell ref="BJ185:BJ186"/>
    <mergeCell ref="AC227:AC228"/>
    <mergeCell ref="CU185:CU186"/>
    <mergeCell ref="CV185:CV186"/>
    <mergeCell ref="CW185:CW186"/>
    <mergeCell ref="CX185:CX186"/>
    <mergeCell ref="CY185:CY186"/>
    <mergeCell ref="CZ185:CZ186"/>
    <mergeCell ref="DA185:DA186"/>
    <mergeCell ref="DB185:DB186"/>
    <mergeCell ref="DC185:DC186"/>
    <mergeCell ref="CL185:CL186"/>
    <mergeCell ref="CM185:CM186"/>
    <mergeCell ref="CN185:CN186"/>
    <mergeCell ref="CO185:CO186"/>
    <mergeCell ref="CP185:CP186"/>
    <mergeCell ref="CQ185:CQ186"/>
    <mergeCell ref="CR185:CR186"/>
    <mergeCell ref="CS185:CS186"/>
    <mergeCell ref="CT185:CT186"/>
    <mergeCell ref="CC185:CC186"/>
    <mergeCell ref="CD185:CD186"/>
    <mergeCell ref="CE185:CE186"/>
    <mergeCell ref="CF185:CF186"/>
    <mergeCell ref="CG185:CG186"/>
    <mergeCell ref="CH185:CH186"/>
    <mergeCell ref="CI185:CI186"/>
    <mergeCell ref="CJ185:CJ186"/>
    <mergeCell ref="CK185:CK186"/>
    <mergeCell ref="BT185:BT186"/>
    <mergeCell ref="BU185:BU186"/>
    <mergeCell ref="BV185:BV186"/>
    <mergeCell ref="BW185:BW186"/>
    <mergeCell ref="AD227:AD228"/>
    <mergeCell ref="AE227:AE228"/>
    <mergeCell ref="AF227:AF228"/>
    <mergeCell ref="AG227:AG228"/>
    <mergeCell ref="AH227:AH228"/>
    <mergeCell ref="AI227:AI228"/>
    <mergeCell ref="AJ227:AJ228"/>
    <mergeCell ref="AK227:AK228"/>
    <mergeCell ref="AL227:AL228"/>
    <mergeCell ref="DD185:DD186"/>
    <mergeCell ref="DE185:DE186"/>
    <mergeCell ref="DF185:DF186"/>
    <mergeCell ref="DG185:DG186"/>
    <mergeCell ref="DH185:DH186"/>
    <mergeCell ref="DI185:DI186"/>
    <mergeCell ref="M226:M228"/>
    <mergeCell ref="N226:DI226"/>
    <mergeCell ref="N227:N228"/>
    <mergeCell ref="O227:O228"/>
    <mergeCell ref="P227:P228"/>
    <mergeCell ref="Q227:Q228"/>
    <mergeCell ref="R227:R228"/>
    <mergeCell ref="S227:S228"/>
    <mergeCell ref="T227:T228"/>
    <mergeCell ref="U227:U228"/>
    <mergeCell ref="V227:V228"/>
    <mergeCell ref="W227:W228"/>
    <mergeCell ref="X227:X228"/>
    <mergeCell ref="Y227:Y228"/>
    <mergeCell ref="Z227:Z228"/>
    <mergeCell ref="AA227:AA228"/>
    <mergeCell ref="AB227:AB228"/>
    <mergeCell ref="AV227:AV228"/>
    <mergeCell ref="AW227:AW228"/>
    <mergeCell ref="AX227:AX228"/>
    <mergeCell ref="AY227:AY228"/>
    <mergeCell ref="AZ227:AZ228"/>
    <mergeCell ref="BA227:BA228"/>
    <mergeCell ref="BB227:BB228"/>
    <mergeCell ref="BC227:BC228"/>
    <mergeCell ref="BD227:BD228"/>
    <mergeCell ref="AM227:AM228"/>
    <mergeCell ref="AN227:AN228"/>
    <mergeCell ref="AO227:AO228"/>
    <mergeCell ref="AP227:AP228"/>
    <mergeCell ref="AQ227:AQ228"/>
    <mergeCell ref="AR227:AR228"/>
    <mergeCell ref="AS227:AS228"/>
    <mergeCell ref="AT227:AT228"/>
    <mergeCell ref="AU227:AU228"/>
    <mergeCell ref="CA227:CA228"/>
    <mergeCell ref="CB227:CB228"/>
    <mergeCell ref="CC227:CC228"/>
    <mergeCell ref="CD227:CD228"/>
    <mergeCell ref="CE227:CE228"/>
    <mergeCell ref="BN227:BN228"/>
    <mergeCell ref="BO227:BO228"/>
    <mergeCell ref="BP227:BP228"/>
    <mergeCell ref="BQ227:BQ228"/>
    <mergeCell ref="BR227:BR228"/>
    <mergeCell ref="BS227:BS228"/>
    <mergeCell ref="BT227:BT228"/>
    <mergeCell ref="BU227:BU228"/>
    <mergeCell ref="BV227:BV228"/>
    <mergeCell ref="BE227:BE228"/>
    <mergeCell ref="BF227:BF228"/>
    <mergeCell ref="BG227:BG228"/>
    <mergeCell ref="BH227:BH228"/>
    <mergeCell ref="BI227:BI228"/>
    <mergeCell ref="BJ227:BJ228"/>
    <mergeCell ref="BK227:BK228"/>
    <mergeCell ref="BL227:BL228"/>
    <mergeCell ref="BM227:BM228"/>
    <mergeCell ref="AF255:AF256"/>
    <mergeCell ref="CX227:CX228"/>
    <mergeCell ref="CY227:CY228"/>
    <mergeCell ref="CZ227:CZ228"/>
    <mergeCell ref="DA227:DA228"/>
    <mergeCell ref="DB227:DB228"/>
    <mergeCell ref="DC227:DC228"/>
    <mergeCell ref="DD227:DD228"/>
    <mergeCell ref="DE227:DE228"/>
    <mergeCell ref="DF227:DF228"/>
    <mergeCell ref="CO227:CO228"/>
    <mergeCell ref="CP227:CP228"/>
    <mergeCell ref="CQ227:CQ228"/>
    <mergeCell ref="CR227:CR228"/>
    <mergeCell ref="CS227:CS228"/>
    <mergeCell ref="CT227:CT228"/>
    <mergeCell ref="CU227:CU228"/>
    <mergeCell ref="CV227:CV228"/>
    <mergeCell ref="CW227:CW228"/>
    <mergeCell ref="CF227:CF228"/>
    <mergeCell ref="CG227:CG228"/>
    <mergeCell ref="CH227:CH228"/>
    <mergeCell ref="CI227:CI228"/>
    <mergeCell ref="CJ227:CJ228"/>
    <mergeCell ref="CK227:CK228"/>
    <mergeCell ref="CL227:CL228"/>
    <mergeCell ref="CM227:CM228"/>
    <mergeCell ref="CN227:CN228"/>
    <mergeCell ref="BW227:BW228"/>
    <mergeCell ref="BX227:BX228"/>
    <mergeCell ref="BY227:BY228"/>
    <mergeCell ref="BZ227:BZ228"/>
    <mergeCell ref="AG255:AG256"/>
    <mergeCell ref="AH255:AH256"/>
    <mergeCell ref="AI255:AI256"/>
    <mergeCell ref="AJ255:AJ256"/>
    <mergeCell ref="AK255:AK256"/>
    <mergeCell ref="AL255:AL256"/>
    <mergeCell ref="AM255:AM256"/>
    <mergeCell ref="AN255:AN256"/>
    <mergeCell ref="AO255:AO256"/>
    <mergeCell ref="DG227:DG228"/>
    <mergeCell ref="DH227:DH228"/>
    <mergeCell ref="DI227:DI228"/>
    <mergeCell ref="M254:M256"/>
    <mergeCell ref="N254:DI254"/>
    <mergeCell ref="N255:N256"/>
    <mergeCell ref="O255:O256"/>
    <mergeCell ref="P255:P256"/>
    <mergeCell ref="Q255:Q256"/>
    <mergeCell ref="R255:R256"/>
    <mergeCell ref="S255:S256"/>
    <mergeCell ref="T255:T256"/>
    <mergeCell ref="U255:U256"/>
    <mergeCell ref="V255:V256"/>
    <mergeCell ref="W255:W256"/>
    <mergeCell ref="X255:X256"/>
    <mergeCell ref="Y255:Y256"/>
    <mergeCell ref="Z255:Z256"/>
    <mergeCell ref="AA255:AA256"/>
    <mergeCell ref="AB255:AB256"/>
    <mergeCell ref="AC255:AC256"/>
    <mergeCell ref="AD255:AD256"/>
    <mergeCell ref="AE255:AE256"/>
    <mergeCell ref="AY255:AY256"/>
    <mergeCell ref="AZ255:AZ256"/>
    <mergeCell ref="BA255:BA256"/>
    <mergeCell ref="BB255:BB256"/>
    <mergeCell ref="BC255:BC256"/>
    <mergeCell ref="BD255:BD256"/>
    <mergeCell ref="BE255:BE256"/>
    <mergeCell ref="BF255:BF256"/>
    <mergeCell ref="BG255:BG256"/>
    <mergeCell ref="AP255:AP256"/>
    <mergeCell ref="AQ255:AQ256"/>
    <mergeCell ref="AR255:AR256"/>
    <mergeCell ref="AS255:AS256"/>
    <mergeCell ref="AT255:AT256"/>
    <mergeCell ref="AU255:AU256"/>
    <mergeCell ref="AV255:AV256"/>
    <mergeCell ref="AW255:AW256"/>
    <mergeCell ref="AX255:AX256"/>
    <mergeCell ref="BQ255:BQ256"/>
    <mergeCell ref="BR255:BR256"/>
    <mergeCell ref="BS255:BS256"/>
    <mergeCell ref="BT255:BT256"/>
    <mergeCell ref="BU255:BU256"/>
    <mergeCell ref="BV255:BV256"/>
    <mergeCell ref="BW255:BW256"/>
    <mergeCell ref="BX255:BX256"/>
    <mergeCell ref="BY255:BY256"/>
    <mergeCell ref="BH255:BH256"/>
    <mergeCell ref="BI255:BI256"/>
    <mergeCell ref="BJ255:BJ256"/>
    <mergeCell ref="BK255:BK256"/>
    <mergeCell ref="BL255:BL256"/>
    <mergeCell ref="BM255:BM256"/>
    <mergeCell ref="BN255:BN256"/>
    <mergeCell ref="BO255:BO256"/>
    <mergeCell ref="BP255:BP256"/>
    <mergeCell ref="CI255:CI256"/>
    <mergeCell ref="CJ255:CJ256"/>
    <mergeCell ref="CK255:CK256"/>
    <mergeCell ref="CL255:CL256"/>
    <mergeCell ref="CM255:CM256"/>
    <mergeCell ref="CN255:CN256"/>
    <mergeCell ref="CO255:CO256"/>
    <mergeCell ref="CP255:CP256"/>
    <mergeCell ref="CQ255:CQ256"/>
    <mergeCell ref="BZ255:BZ256"/>
    <mergeCell ref="CA255:CA256"/>
    <mergeCell ref="CB255:CB256"/>
    <mergeCell ref="CC255:CC256"/>
    <mergeCell ref="CD255:CD256"/>
    <mergeCell ref="CE255:CE256"/>
    <mergeCell ref="CF255:CF256"/>
    <mergeCell ref="CG255:CG256"/>
    <mergeCell ref="CH255:CH256"/>
    <mergeCell ref="DA255:DA256"/>
    <mergeCell ref="DB255:DB256"/>
    <mergeCell ref="DC255:DC256"/>
    <mergeCell ref="DD255:DD256"/>
    <mergeCell ref="DE255:DE256"/>
    <mergeCell ref="DF255:DF256"/>
    <mergeCell ref="DG255:DG256"/>
    <mergeCell ref="DH255:DH256"/>
    <mergeCell ref="DI255:DI256"/>
    <mergeCell ref="CR255:CR256"/>
    <mergeCell ref="CS255:CS256"/>
    <mergeCell ref="CT255:CT256"/>
    <mergeCell ref="CU255:CU256"/>
    <mergeCell ref="CV255:CV256"/>
    <mergeCell ref="CW255:CW256"/>
    <mergeCell ref="CX255:CX256"/>
    <mergeCell ref="CY255:CY256"/>
    <mergeCell ref="CZ255:CZ256"/>
    <mergeCell ref="M385:M387"/>
    <mergeCell ref="N385:DI385"/>
    <mergeCell ref="N386:N387"/>
    <mergeCell ref="O386:O387"/>
    <mergeCell ref="P386:P387"/>
    <mergeCell ref="Q386:Q387"/>
    <mergeCell ref="R386:R387"/>
    <mergeCell ref="S386:S387"/>
    <mergeCell ref="T386:T387"/>
    <mergeCell ref="U386:U387"/>
    <mergeCell ref="V386:V387"/>
    <mergeCell ref="W386:W387"/>
    <mergeCell ref="X386:X387"/>
    <mergeCell ref="Y386:Y387"/>
    <mergeCell ref="Z386:Z387"/>
    <mergeCell ref="AA386:AA387"/>
    <mergeCell ref="AB386:AB387"/>
    <mergeCell ref="AC386:AC387"/>
    <mergeCell ref="AD386:AD387"/>
    <mergeCell ref="AE386:AE387"/>
    <mergeCell ref="AF386:AF387"/>
    <mergeCell ref="AG386:AG387"/>
    <mergeCell ref="AH386:AH387"/>
    <mergeCell ref="AI386:AI387"/>
    <mergeCell ref="AS386:AS387"/>
    <mergeCell ref="AT386:AT387"/>
    <mergeCell ref="AU386:AU387"/>
    <mergeCell ref="AV386:AV387"/>
    <mergeCell ref="AW386:AW387"/>
    <mergeCell ref="AX386:AX387"/>
    <mergeCell ref="AY386:AY387"/>
    <mergeCell ref="AZ386:AZ387"/>
    <mergeCell ref="BA386:BA387"/>
    <mergeCell ref="AJ386:AJ387"/>
    <mergeCell ref="AK386:AK387"/>
    <mergeCell ref="AL386:AL387"/>
    <mergeCell ref="AM386:AM387"/>
    <mergeCell ref="AN386:AN387"/>
    <mergeCell ref="AO386:AO387"/>
    <mergeCell ref="AP386:AP387"/>
    <mergeCell ref="AQ386:AQ387"/>
    <mergeCell ref="AR386:AR387"/>
    <mergeCell ref="BX386:BX387"/>
    <mergeCell ref="BY386:BY387"/>
    <mergeCell ref="BZ386:BZ387"/>
    <mergeCell ref="CA386:CA387"/>
    <mergeCell ref="CB386:CB387"/>
    <mergeCell ref="BK386:BK387"/>
    <mergeCell ref="BL386:BL387"/>
    <mergeCell ref="BM386:BM387"/>
    <mergeCell ref="BN386:BN387"/>
    <mergeCell ref="BO386:BO387"/>
    <mergeCell ref="BP386:BP387"/>
    <mergeCell ref="BQ386:BQ387"/>
    <mergeCell ref="BR386:BR387"/>
    <mergeCell ref="BS386:BS387"/>
    <mergeCell ref="BB386:BB387"/>
    <mergeCell ref="BC386:BC387"/>
    <mergeCell ref="BD386:BD387"/>
    <mergeCell ref="BE386:BE387"/>
    <mergeCell ref="BF386:BF387"/>
    <mergeCell ref="BG386:BG387"/>
    <mergeCell ref="BH386:BH387"/>
    <mergeCell ref="BI386:BI387"/>
    <mergeCell ref="BJ386:BJ387"/>
    <mergeCell ref="AC443:AC444"/>
    <mergeCell ref="CU386:CU387"/>
    <mergeCell ref="CV386:CV387"/>
    <mergeCell ref="CW386:CW387"/>
    <mergeCell ref="CX386:CX387"/>
    <mergeCell ref="CY386:CY387"/>
    <mergeCell ref="CZ386:CZ387"/>
    <mergeCell ref="DA386:DA387"/>
    <mergeCell ref="DB386:DB387"/>
    <mergeCell ref="DC386:DC387"/>
    <mergeCell ref="CL386:CL387"/>
    <mergeCell ref="CM386:CM387"/>
    <mergeCell ref="CN386:CN387"/>
    <mergeCell ref="CO386:CO387"/>
    <mergeCell ref="CP386:CP387"/>
    <mergeCell ref="CQ386:CQ387"/>
    <mergeCell ref="CR386:CR387"/>
    <mergeCell ref="CS386:CS387"/>
    <mergeCell ref="CT386:CT387"/>
    <mergeCell ref="CC386:CC387"/>
    <mergeCell ref="CD386:CD387"/>
    <mergeCell ref="CE386:CE387"/>
    <mergeCell ref="CF386:CF387"/>
    <mergeCell ref="CG386:CG387"/>
    <mergeCell ref="CH386:CH387"/>
    <mergeCell ref="CI386:CI387"/>
    <mergeCell ref="CJ386:CJ387"/>
    <mergeCell ref="CK386:CK387"/>
    <mergeCell ref="BT386:BT387"/>
    <mergeCell ref="BU386:BU387"/>
    <mergeCell ref="BV386:BV387"/>
    <mergeCell ref="BW386:BW387"/>
    <mergeCell ref="AD443:AD444"/>
    <mergeCell ref="AE443:AE444"/>
    <mergeCell ref="AF443:AF444"/>
    <mergeCell ref="AG443:AG444"/>
    <mergeCell ref="AH443:AH444"/>
    <mergeCell ref="AI443:AI444"/>
    <mergeCell ref="AJ443:AJ444"/>
    <mergeCell ref="AK443:AK444"/>
    <mergeCell ref="AL443:AL444"/>
    <mergeCell ref="DD386:DD387"/>
    <mergeCell ref="DE386:DE387"/>
    <mergeCell ref="DF386:DF387"/>
    <mergeCell ref="DG386:DG387"/>
    <mergeCell ref="DH386:DH387"/>
    <mergeCell ref="DI386:DI387"/>
    <mergeCell ref="M442:M444"/>
    <mergeCell ref="N442:DI442"/>
    <mergeCell ref="N443:N444"/>
    <mergeCell ref="O443:O444"/>
    <mergeCell ref="P443:P444"/>
    <mergeCell ref="Q443:Q444"/>
    <mergeCell ref="R443:R444"/>
    <mergeCell ref="S443:S444"/>
    <mergeCell ref="T443:T444"/>
    <mergeCell ref="U443:U444"/>
    <mergeCell ref="V443:V444"/>
    <mergeCell ref="W443:W444"/>
    <mergeCell ref="X443:X444"/>
    <mergeCell ref="Y443:Y444"/>
    <mergeCell ref="Z443:Z444"/>
    <mergeCell ref="AA443:AA444"/>
    <mergeCell ref="AB443:AB444"/>
    <mergeCell ref="AV443:AV444"/>
    <mergeCell ref="AW443:AW444"/>
    <mergeCell ref="AX443:AX444"/>
    <mergeCell ref="AY443:AY444"/>
    <mergeCell ref="AZ443:AZ444"/>
    <mergeCell ref="BA443:BA444"/>
    <mergeCell ref="BB443:BB444"/>
    <mergeCell ref="BC443:BC444"/>
    <mergeCell ref="BD443:BD444"/>
    <mergeCell ref="AM443:AM444"/>
    <mergeCell ref="AN443:AN444"/>
    <mergeCell ref="AO443:AO444"/>
    <mergeCell ref="AP443:AP444"/>
    <mergeCell ref="AQ443:AQ444"/>
    <mergeCell ref="AR443:AR444"/>
    <mergeCell ref="AS443:AS444"/>
    <mergeCell ref="AT443:AT444"/>
    <mergeCell ref="AU443:AU444"/>
    <mergeCell ref="CA443:CA444"/>
    <mergeCell ref="CB443:CB444"/>
    <mergeCell ref="CC443:CC444"/>
    <mergeCell ref="CD443:CD444"/>
    <mergeCell ref="CE443:CE444"/>
    <mergeCell ref="BN443:BN444"/>
    <mergeCell ref="BO443:BO444"/>
    <mergeCell ref="BP443:BP444"/>
    <mergeCell ref="BQ443:BQ444"/>
    <mergeCell ref="BR443:BR444"/>
    <mergeCell ref="BS443:BS444"/>
    <mergeCell ref="BT443:BT444"/>
    <mergeCell ref="BU443:BU444"/>
    <mergeCell ref="BV443:BV444"/>
    <mergeCell ref="BE443:BE444"/>
    <mergeCell ref="BF443:BF444"/>
    <mergeCell ref="BG443:BG444"/>
    <mergeCell ref="BH443:BH444"/>
    <mergeCell ref="BI443:BI444"/>
    <mergeCell ref="BJ443:BJ444"/>
    <mergeCell ref="BK443:BK444"/>
    <mergeCell ref="BL443:BL444"/>
    <mergeCell ref="BM443:BM444"/>
    <mergeCell ref="AF495:AF496"/>
    <mergeCell ref="CX443:CX444"/>
    <mergeCell ref="CY443:CY444"/>
    <mergeCell ref="CZ443:CZ444"/>
    <mergeCell ref="DA443:DA444"/>
    <mergeCell ref="DB443:DB444"/>
    <mergeCell ref="DC443:DC444"/>
    <mergeCell ref="DD443:DD444"/>
    <mergeCell ref="DE443:DE444"/>
    <mergeCell ref="DF443:DF444"/>
    <mergeCell ref="CO443:CO444"/>
    <mergeCell ref="CP443:CP444"/>
    <mergeCell ref="CQ443:CQ444"/>
    <mergeCell ref="CR443:CR444"/>
    <mergeCell ref="CS443:CS444"/>
    <mergeCell ref="CT443:CT444"/>
    <mergeCell ref="CU443:CU444"/>
    <mergeCell ref="CV443:CV444"/>
    <mergeCell ref="CW443:CW444"/>
    <mergeCell ref="CF443:CF444"/>
    <mergeCell ref="CG443:CG444"/>
    <mergeCell ref="CH443:CH444"/>
    <mergeCell ref="CI443:CI444"/>
    <mergeCell ref="CJ443:CJ444"/>
    <mergeCell ref="CK443:CK444"/>
    <mergeCell ref="CL443:CL444"/>
    <mergeCell ref="CM443:CM444"/>
    <mergeCell ref="CN443:CN444"/>
    <mergeCell ref="BW443:BW444"/>
    <mergeCell ref="BX443:BX444"/>
    <mergeCell ref="BY443:BY444"/>
    <mergeCell ref="BZ443:BZ444"/>
    <mergeCell ref="AG495:AG496"/>
    <mergeCell ref="AH495:AH496"/>
    <mergeCell ref="AI495:AI496"/>
    <mergeCell ref="AJ495:AJ496"/>
    <mergeCell ref="AK495:AK496"/>
    <mergeCell ref="AL495:AL496"/>
    <mergeCell ref="AM495:AM496"/>
    <mergeCell ref="AN495:AN496"/>
    <mergeCell ref="AO495:AO496"/>
    <mergeCell ref="DG443:DG444"/>
    <mergeCell ref="DH443:DH444"/>
    <mergeCell ref="DI443:DI444"/>
    <mergeCell ref="M494:M496"/>
    <mergeCell ref="N494:DI494"/>
    <mergeCell ref="N495:N496"/>
    <mergeCell ref="O495:O496"/>
    <mergeCell ref="P495:P496"/>
    <mergeCell ref="Q495:Q496"/>
    <mergeCell ref="R495:R496"/>
    <mergeCell ref="S495:S496"/>
    <mergeCell ref="T495:T496"/>
    <mergeCell ref="U495:U496"/>
    <mergeCell ref="V495:V496"/>
    <mergeCell ref="W495:W496"/>
    <mergeCell ref="X495:X496"/>
    <mergeCell ref="Y495:Y496"/>
    <mergeCell ref="Z495:Z496"/>
    <mergeCell ref="AA495:AA496"/>
    <mergeCell ref="AB495:AB496"/>
    <mergeCell ref="AC495:AC496"/>
    <mergeCell ref="AD495:AD496"/>
    <mergeCell ref="AE495:AE496"/>
    <mergeCell ref="AY495:AY496"/>
    <mergeCell ref="AZ495:AZ496"/>
    <mergeCell ref="BA495:BA496"/>
    <mergeCell ref="BB495:BB496"/>
    <mergeCell ref="BC495:BC496"/>
    <mergeCell ref="BD495:BD496"/>
    <mergeCell ref="BE495:BE496"/>
    <mergeCell ref="BF495:BF496"/>
    <mergeCell ref="BG495:BG496"/>
    <mergeCell ref="AP495:AP496"/>
    <mergeCell ref="AQ495:AQ496"/>
    <mergeCell ref="AR495:AR496"/>
    <mergeCell ref="AS495:AS496"/>
    <mergeCell ref="AT495:AT496"/>
    <mergeCell ref="AU495:AU496"/>
    <mergeCell ref="AV495:AV496"/>
    <mergeCell ref="AW495:AW496"/>
    <mergeCell ref="AX495:AX496"/>
    <mergeCell ref="BQ495:BQ496"/>
    <mergeCell ref="BR495:BR496"/>
    <mergeCell ref="BS495:BS496"/>
    <mergeCell ref="BT495:BT496"/>
    <mergeCell ref="BU495:BU496"/>
    <mergeCell ref="BV495:BV496"/>
    <mergeCell ref="BW495:BW496"/>
    <mergeCell ref="BX495:BX496"/>
    <mergeCell ref="BY495:BY496"/>
    <mergeCell ref="BH495:BH496"/>
    <mergeCell ref="BI495:BI496"/>
    <mergeCell ref="BJ495:BJ496"/>
    <mergeCell ref="BK495:BK496"/>
    <mergeCell ref="BL495:BL496"/>
    <mergeCell ref="BM495:BM496"/>
    <mergeCell ref="BN495:BN496"/>
    <mergeCell ref="BO495:BO496"/>
    <mergeCell ref="BP495:BP496"/>
    <mergeCell ref="CI495:CI496"/>
    <mergeCell ref="CJ495:CJ496"/>
    <mergeCell ref="CK495:CK496"/>
    <mergeCell ref="CL495:CL496"/>
    <mergeCell ref="CM495:CM496"/>
    <mergeCell ref="CN495:CN496"/>
    <mergeCell ref="CO495:CO496"/>
    <mergeCell ref="CP495:CP496"/>
    <mergeCell ref="CQ495:CQ496"/>
    <mergeCell ref="BZ495:BZ496"/>
    <mergeCell ref="CA495:CA496"/>
    <mergeCell ref="CB495:CB496"/>
    <mergeCell ref="CC495:CC496"/>
    <mergeCell ref="CD495:CD496"/>
    <mergeCell ref="CE495:CE496"/>
    <mergeCell ref="CF495:CF496"/>
    <mergeCell ref="CG495:CG496"/>
    <mergeCell ref="CH495:CH496"/>
    <mergeCell ref="DA495:DA496"/>
    <mergeCell ref="DB495:DB496"/>
    <mergeCell ref="DC495:DC496"/>
    <mergeCell ref="DD495:DD496"/>
    <mergeCell ref="DE495:DE496"/>
    <mergeCell ref="DF495:DF496"/>
    <mergeCell ref="DG495:DG496"/>
    <mergeCell ref="DH495:DH496"/>
    <mergeCell ref="DI495:DI496"/>
    <mergeCell ref="CR495:CR496"/>
    <mergeCell ref="CS495:CS496"/>
    <mergeCell ref="CT495:CT496"/>
    <mergeCell ref="CU495:CU496"/>
    <mergeCell ref="CV495:CV496"/>
    <mergeCell ref="CW495:CW496"/>
    <mergeCell ref="CX495:CX496"/>
    <mergeCell ref="CY495:CY496"/>
    <mergeCell ref="CZ495:CZ496"/>
    <mergeCell ref="M517:M519"/>
    <mergeCell ref="N517:DI517"/>
    <mergeCell ref="N518:N519"/>
    <mergeCell ref="O518:O519"/>
    <mergeCell ref="P518:P519"/>
    <mergeCell ref="Q518:Q519"/>
    <mergeCell ref="R518:R519"/>
    <mergeCell ref="S518:S519"/>
    <mergeCell ref="T518:T519"/>
    <mergeCell ref="U518:U519"/>
    <mergeCell ref="V518:V519"/>
    <mergeCell ref="W518:W519"/>
    <mergeCell ref="X518:X519"/>
    <mergeCell ref="Y518:Y519"/>
    <mergeCell ref="Z518:Z519"/>
    <mergeCell ref="AA518:AA519"/>
    <mergeCell ref="AB518:AB519"/>
    <mergeCell ref="AC518:AC519"/>
    <mergeCell ref="AD518:AD519"/>
    <mergeCell ref="AE518:AE519"/>
    <mergeCell ref="AF518:AF519"/>
    <mergeCell ref="AG518:AG519"/>
    <mergeCell ref="AH518:AH519"/>
    <mergeCell ref="AI518:AI519"/>
    <mergeCell ref="AS518:AS519"/>
    <mergeCell ref="AT518:AT519"/>
    <mergeCell ref="AU518:AU519"/>
    <mergeCell ref="AV518:AV519"/>
    <mergeCell ref="AW518:AW519"/>
    <mergeCell ref="AX518:AX519"/>
    <mergeCell ref="AY518:AY519"/>
    <mergeCell ref="AZ518:AZ519"/>
    <mergeCell ref="BA518:BA519"/>
    <mergeCell ref="AJ518:AJ519"/>
    <mergeCell ref="AK518:AK519"/>
    <mergeCell ref="AL518:AL519"/>
    <mergeCell ref="AM518:AM519"/>
    <mergeCell ref="AN518:AN519"/>
    <mergeCell ref="AO518:AO519"/>
    <mergeCell ref="AP518:AP519"/>
    <mergeCell ref="AQ518:AQ519"/>
    <mergeCell ref="AR518:AR519"/>
    <mergeCell ref="BX518:BX519"/>
    <mergeCell ref="BY518:BY519"/>
    <mergeCell ref="BZ518:BZ519"/>
    <mergeCell ref="CA518:CA519"/>
    <mergeCell ref="CB518:CB519"/>
    <mergeCell ref="BK518:BK519"/>
    <mergeCell ref="BL518:BL519"/>
    <mergeCell ref="BM518:BM519"/>
    <mergeCell ref="BN518:BN519"/>
    <mergeCell ref="BO518:BO519"/>
    <mergeCell ref="BP518:BP519"/>
    <mergeCell ref="BQ518:BQ519"/>
    <mergeCell ref="BR518:BR519"/>
    <mergeCell ref="BS518:BS519"/>
    <mergeCell ref="BB518:BB519"/>
    <mergeCell ref="BC518:BC519"/>
    <mergeCell ref="BD518:BD519"/>
    <mergeCell ref="BE518:BE519"/>
    <mergeCell ref="BF518:BF519"/>
    <mergeCell ref="BG518:BG519"/>
    <mergeCell ref="BH518:BH519"/>
    <mergeCell ref="BI518:BI519"/>
    <mergeCell ref="BJ518:BJ519"/>
    <mergeCell ref="AC541:AC542"/>
    <mergeCell ref="CU518:CU519"/>
    <mergeCell ref="CV518:CV519"/>
    <mergeCell ref="CW518:CW519"/>
    <mergeCell ref="CX518:CX519"/>
    <mergeCell ref="CY518:CY519"/>
    <mergeCell ref="CZ518:CZ519"/>
    <mergeCell ref="DA518:DA519"/>
    <mergeCell ref="DB518:DB519"/>
    <mergeCell ref="DC518:DC519"/>
    <mergeCell ref="CL518:CL519"/>
    <mergeCell ref="CM518:CM519"/>
    <mergeCell ref="CN518:CN519"/>
    <mergeCell ref="CO518:CO519"/>
    <mergeCell ref="CP518:CP519"/>
    <mergeCell ref="CQ518:CQ519"/>
    <mergeCell ref="CR518:CR519"/>
    <mergeCell ref="CS518:CS519"/>
    <mergeCell ref="CT518:CT519"/>
    <mergeCell ref="CC518:CC519"/>
    <mergeCell ref="CD518:CD519"/>
    <mergeCell ref="CE518:CE519"/>
    <mergeCell ref="CF518:CF519"/>
    <mergeCell ref="CG518:CG519"/>
    <mergeCell ref="CH518:CH519"/>
    <mergeCell ref="CI518:CI519"/>
    <mergeCell ref="CJ518:CJ519"/>
    <mergeCell ref="CK518:CK519"/>
    <mergeCell ref="BT518:BT519"/>
    <mergeCell ref="BU518:BU519"/>
    <mergeCell ref="BV518:BV519"/>
    <mergeCell ref="BW518:BW519"/>
    <mergeCell ref="AD541:AD542"/>
    <mergeCell ref="AE541:AE542"/>
    <mergeCell ref="AF541:AF542"/>
    <mergeCell ref="AG541:AG542"/>
    <mergeCell ref="AH541:AH542"/>
    <mergeCell ref="AI541:AI542"/>
    <mergeCell ref="AJ541:AJ542"/>
    <mergeCell ref="AK541:AK542"/>
    <mergeCell ref="AL541:AL542"/>
    <mergeCell ref="DD518:DD519"/>
    <mergeCell ref="DE518:DE519"/>
    <mergeCell ref="DF518:DF519"/>
    <mergeCell ref="DG518:DG519"/>
    <mergeCell ref="DH518:DH519"/>
    <mergeCell ref="DI518:DI519"/>
    <mergeCell ref="M540:M542"/>
    <mergeCell ref="N540:DI540"/>
    <mergeCell ref="N541:N542"/>
    <mergeCell ref="O541:O542"/>
    <mergeCell ref="P541:P542"/>
    <mergeCell ref="Q541:Q542"/>
    <mergeCell ref="R541:R542"/>
    <mergeCell ref="S541:S542"/>
    <mergeCell ref="T541:T542"/>
    <mergeCell ref="U541:U542"/>
    <mergeCell ref="V541:V542"/>
    <mergeCell ref="W541:W542"/>
    <mergeCell ref="X541:X542"/>
    <mergeCell ref="Y541:Y542"/>
    <mergeCell ref="Z541:Z542"/>
    <mergeCell ref="AA541:AA542"/>
    <mergeCell ref="AB541:AB542"/>
    <mergeCell ref="AV541:AV542"/>
    <mergeCell ref="AW541:AW542"/>
    <mergeCell ref="AX541:AX542"/>
    <mergeCell ref="AY541:AY542"/>
    <mergeCell ref="AZ541:AZ542"/>
    <mergeCell ref="BA541:BA542"/>
    <mergeCell ref="BB541:BB542"/>
    <mergeCell ref="BC541:BC542"/>
    <mergeCell ref="BD541:BD542"/>
    <mergeCell ref="AM541:AM542"/>
    <mergeCell ref="AN541:AN542"/>
    <mergeCell ref="AO541:AO542"/>
    <mergeCell ref="AP541:AP542"/>
    <mergeCell ref="AQ541:AQ542"/>
    <mergeCell ref="AR541:AR542"/>
    <mergeCell ref="AS541:AS542"/>
    <mergeCell ref="AT541:AT542"/>
    <mergeCell ref="AU541:AU542"/>
    <mergeCell ref="CA541:CA542"/>
    <mergeCell ref="CB541:CB542"/>
    <mergeCell ref="CC541:CC542"/>
    <mergeCell ref="CD541:CD542"/>
    <mergeCell ref="CE541:CE542"/>
    <mergeCell ref="BN541:BN542"/>
    <mergeCell ref="BO541:BO542"/>
    <mergeCell ref="BP541:BP542"/>
    <mergeCell ref="BQ541:BQ542"/>
    <mergeCell ref="BR541:BR542"/>
    <mergeCell ref="BS541:BS542"/>
    <mergeCell ref="BT541:BT542"/>
    <mergeCell ref="BU541:BU542"/>
    <mergeCell ref="BV541:BV542"/>
    <mergeCell ref="BE541:BE542"/>
    <mergeCell ref="BF541:BF542"/>
    <mergeCell ref="BG541:BG542"/>
    <mergeCell ref="BH541:BH542"/>
    <mergeCell ref="BI541:BI542"/>
    <mergeCell ref="BJ541:BJ542"/>
    <mergeCell ref="BK541:BK542"/>
    <mergeCell ref="BL541:BL542"/>
    <mergeCell ref="BM541:BM542"/>
    <mergeCell ref="AF579:AF580"/>
    <mergeCell ref="CX541:CX542"/>
    <mergeCell ref="CY541:CY542"/>
    <mergeCell ref="CZ541:CZ542"/>
    <mergeCell ref="DA541:DA542"/>
    <mergeCell ref="DB541:DB542"/>
    <mergeCell ref="DC541:DC542"/>
    <mergeCell ref="DD541:DD542"/>
    <mergeCell ref="DE541:DE542"/>
    <mergeCell ref="DF541:DF542"/>
    <mergeCell ref="CO541:CO542"/>
    <mergeCell ref="CP541:CP542"/>
    <mergeCell ref="CQ541:CQ542"/>
    <mergeCell ref="CR541:CR542"/>
    <mergeCell ref="CS541:CS542"/>
    <mergeCell ref="CT541:CT542"/>
    <mergeCell ref="CU541:CU542"/>
    <mergeCell ref="CV541:CV542"/>
    <mergeCell ref="CW541:CW542"/>
    <mergeCell ref="CF541:CF542"/>
    <mergeCell ref="CG541:CG542"/>
    <mergeCell ref="CH541:CH542"/>
    <mergeCell ref="CI541:CI542"/>
    <mergeCell ref="CJ541:CJ542"/>
    <mergeCell ref="CK541:CK542"/>
    <mergeCell ref="CL541:CL542"/>
    <mergeCell ref="CM541:CM542"/>
    <mergeCell ref="CN541:CN542"/>
    <mergeCell ref="BW541:BW542"/>
    <mergeCell ref="BX541:BX542"/>
    <mergeCell ref="BY541:BY542"/>
    <mergeCell ref="BZ541:BZ542"/>
    <mergeCell ref="AG579:AG580"/>
    <mergeCell ref="AH579:AH580"/>
    <mergeCell ref="AI579:AI580"/>
    <mergeCell ref="AJ579:AJ580"/>
    <mergeCell ref="AK579:AK580"/>
    <mergeCell ref="AL579:AL580"/>
    <mergeCell ref="AM579:AM580"/>
    <mergeCell ref="AN579:AN580"/>
    <mergeCell ref="AO579:AO580"/>
    <mergeCell ref="DG541:DG542"/>
    <mergeCell ref="DH541:DH542"/>
    <mergeCell ref="DI541:DI542"/>
    <mergeCell ref="M578:M580"/>
    <mergeCell ref="N578:DI578"/>
    <mergeCell ref="N579:N580"/>
    <mergeCell ref="O579:O580"/>
    <mergeCell ref="P579:P580"/>
    <mergeCell ref="Q579:Q580"/>
    <mergeCell ref="R579:R580"/>
    <mergeCell ref="S579:S580"/>
    <mergeCell ref="T579:T580"/>
    <mergeCell ref="U579:U580"/>
    <mergeCell ref="V579:V580"/>
    <mergeCell ref="W579:W580"/>
    <mergeCell ref="X579:X580"/>
    <mergeCell ref="Y579:Y580"/>
    <mergeCell ref="Z579:Z580"/>
    <mergeCell ref="AA579:AA580"/>
    <mergeCell ref="AB579:AB580"/>
    <mergeCell ref="AC579:AC580"/>
    <mergeCell ref="AD579:AD580"/>
    <mergeCell ref="AE579:AE580"/>
    <mergeCell ref="AY579:AY580"/>
    <mergeCell ref="AZ579:AZ580"/>
    <mergeCell ref="BA579:BA580"/>
    <mergeCell ref="BB579:BB580"/>
    <mergeCell ref="BC579:BC580"/>
    <mergeCell ref="BD579:BD580"/>
    <mergeCell ref="BE579:BE580"/>
    <mergeCell ref="BF579:BF580"/>
    <mergeCell ref="BG579:BG580"/>
    <mergeCell ref="AP579:AP580"/>
    <mergeCell ref="AQ579:AQ580"/>
    <mergeCell ref="AR579:AR580"/>
    <mergeCell ref="AS579:AS580"/>
    <mergeCell ref="AT579:AT580"/>
    <mergeCell ref="AU579:AU580"/>
    <mergeCell ref="AV579:AV580"/>
    <mergeCell ref="AW579:AW580"/>
    <mergeCell ref="AX579:AX580"/>
    <mergeCell ref="BQ579:BQ580"/>
    <mergeCell ref="BR579:BR580"/>
    <mergeCell ref="BS579:BS580"/>
    <mergeCell ref="BT579:BT580"/>
    <mergeCell ref="BU579:BU580"/>
    <mergeCell ref="BV579:BV580"/>
    <mergeCell ref="BW579:BW580"/>
    <mergeCell ref="BX579:BX580"/>
    <mergeCell ref="BY579:BY580"/>
    <mergeCell ref="BH579:BH580"/>
    <mergeCell ref="BI579:BI580"/>
    <mergeCell ref="BJ579:BJ580"/>
    <mergeCell ref="BK579:BK580"/>
    <mergeCell ref="BL579:BL580"/>
    <mergeCell ref="BM579:BM580"/>
    <mergeCell ref="BN579:BN580"/>
    <mergeCell ref="BO579:BO580"/>
    <mergeCell ref="BP579:BP580"/>
    <mergeCell ref="CI579:CI580"/>
    <mergeCell ref="CJ579:CJ580"/>
    <mergeCell ref="CK579:CK580"/>
    <mergeCell ref="CL579:CL580"/>
    <mergeCell ref="CM579:CM580"/>
    <mergeCell ref="CN579:CN580"/>
    <mergeCell ref="CO579:CO580"/>
    <mergeCell ref="CP579:CP580"/>
    <mergeCell ref="CQ579:CQ580"/>
    <mergeCell ref="BZ579:BZ580"/>
    <mergeCell ref="CA579:CA580"/>
    <mergeCell ref="CB579:CB580"/>
    <mergeCell ref="CC579:CC580"/>
    <mergeCell ref="CD579:CD580"/>
    <mergeCell ref="CE579:CE580"/>
    <mergeCell ref="CF579:CF580"/>
    <mergeCell ref="CG579:CG580"/>
    <mergeCell ref="CH579:CH580"/>
    <mergeCell ref="DA579:DA580"/>
    <mergeCell ref="DB579:DB580"/>
    <mergeCell ref="DC579:DC580"/>
    <mergeCell ref="DD579:DD580"/>
    <mergeCell ref="DE579:DE580"/>
    <mergeCell ref="DF579:DF580"/>
    <mergeCell ref="DG579:DG580"/>
    <mergeCell ref="DH579:DH580"/>
    <mergeCell ref="DI579:DI580"/>
    <mergeCell ref="CR579:CR580"/>
    <mergeCell ref="CS579:CS580"/>
    <mergeCell ref="CT579:CT580"/>
    <mergeCell ref="CU579:CU580"/>
    <mergeCell ref="CV579:CV580"/>
    <mergeCell ref="CW579:CW580"/>
    <mergeCell ref="CX579:CX580"/>
    <mergeCell ref="CY579:CY580"/>
    <mergeCell ref="CZ579:CZ580"/>
  </mergeCells>
  <pageMargins left="0.196850393700787" right="0" top="0.196850393700787" bottom="0.196850393700787" header="0.196850393700787" footer="0.196850393700787"/>
  <pageSetup paperSize="9" orientation="landscape" horizontalDpi="120" verticalDpi="72"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I163"/>
  <sheetViews>
    <sheetView workbookViewId="0">
      <selection activeCell="M6" sqref="M6"/>
    </sheetView>
  </sheetViews>
  <sheetFormatPr defaultRowHeight="15" x14ac:dyDescent="0.25"/>
  <cols>
    <col min="1" max="1" width="4.7109375" style="52" customWidth="1"/>
    <col min="2" max="2" width="21.5703125" style="52" customWidth="1"/>
    <col min="3" max="3" width="11.85546875" style="52" customWidth="1"/>
    <col min="4" max="4" width="11.140625" style="52" customWidth="1"/>
    <col min="5" max="5" width="14.140625" style="52" customWidth="1"/>
    <col min="6" max="6" width="13.28515625" style="52" customWidth="1"/>
    <col min="7" max="7" width="14.85546875" style="52" customWidth="1"/>
    <col min="8" max="8" width="11.7109375" style="52" customWidth="1"/>
    <col min="9" max="9" width="11.85546875" style="52" customWidth="1"/>
    <col min="10" max="10" width="15" style="52" customWidth="1"/>
    <col min="11" max="11" width="14.7109375" style="52" customWidth="1"/>
    <col min="12" max="14" width="9.140625" style="52" customWidth="1"/>
    <col min="15" max="16384" width="9.140625" style="52"/>
  </cols>
  <sheetData>
    <row r="1" spans="1:113" x14ac:dyDescent="0.25">
      <c r="L1"/>
      <c r="M1"/>
      <c r="N1"/>
      <c r="O1"/>
      <c r="P1"/>
      <c r="Q1"/>
      <c r="R1"/>
      <c r="S1"/>
      <c r="T1"/>
      <c r="U1"/>
      <c r="V1"/>
      <c r="W1"/>
      <c r="X1"/>
      <c r="Y1"/>
      <c r="Z1"/>
    </row>
    <row r="2" spans="1:113" ht="15.75" thickBot="1" x14ac:dyDescent="0.3">
      <c r="A2" s="103" t="s">
        <v>717</v>
      </c>
      <c r="G2" s="53" t="str">
        <f>A.Prangko!G3</f>
        <v>mei 2017</v>
      </c>
      <c r="L2"/>
      <c r="M2"/>
      <c r="N2"/>
      <c r="O2"/>
      <c r="P2"/>
      <c r="Q2"/>
      <c r="R2"/>
      <c r="S2"/>
      <c r="T2"/>
      <c r="U2"/>
      <c r="V2"/>
      <c r="W2"/>
      <c r="X2"/>
      <c r="Y2"/>
      <c r="Z2"/>
    </row>
    <row r="3" spans="1:113" ht="15.75" thickBot="1" x14ac:dyDescent="0.3">
      <c r="A3" s="407" t="s">
        <v>657</v>
      </c>
      <c r="B3" s="414" t="s">
        <v>708</v>
      </c>
      <c r="C3" s="414" t="s">
        <v>1</v>
      </c>
      <c r="D3" s="415" t="s">
        <v>649</v>
      </c>
      <c r="E3" s="416" t="s">
        <v>19</v>
      </c>
      <c r="F3" s="416"/>
      <c r="G3" s="416"/>
      <c r="H3" s="416"/>
      <c r="I3" s="416"/>
      <c r="J3" s="410" t="s">
        <v>21</v>
      </c>
      <c r="K3" s="417" t="s">
        <v>602</v>
      </c>
      <c r="L3"/>
      <c r="M3" s="400" t="s">
        <v>601</v>
      </c>
      <c r="N3" s="404" t="s">
        <v>924</v>
      </c>
      <c r="O3" s="405"/>
      <c r="P3" s="405"/>
      <c r="Q3" s="405"/>
      <c r="R3" s="405"/>
      <c r="S3" s="405"/>
      <c r="T3" s="405"/>
      <c r="U3" s="405"/>
      <c r="V3" s="405"/>
      <c r="W3" s="405"/>
      <c r="X3" s="405"/>
      <c r="Y3" s="405"/>
      <c r="Z3" s="405"/>
      <c r="AA3" s="405"/>
      <c r="AB3" s="405"/>
      <c r="AC3" s="405"/>
      <c r="AD3" s="405"/>
      <c r="AE3" s="405"/>
      <c r="AF3" s="405"/>
      <c r="AG3" s="405"/>
      <c r="AH3" s="405"/>
      <c r="AI3" s="405"/>
      <c r="AJ3" s="405"/>
      <c r="AK3" s="405"/>
      <c r="AL3" s="405"/>
      <c r="AM3" s="405"/>
      <c r="AN3" s="405"/>
      <c r="AO3" s="405"/>
      <c r="AP3" s="405"/>
      <c r="AQ3" s="405"/>
      <c r="AR3" s="405"/>
      <c r="AS3" s="405"/>
      <c r="AT3" s="405"/>
      <c r="AU3" s="405"/>
      <c r="AV3" s="405"/>
      <c r="AW3" s="405"/>
      <c r="AX3" s="405"/>
      <c r="AY3" s="405"/>
      <c r="AZ3" s="405"/>
      <c r="BA3" s="405"/>
      <c r="BB3" s="405"/>
      <c r="BC3" s="405"/>
      <c r="BD3" s="405"/>
      <c r="BE3" s="405"/>
      <c r="BF3" s="405"/>
      <c r="BG3" s="405"/>
      <c r="BH3" s="405"/>
      <c r="BI3" s="405"/>
      <c r="BJ3" s="405"/>
      <c r="BK3" s="405"/>
      <c r="BL3" s="405"/>
      <c r="BM3" s="405"/>
      <c r="BN3" s="405"/>
      <c r="BO3" s="405"/>
      <c r="BP3" s="405"/>
      <c r="BQ3" s="405"/>
      <c r="BR3" s="405"/>
      <c r="BS3" s="405"/>
      <c r="BT3" s="405"/>
      <c r="BU3" s="405"/>
      <c r="BV3" s="405"/>
      <c r="BW3" s="405"/>
      <c r="BX3" s="405"/>
      <c r="BY3" s="405"/>
      <c r="BZ3" s="405"/>
      <c r="CA3" s="405"/>
      <c r="CB3" s="405"/>
      <c r="CC3" s="405"/>
      <c r="CD3" s="405"/>
      <c r="CE3" s="405"/>
      <c r="CF3" s="405"/>
      <c r="CG3" s="405"/>
      <c r="CH3" s="405"/>
      <c r="CI3" s="405"/>
      <c r="CJ3" s="405"/>
      <c r="CK3" s="405"/>
      <c r="CL3" s="405"/>
      <c r="CM3" s="405"/>
      <c r="CN3" s="405"/>
      <c r="CO3" s="405"/>
      <c r="CP3" s="405"/>
      <c r="CQ3" s="405"/>
      <c r="CR3" s="405"/>
      <c r="CS3" s="405"/>
      <c r="CT3" s="405"/>
      <c r="CU3" s="405"/>
      <c r="CV3" s="405"/>
      <c r="CW3" s="405"/>
      <c r="CX3" s="405"/>
      <c r="CY3" s="405"/>
      <c r="CZ3" s="405"/>
      <c r="DA3" s="405"/>
      <c r="DB3" s="405"/>
      <c r="DC3" s="405"/>
      <c r="DD3" s="405"/>
      <c r="DE3" s="405"/>
      <c r="DF3" s="405"/>
      <c r="DG3" s="405"/>
      <c r="DH3" s="405"/>
      <c r="DI3" s="406"/>
    </row>
    <row r="4" spans="1:113" ht="45.75" thickBot="1" x14ac:dyDescent="0.3">
      <c r="A4" s="408"/>
      <c r="B4" s="414"/>
      <c r="C4" s="414"/>
      <c r="D4" s="415"/>
      <c r="E4" s="68" t="s">
        <v>22</v>
      </c>
      <c r="F4" s="68" t="s">
        <v>600</v>
      </c>
      <c r="G4" s="68" t="s">
        <v>601</v>
      </c>
      <c r="H4" s="68" t="s">
        <v>589</v>
      </c>
      <c r="I4" s="68" t="s">
        <v>601</v>
      </c>
      <c r="J4" s="411"/>
      <c r="K4" s="418"/>
      <c r="L4"/>
      <c r="M4" s="401"/>
      <c r="N4" s="400" t="s">
        <v>925</v>
      </c>
      <c r="O4" s="400" t="s">
        <v>926</v>
      </c>
      <c r="P4" s="400"/>
      <c r="Q4" s="400"/>
      <c r="R4" s="400"/>
      <c r="S4" s="398"/>
      <c r="T4" s="398"/>
      <c r="U4" s="398"/>
      <c r="V4" s="398"/>
      <c r="W4" s="398"/>
      <c r="X4" s="398"/>
      <c r="Y4" s="398"/>
      <c r="Z4" s="398"/>
      <c r="AA4" s="398"/>
      <c r="AB4" s="398"/>
      <c r="AC4" s="398"/>
      <c r="AD4" s="398"/>
      <c r="AE4" s="398"/>
      <c r="AF4" s="398"/>
      <c r="AG4" s="398"/>
      <c r="AH4" s="398"/>
      <c r="AI4" s="398"/>
      <c r="AJ4" s="398"/>
      <c r="AK4" s="398"/>
      <c r="AL4" s="398"/>
      <c r="AM4" s="398"/>
      <c r="AN4" s="398"/>
      <c r="AO4" s="398"/>
      <c r="AP4" s="398"/>
      <c r="AQ4" s="398"/>
      <c r="AR4" s="398"/>
      <c r="AS4" s="398"/>
      <c r="AT4" s="398"/>
      <c r="AU4" s="398"/>
      <c r="AV4" s="398"/>
      <c r="AW4" s="398"/>
      <c r="AX4" s="398"/>
      <c r="AY4" s="398"/>
      <c r="AZ4" s="398"/>
      <c r="BA4" s="398"/>
      <c r="BB4" s="398"/>
      <c r="BC4" s="398"/>
      <c r="BD4" s="398"/>
      <c r="BE4" s="398"/>
      <c r="BF4" s="398"/>
      <c r="BG4" s="398"/>
      <c r="BH4" s="398"/>
      <c r="BI4" s="398"/>
      <c r="BJ4" s="398"/>
      <c r="BK4" s="398"/>
      <c r="BL4" s="398"/>
      <c r="BM4" s="398"/>
      <c r="BN4" s="398"/>
      <c r="BO4" s="398"/>
      <c r="BP4" s="398"/>
      <c r="BQ4" s="398"/>
      <c r="BR4" s="398"/>
      <c r="BS4" s="398"/>
      <c r="BT4" s="398"/>
      <c r="BU4" s="398"/>
      <c r="BV4" s="398"/>
      <c r="BW4" s="398"/>
      <c r="BX4" s="398"/>
      <c r="BY4" s="398"/>
      <c r="BZ4" s="398"/>
      <c r="CA4" s="398"/>
      <c r="CB4" s="398"/>
      <c r="CC4" s="398"/>
      <c r="CD4" s="398"/>
      <c r="CE4" s="398"/>
      <c r="CF4" s="398"/>
      <c r="CG4" s="398"/>
      <c r="CH4" s="398"/>
      <c r="CI4" s="398"/>
      <c r="CJ4" s="398"/>
      <c r="CK4" s="398"/>
      <c r="CL4" s="398"/>
      <c r="CM4" s="398"/>
      <c r="CN4" s="398"/>
      <c r="CO4" s="398"/>
      <c r="CP4" s="398"/>
      <c r="CQ4" s="398"/>
      <c r="CR4" s="398"/>
      <c r="CS4" s="398"/>
      <c r="CT4" s="398"/>
      <c r="CU4" s="398"/>
      <c r="CV4" s="398"/>
      <c r="CW4" s="398"/>
      <c r="CX4" s="398"/>
      <c r="CY4" s="398"/>
      <c r="CZ4" s="398"/>
      <c r="DA4" s="398"/>
      <c r="DB4" s="398"/>
      <c r="DC4" s="398"/>
      <c r="DD4" s="398"/>
      <c r="DE4" s="398"/>
      <c r="DF4" s="398"/>
      <c r="DG4" s="398"/>
      <c r="DH4" s="398"/>
      <c r="DI4" s="398"/>
    </row>
    <row r="5" spans="1:113" ht="15.75" thickBot="1" x14ac:dyDescent="0.3">
      <c r="A5" s="409"/>
      <c r="B5" s="185">
        <v>1</v>
      </c>
      <c r="C5" s="185">
        <v>2</v>
      </c>
      <c r="D5" s="185">
        <v>3</v>
      </c>
      <c r="E5" s="70">
        <v>4</v>
      </c>
      <c r="F5" s="70">
        <f>+E5+1</f>
        <v>5</v>
      </c>
      <c r="G5" s="70" t="s">
        <v>652</v>
      </c>
      <c r="H5" s="70">
        <v>7</v>
      </c>
      <c r="I5" s="71" t="s">
        <v>651</v>
      </c>
      <c r="J5" s="42" t="s">
        <v>650</v>
      </c>
      <c r="K5" s="42" t="s">
        <v>653</v>
      </c>
      <c r="L5"/>
      <c r="M5" s="402"/>
      <c r="N5" s="402"/>
      <c r="O5" s="402"/>
      <c r="P5" s="402"/>
      <c r="Q5" s="402"/>
      <c r="R5" s="402"/>
      <c r="S5" s="399"/>
      <c r="T5" s="399"/>
      <c r="U5" s="399"/>
      <c r="V5" s="399"/>
      <c r="W5" s="399"/>
      <c r="X5" s="399"/>
      <c r="Y5" s="399"/>
      <c r="Z5" s="399"/>
      <c r="AA5" s="399"/>
      <c r="AB5" s="399"/>
      <c r="AC5" s="399"/>
      <c r="AD5" s="399"/>
      <c r="AE5" s="399"/>
      <c r="AF5" s="399"/>
      <c r="AG5" s="399"/>
      <c r="AH5" s="399"/>
      <c r="AI5" s="399"/>
      <c r="AJ5" s="399"/>
      <c r="AK5" s="399"/>
      <c r="AL5" s="399"/>
      <c r="AM5" s="399"/>
      <c r="AN5" s="399"/>
      <c r="AO5" s="399"/>
      <c r="AP5" s="399"/>
      <c r="AQ5" s="399"/>
      <c r="AR5" s="399"/>
      <c r="AS5" s="399"/>
      <c r="AT5" s="399"/>
      <c r="AU5" s="399"/>
      <c r="AV5" s="399"/>
      <c r="AW5" s="399"/>
      <c r="AX5" s="399"/>
      <c r="AY5" s="399"/>
      <c r="AZ5" s="399"/>
      <c r="BA5" s="399"/>
      <c r="BB5" s="399"/>
      <c r="BC5" s="399"/>
      <c r="BD5" s="399"/>
      <c r="BE5" s="399"/>
      <c r="BF5" s="399"/>
      <c r="BG5" s="399"/>
      <c r="BH5" s="399"/>
      <c r="BI5" s="399"/>
      <c r="BJ5" s="399"/>
      <c r="BK5" s="399"/>
      <c r="BL5" s="399"/>
      <c r="BM5" s="399"/>
      <c r="BN5" s="399"/>
      <c r="BO5" s="399"/>
      <c r="BP5" s="399"/>
      <c r="BQ5" s="399"/>
      <c r="BR5" s="399"/>
      <c r="BS5" s="399"/>
      <c r="BT5" s="399"/>
      <c r="BU5" s="399"/>
      <c r="BV5" s="399"/>
      <c r="BW5" s="399"/>
      <c r="BX5" s="399"/>
      <c r="BY5" s="399"/>
      <c r="BZ5" s="399"/>
      <c r="CA5" s="399"/>
      <c r="CB5" s="399"/>
      <c r="CC5" s="399"/>
      <c r="CD5" s="399"/>
      <c r="CE5" s="399"/>
      <c r="CF5" s="399"/>
      <c r="CG5" s="399"/>
      <c r="CH5" s="399"/>
      <c r="CI5" s="399"/>
      <c r="CJ5" s="399"/>
      <c r="CK5" s="399"/>
      <c r="CL5" s="399"/>
      <c r="CM5" s="399"/>
      <c r="CN5" s="399"/>
      <c r="CO5" s="399"/>
      <c r="CP5" s="399"/>
      <c r="CQ5" s="399"/>
      <c r="CR5" s="399"/>
      <c r="CS5" s="399"/>
      <c r="CT5" s="399"/>
      <c r="CU5" s="399"/>
      <c r="CV5" s="399"/>
      <c r="CW5" s="399"/>
      <c r="CX5" s="399"/>
      <c r="CY5" s="399"/>
      <c r="CZ5" s="399"/>
      <c r="DA5" s="399"/>
      <c r="DB5" s="399"/>
      <c r="DC5" s="399"/>
      <c r="DD5" s="399"/>
      <c r="DE5" s="399"/>
      <c r="DF5" s="399"/>
      <c r="DG5" s="399"/>
      <c r="DH5" s="399"/>
      <c r="DI5" s="399"/>
    </row>
    <row r="6" spans="1:113" x14ac:dyDescent="0.25">
      <c r="A6" s="150"/>
      <c r="B6" s="54"/>
      <c r="C6" s="54"/>
      <c r="D6" s="54"/>
      <c r="E6" s="54"/>
      <c r="F6" s="54"/>
      <c r="G6" s="54"/>
      <c r="H6" s="54"/>
      <c r="I6" s="54"/>
      <c r="J6" s="54"/>
      <c r="K6" s="54"/>
      <c r="L6"/>
      <c r="M6" s="314">
        <f t="shared" ref="M6:M17" si="0">SUM(N6:DJ6)</f>
        <v>0</v>
      </c>
      <c r="N6" s="310"/>
      <c r="O6" s="315"/>
      <c r="P6" s="315"/>
      <c r="Q6" s="315"/>
      <c r="R6" s="31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row>
    <row r="7" spans="1:113" x14ac:dyDescent="0.25">
      <c r="A7" s="152">
        <v>1</v>
      </c>
      <c r="B7" s="79" t="s">
        <v>457</v>
      </c>
      <c r="C7" s="80">
        <v>7500</v>
      </c>
      <c r="D7" s="142">
        <v>4609.91</v>
      </c>
      <c r="E7" s="43">
        <v>199</v>
      </c>
      <c r="F7" s="60"/>
      <c r="G7" s="139">
        <f t="shared" ref="G7:G27" si="1">+E7+F7</f>
        <v>199</v>
      </c>
      <c r="H7" s="55"/>
      <c r="I7" s="56">
        <f t="shared" ref="I7:I27" si="2">+G7-H7</f>
        <v>199</v>
      </c>
      <c r="J7" s="56">
        <f t="shared" ref="J7:J27" si="3">I7*C7</f>
        <v>1492500</v>
      </c>
      <c r="K7" s="57">
        <f t="shared" ref="K7:K27" si="4">+D7*I7</f>
        <v>917372.09</v>
      </c>
      <c r="L7"/>
      <c r="M7" s="314">
        <f t="shared" si="0"/>
        <v>0</v>
      </c>
      <c r="N7" s="310"/>
      <c r="O7" s="315"/>
      <c r="P7" s="315"/>
      <c r="Q7" s="315"/>
      <c r="R7" s="31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row>
    <row r="8" spans="1:113" x14ac:dyDescent="0.25">
      <c r="A8" s="152">
        <v>2</v>
      </c>
      <c r="B8" s="215" t="s">
        <v>458</v>
      </c>
      <c r="C8" s="80">
        <v>25000</v>
      </c>
      <c r="D8" s="142">
        <v>9075</v>
      </c>
      <c r="E8" s="43">
        <v>0</v>
      </c>
      <c r="F8" s="60">
        <f>100-100</f>
        <v>0</v>
      </c>
      <c r="G8" s="139">
        <f t="shared" si="1"/>
        <v>0</v>
      </c>
      <c r="H8" s="55">
        <f>170-170+100-100</f>
        <v>0</v>
      </c>
      <c r="I8" s="56">
        <f t="shared" si="2"/>
        <v>0</v>
      </c>
      <c r="J8" s="56">
        <f t="shared" si="3"/>
        <v>0</v>
      </c>
      <c r="K8" s="57">
        <f t="shared" si="4"/>
        <v>0</v>
      </c>
      <c r="L8"/>
      <c r="M8" s="314">
        <f t="shared" si="0"/>
        <v>0</v>
      </c>
      <c r="N8" s="310"/>
      <c r="O8" s="315"/>
      <c r="P8" s="315"/>
      <c r="Q8" s="315"/>
      <c r="R8" s="31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row>
    <row r="9" spans="1:113" x14ac:dyDescent="0.25">
      <c r="A9" s="152">
        <v>3</v>
      </c>
      <c r="B9" s="79" t="s">
        <v>459</v>
      </c>
      <c r="C9" s="80">
        <v>250000</v>
      </c>
      <c r="D9" s="142">
        <v>80399.92</v>
      </c>
      <c r="E9" s="43">
        <v>0</v>
      </c>
      <c r="F9" s="60"/>
      <c r="G9" s="139">
        <f t="shared" si="1"/>
        <v>0</v>
      </c>
      <c r="H9" s="55">
        <f>66-66</f>
        <v>0</v>
      </c>
      <c r="I9" s="56">
        <f t="shared" si="2"/>
        <v>0</v>
      </c>
      <c r="J9" s="56">
        <f t="shared" si="3"/>
        <v>0</v>
      </c>
      <c r="K9" s="57">
        <f t="shared" si="4"/>
        <v>0</v>
      </c>
      <c r="L9"/>
      <c r="M9" s="314">
        <f t="shared" si="0"/>
        <v>0</v>
      </c>
      <c r="N9" s="310"/>
      <c r="O9" s="315"/>
      <c r="P9" s="315"/>
      <c r="Q9" s="315"/>
      <c r="R9" s="31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row>
    <row r="10" spans="1:113" x14ac:dyDescent="0.25">
      <c r="A10" s="152">
        <v>4</v>
      </c>
      <c r="B10" s="79" t="s">
        <v>770</v>
      </c>
      <c r="C10" s="80">
        <v>125000</v>
      </c>
      <c r="D10" s="142">
        <v>21174.93</v>
      </c>
      <c r="E10" s="43">
        <v>0</v>
      </c>
      <c r="F10" s="60"/>
      <c r="G10" s="139">
        <f t="shared" si="1"/>
        <v>0</v>
      </c>
      <c r="H10" s="55">
        <f>79-79</f>
        <v>0</v>
      </c>
      <c r="I10" s="56">
        <f t="shared" si="2"/>
        <v>0</v>
      </c>
      <c r="J10" s="56">
        <f t="shared" si="3"/>
        <v>0</v>
      </c>
      <c r="K10" s="57">
        <f t="shared" si="4"/>
        <v>0</v>
      </c>
      <c r="L10"/>
      <c r="M10" s="314">
        <f t="shared" si="0"/>
        <v>0</v>
      </c>
      <c r="N10" s="310"/>
      <c r="O10" s="315"/>
      <c r="P10" s="315"/>
      <c r="Q10" s="315"/>
      <c r="R10" s="31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row>
    <row r="11" spans="1:113" x14ac:dyDescent="0.25">
      <c r="A11" s="152">
        <v>5</v>
      </c>
      <c r="B11" s="79" t="s">
        <v>460</v>
      </c>
      <c r="C11" s="80">
        <v>135000</v>
      </c>
      <c r="D11" s="142">
        <v>9350</v>
      </c>
      <c r="E11" s="43">
        <v>4</v>
      </c>
      <c r="F11" s="60"/>
      <c r="G11" s="139">
        <f t="shared" si="1"/>
        <v>4</v>
      </c>
      <c r="H11" s="55"/>
      <c r="I11" s="56">
        <f t="shared" si="2"/>
        <v>4</v>
      </c>
      <c r="J11" s="56">
        <f t="shared" si="3"/>
        <v>540000</v>
      </c>
      <c r="K11" s="57">
        <f t="shared" si="4"/>
        <v>37400</v>
      </c>
      <c r="L11"/>
      <c r="M11" s="321">
        <f t="shared" si="0"/>
        <v>0</v>
      </c>
      <c r="N11" s="312"/>
      <c r="O11" s="318"/>
      <c r="P11" s="318"/>
      <c r="Q11" s="318"/>
      <c r="R11" s="318"/>
      <c r="S11" s="108"/>
      <c r="T11" s="108"/>
      <c r="U11" s="108"/>
      <c r="V11" s="108"/>
      <c r="W11" s="108"/>
      <c r="X11" s="108"/>
      <c r="Y11" s="108"/>
      <c r="Z11" s="108"/>
      <c r="AA11" s="108"/>
      <c r="AB11" s="108"/>
      <c r="AC11" s="108"/>
      <c r="AD11" s="108"/>
      <c r="AE11" s="108"/>
      <c r="AF11" s="108"/>
      <c r="AG11" s="108"/>
      <c r="AH11" s="108"/>
      <c r="AI11" s="108"/>
      <c r="AJ11" s="108"/>
      <c r="AK11" s="108"/>
      <c r="AL11" s="108"/>
      <c r="AM11" s="108"/>
      <c r="AN11" s="108"/>
      <c r="AO11" s="108"/>
      <c r="AP11" s="108"/>
      <c r="AQ11" s="108"/>
      <c r="AR11" s="108"/>
      <c r="AS11" s="108"/>
      <c r="AT11" s="108"/>
      <c r="AU11" s="108"/>
      <c r="AV11" s="108"/>
      <c r="AW11" s="108"/>
      <c r="AX11" s="108"/>
      <c r="AY11" s="108"/>
      <c r="AZ11" s="108"/>
      <c r="BA11" s="108"/>
      <c r="BB11" s="108"/>
      <c r="BC11" s="108"/>
      <c r="BD11" s="108"/>
      <c r="BE11" s="108"/>
      <c r="BF11" s="108"/>
      <c r="BG11" s="108"/>
      <c r="BH11" s="108"/>
      <c r="BI11" s="108"/>
      <c r="BJ11" s="108"/>
      <c r="BK11" s="108"/>
      <c r="BL11" s="108"/>
      <c r="BM11" s="108"/>
      <c r="BN11" s="108"/>
      <c r="BO11" s="108"/>
      <c r="BP11" s="108"/>
      <c r="BQ11" s="108"/>
      <c r="BR11" s="108"/>
      <c r="BS11" s="108"/>
      <c r="BT11" s="108"/>
      <c r="BU11" s="108"/>
      <c r="BV11" s="108"/>
      <c r="BW11" s="108"/>
      <c r="BX11" s="108"/>
      <c r="BY11" s="108"/>
      <c r="BZ11" s="108"/>
      <c r="CA11" s="108"/>
      <c r="CB11" s="108"/>
      <c r="CC11" s="108"/>
      <c r="CD11" s="108"/>
      <c r="CE11" s="108"/>
      <c r="CF11" s="108"/>
      <c r="CG11" s="108"/>
      <c r="CH11" s="108"/>
      <c r="CI11" s="108"/>
      <c r="CJ11" s="108"/>
      <c r="CK11" s="108"/>
      <c r="CL11" s="108"/>
      <c r="CM11" s="108"/>
      <c r="CN11" s="108"/>
      <c r="CO11" s="108"/>
      <c r="CP11" s="108"/>
      <c r="CQ11" s="108"/>
      <c r="CR11" s="108"/>
      <c r="CS11" s="108"/>
      <c r="CT11" s="108"/>
      <c r="CU11" s="108"/>
      <c r="CV11" s="108"/>
      <c r="CW11" s="108"/>
      <c r="CX11" s="108"/>
      <c r="CY11" s="108"/>
      <c r="CZ11" s="108"/>
      <c r="DA11" s="108"/>
      <c r="DB11" s="108"/>
      <c r="DC11" s="108"/>
      <c r="DD11" s="108"/>
      <c r="DE11" s="108"/>
      <c r="DF11" s="108"/>
      <c r="DG11" s="108"/>
      <c r="DH11" s="108"/>
      <c r="DI11" s="108"/>
    </row>
    <row r="12" spans="1:113" x14ac:dyDescent="0.25">
      <c r="A12" s="152">
        <v>6</v>
      </c>
      <c r="B12" s="79" t="s">
        <v>461</v>
      </c>
      <c r="C12" s="80">
        <v>20000</v>
      </c>
      <c r="D12" s="142">
        <v>3465</v>
      </c>
      <c r="E12" s="43">
        <v>0</v>
      </c>
      <c r="F12" s="60"/>
      <c r="G12" s="139">
        <f t="shared" si="1"/>
        <v>0</v>
      </c>
      <c r="H12" s="55">
        <f>26-26</f>
        <v>0</v>
      </c>
      <c r="I12" s="56">
        <f t="shared" si="2"/>
        <v>0</v>
      </c>
      <c r="J12" s="56">
        <f t="shared" si="3"/>
        <v>0</v>
      </c>
      <c r="K12" s="57">
        <f t="shared" si="4"/>
        <v>0</v>
      </c>
      <c r="L12"/>
      <c r="M12" s="314">
        <f t="shared" si="0"/>
        <v>0</v>
      </c>
      <c r="N12" s="310"/>
      <c r="O12" s="315"/>
      <c r="P12" s="315"/>
      <c r="Q12" s="315"/>
      <c r="R12" s="31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row>
    <row r="13" spans="1:113" x14ac:dyDescent="0.25">
      <c r="A13" s="152">
        <v>7</v>
      </c>
      <c r="B13" s="79" t="s">
        <v>462</v>
      </c>
      <c r="C13" s="80">
        <v>10000</v>
      </c>
      <c r="D13" s="142">
        <v>1155</v>
      </c>
      <c r="E13" s="43">
        <v>0</v>
      </c>
      <c r="F13" s="60"/>
      <c r="G13" s="139">
        <f t="shared" si="1"/>
        <v>0</v>
      </c>
      <c r="H13" s="55">
        <f>64-64</f>
        <v>0</v>
      </c>
      <c r="I13" s="56">
        <f t="shared" si="2"/>
        <v>0</v>
      </c>
      <c r="J13" s="56">
        <f t="shared" si="3"/>
        <v>0</v>
      </c>
      <c r="K13" s="57">
        <f t="shared" si="4"/>
        <v>0</v>
      </c>
      <c r="L13"/>
      <c r="M13" s="314">
        <f t="shared" si="0"/>
        <v>0</v>
      </c>
      <c r="N13" s="310"/>
      <c r="O13" s="315"/>
      <c r="P13" s="315"/>
      <c r="Q13" s="315"/>
      <c r="R13" s="31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c r="CN13" s="55"/>
      <c r="CO13" s="55"/>
      <c r="CP13" s="55"/>
      <c r="CQ13" s="55"/>
      <c r="CR13" s="55"/>
      <c r="CS13" s="55"/>
      <c r="CT13" s="55"/>
      <c r="CU13" s="55"/>
      <c r="CV13" s="55"/>
      <c r="CW13" s="55"/>
      <c r="CX13" s="55"/>
      <c r="CY13" s="55"/>
      <c r="CZ13" s="55"/>
      <c r="DA13" s="55"/>
      <c r="DB13" s="55"/>
      <c r="DC13" s="55"/>
      <c r="DD13" s="55"/>
      <c r="DE13" s="55"/>
      <c r="DF13" s="55"/>
      <c r="DG13" s="55"/>
      <c r="DH13" s="55"/>
      <c r="DI13" s="55"/>
    </row>
    <row r="14" spans="1:113" x14ac:dyDescent="0.25">
      <c r="A14" s="152">
        <v>8</v>
      </c>
      <c r="B14" s="79" t="s">
        <v>463</v>
      </c>
      <c r="C14" s="80">
        <v>10000</v>
      </c>
      <c r="D14" s="142">
        <v>1210</v>
      </c>
      <c r="E14" s="43">
        <v>0</v>
      </c>
      <c r="F14" s="60"/>
      <c r="G14" s="139">
        <f t="shared" si="1"/>
        <v>0</v>
      </c>
      <c r="H14" s="55">
        <f>22-22</f>
        <v>0</v>
      </c>
      <c r="I14" s="56">
        <f t="shared" si="2"/>
        <v>0</v>
      </c>
      <c r="J14" s="56">
        <f t="shared" si="3"/>
        <v>0</v>
      </c>
      <c r="K14" s="57">
        <f t="shared" si="4"/>
        <v>0</v>
      </c>
      <c r="L14"/>
      <c r="M14" s="314">
        <f t="shared" si="0"/>
        <v>0</v>
      </c>
      <c r="N14" s="310"/>
      <c r="O14" s="315"/>
      <c r="P14" s="315"/>
      <c r="Q14" s="315"/>
      <c r="R14" s="31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55"/>
      <c r="CZ14" s="55"/>
      <c r="DA14" s="55"/>
      <c r="DB14" s="55"/>
      <c r="DC14" s="55"/>
      <c r="DD14" s="55"/>
      <c r="DE14" s="55"/>
      <c r="DF14" s="55"/>
      <c r="DG14" s="55"/>
      <c r="DH14" s="55"/>
      <c r="DI14" s="55"/>
    </row>
    <row r="15" spans="1:113" x14ac:dyDescent="0.25">
      <c r="A15" s="152">
        <v>9</v>
      </c>
      <c r="B15" s="215" t="s">
        <v>737</v>
      </c>
      <c r="C15" s="80">
        <v>17500</v>
      </c>
      <c r="D15" s="142">
        <v>3190</v>
      </c>
      <c r="E15" s="43">
        <v>0</v>
      </c>
      <c r="F15" s="60"/>
      <c r="G15" s="139">
        <f t="shared" si="1"/>
        <v>0</v>
      </c>
      <c r="H15" s="55">
        <f>9-9</f>
        <v>0</v>
      </c>
      <c r="I15" s="56">
        <f t="shared" si="2"/>
        <v>0</v>
      </c>
      <c r="J15" s="56">
        <f t="shared" si="3"/>
        <v>0</v>
      </c>
      <c r="K15" s="57">
        <f t="shared" si="4"/>
        <v>0</v>
      </c>
      <c r="L15"/>
      <c r="M15" s="314">
        <f t="shared" si="0"/>
        <v>0</v>
      </c>
      <c r="N15" s="310"/>
      <c r="O15" s="315"/>
      <c r="P15" s="315"/>
      <c r="Q15" s="315"/>
      <c r="R15" s="31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c r="CN15" s="55"/>
      <c r="CO15" s="55"/>
      <c r="CP15" s="55"/>
      <c r="CQ15" s="55"/>
      <c r="CR15" s="55"/>
      <c r="CS15" s="55"/>
      <c r="CT15" s="55"/>
      <c r="CU15" s="55"/>
      <c r="CV15" s="55"/>
      <c r="CW15" s="55"/>
      <c r="CX15" s="55"/>
      <c r="CY15" s="55"/>
      <c r="CZ15" s="55"/>
      <c r="DA15" s="55"/>
      <c r="DB15" s="55"/>
      <c r="DC15" s="55"/>
      <c r="DD15" s="55"/>
      <c r="DE15" s="55"/>
      <c r="DF15" s="55"/>
      <c r="DG15" s="55"/>
      <c r="DH15" s="55"/>
      <c r="DI15" s="55"/>
    </row>
    <row r="16" spans="1:113" x14ac:dyDescent="0.25">
      <c r="A16" s="152">
        <v>10</v>
      </c>
      <c r="B16" s="216" t="s">
        <v>739</v>
      </c>
      <c r="C16" s="80">
        <v>30000</v>
      </c>
      <c r="D16" s="142">
        <v>6050</v>
      </c>
      <c r="E16" s="43">
        <v>0</v>
      </c>
      <c r="F16" s="60"/>
      <c r="G16" s="139">
        <f t="shared" si="1"/>
        <v>0</v>
      </c>
      <c r="H16" s="55">
        <f>4-4</f>
        <v>0</v>
      </c>
      <c r="I16" s="56">
        <f t="shared" si="2"/>
        <v>0</v>
      </c>
      <c r="J16" s="56">
        <f t="shared" si="3"/>
        <v>0</v>
      </c>
      <c r="K16" s="57">
        <f t="shared" si="4"/>
        <v>0</v>
      </c>
      <c r="L16"/>
      <c r="M16" s="314">
        <f t="shared" si="0"/>
        <v>0</v>
      </c>
      <c r="N16" s="310"/>
      <c r="O16" s="315"/>
      <c r="P16" s="315"/>
      <c r="Q16" s="315"/>
      <c r="R16" s="31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row>
    <row r="17" spans="1:113" x14ac:dyDescent="0.25">
      <c r="A17" s="152">
        <v>11</v>
      </c>
      <c r="B17" s="79" t="s">
        <v>464</v>
      </c>
      <c r="C17" s="80">
        <v>50000</v>
      </c>
      <c r="D17" s="142">
        <v>15620</v>
      </c>
      <c r="E17" s="43">
        <v>6</v>
      </c>
      <c r="F17" s="60">
        <f>37-37</f>
        <v>0</v>
      </c>
      <c r="G17" s="139">
        <f t="shared" si="1"/>
        <v>6</v>
      </c>
      <c r="H17" s="55">
        <f>37-37</f>
        <v>0</v>
      </c>
      <c r="I17" s="56">
        <f t="shared" si="2"/>
        <v>6</v>
      </c>
      <c r="J17" s="56">
        <f t="shared" si="3"/>
        <v>300000</v>
      </c>
      <c r="K17" s="57">
        <f t="shared" si="4"/>
        <v>93720</v>
      </c>
      <c r="L17"/>
      <c r="M17" s="321">
        <f t="shared" si="0"/>
        <v>0</v>
      </c>
      <c r="N17" s="312"/>
      <c r="O17" s="318"/>
      <c r="P17" s="318"/>
      <c r="Q17" s="318"/>
      <c r="R17" s="318"/>
      <c r="S17" s="108"/>
      <c r="T17" s="108"/>
      <c r="U17" s="108"/>
      <c r="V17" s="108"/>
      <c r="W17" s="108"/>
      <c r="X17" s="108"/>
      <c r="Y17" s="108"/>
      <c r="Z17" s="108"/>
      <c r="AA17" s="108"/>
      <c r="AB17" s="108"/>
      <c r="AC17" s="108"/>
      <c r="AD17" s="108"/>
      <c r="AE17" s="108"/>
      <c r="AF17" s="108"/>
      <c r="AG17" s="108"/>
      <c r="AH17" s="108"/>
      <c r="AI17" s="108"/>
      <c r="AJ17" s="108"/>
      <c r="AK17" s="108"/>
      <c r="AL17" s="108"/>
      <c r="AM17" s="108"/>
      <c r="AN17" s="108"/>
      <c r="AO17" s="108"/>
      <c r="AP17" s="108"/>
      <c r="AQ17" s="108"/>
      <c r="AR17" s="108"/>
      <c r="AS17" s="108"/>
      <c r="AT17" s="108"/>
      <c r="AU17" s="108"/>
      <c r="AV17" s="108"/>
      <c r="AW17" s="108"/>
      <c r="AX17" s="108"/>
      <c r="AY17" s="108"/>
      <c r="AZ17" s="108"/>
      <c r="BA17" s="108"/>
      <c r="BB17" s="108"/>
      <c r="BC17" s="108"/>
      <c r="BD17" s="108"/>
      <c r="BE17" s="108"/>
      <c r="BF17" s="108"/>
      <c r="BG17" s="108"/>
      <c r="BH17" s="108"/>
      <c r="BI17" s="108"/>
      <c r="BJ17" s="108"/>
      <c r="BK17" s="108"/>
      <c r="BL17" s="108"/>
      <c r="BM17" s="108"/>
      <c r="BN17" s="108"/>
      <c r="BO17" s="108"/>
      <c r="BP17" s="108"/>
      <c r="BQ17" s="108"/>
      <c r="BR17" s="108"/>
      <c r="BS17" s="108"/>
      <c r="BT17" s="108"/>
      <c r="BU17" s="108"/>
      <c r="BV17" s="108"/>
      <c r="BW17" s="108"/>
      <c r="BX17" s="108"/>
      <c r="BY17" s="108"/>
      <c r="BZ17" s="108"/>
      <c r="CA17" s="108"/>
      <c r="CB17" s="108"/>
      <c r="CC17" s="108"/>
      <c r="CD17" s="108"/>
      <c r="CE17" s="108"/>
      <c r="CF17" s="108"/>
      <c r="CG17" s="108"/>
      <c r="CH17" s="108"/>
      <c r="CI17" s="108"/>
      <c r="CJ17" s="108"/>
      <c r="CK17" s="108"/>
      <c r="CL17" s="108"/>
      <c r="CM17" s="108"/>
      <c r="CN17" s="108"/>
      <c r="CO17" s="108"/>
      <c r="CP17" s="108"/>
      <c r="CQ17" s="108"/>
      <c r="CR17" s="108"/>
      <c r="CS17" s="108"/>
      <c r="CT17" s="108"/>
      <c r="CU17" s="108"/>
      <c r="CV17" s="108"/>
      <c r="CW17" s="108"/>
      <c r="CX17" s="108"/>
      <c r="CY17" s="108"/>
      <c r="CZ17" s="108"/>
      <c r="DA17" s="108"/>
      <c r="DB17" s="108"/>
      <c r="DC17" s="108"/>
      <c r="DD17" s="108"/>
      <c r="DE17" s="108"/>
      <c r="DF17" s="108"/>
      <c r="DG17" s="108"/>
      <c r="DH17" s="108"/>
      <c r="DI17" s="108"/>
    </row>
    <row r="18" spans="1:113" x14ac:dyDescent="0.25">
      <c r="A18" s="152">
        <v>12</v>
      </c>
      <c r="B18" s="79" t="s">
        <v>465</v>
      </c>
      <c r="C18" s="80">
        <v>40000</v>
      </c>
      <c r="D18" s="142">
        <v>8580</v>
      </c>
      <c r="E18" s="43">
        <v>1</v>
      </c>
      <c r="F18" s="60">
        <f>14-14</f>
        <v>0</v>
      </c>
      <c r="G18" s="139">
        <f t="shared" si="1"/>
        <v>1</v>
      </c>
      <c r="H18" s="55">
        <f>14-14</f>
        <v>0</v>
      </c>
      <c r="I18" s="56">
        <f t="shared" si="2"/>
        <v>1</v>
      </c>
      <c r="J18" s="56">
        <f t="shared" si="3"/>
        <v>40000</v>
      </c>
      <c r="K18" s="57">
        <f t="shared" si="4"/>
        <v>8580</v>
      </c>
      <c r="L18"/>
      <c r="M18" s="321">
        <f t="shared" ref="M18:M24" si="5">SUM(N18:DJ18)</f>
        <v>0</v>
      </c>
      <c r="N18" s="312"/>
      <c r="O18" s="318"/>
      <c r="P18" s="318"/>
      <c r="Q18" s="318"/>
      <c r="R18" s="318"/>
      <c r="S18" s="108"/>
      <c r="T18" s="108"/>
      <c r="U18" s="108"/>
      <c r="V18" s="108"/>
      <c r="W18" s="108"/>
      <c r="X18" s="108"/>
      <c r="Y18" s="108"/>
      <c r="Z18" s="108"/>
      <c r="AA18" s="108"/>
      <c r="AB18" s="108"/>
      <c r="AC18" s="108"/>
      <c r="AD18" s="108"/>
      <c r="AE18" s="108"/>
      <c r="AF18" s="108"/>
      <c r="AG18" s="108"/>
      <c r="AH18" s="108"/>
      <c r="AI18" s="108"/>
      <c r="AJ18" s="108"/>
      <c r="AK18" s="108"/>
      <c r="AL18" s="108"/>
      <c r="AM18" s="108"/>
      <c r="AN18" s="108"/>
      <c r="AO18" s="108"/>
      <c r="AP18" s="108"/>
      <c r="AQ18" s="108"/>
      <c r="AR18" s="108"/>
      <c r="AS18" s="108"/>
      <c r="AT18" s="108"/>
      <c r="AU18" s="108"/>
      <c r="AV18" s="108"/>
      <c r="AW18" s="108"/>
      <c r="AX18" s="108"/>
      <c r="AY18" s="108"/>
      <c r="AZ18" s="108"/>
      <c r="BA18" s="108"/>
      <c r="BB18" s="108"/>
      <c r="BC18" s="108"/>
      <c r="BD18" s="108"/>
      <c r="BE18" s="108"/>
      <c r="BF18" s="108"/>
      <c r="BG18" s="108"/>
      <c r="BH18" s="108"/>
      <c r="BI18" s="108"/>
      <c r="BJ18" s="108"/>
      <c r="BK18" s="108"/>
      <c r="BL18" s="108"/>
      <c r="BM18" s="108"/>
      <c r="BN18" s="108"/>
      <c r="BO18" s="108"/>
      <c r="BP18" s="108"/>
      <c r="BQ18" s="108"/>
      <c r="BR18" s="108"/>
      <c r="BS18" s="108"/>
      <c r="BT18" s="108"/>
      <c r="BU18" s="108"/>
      <c r="BV18" s="108"/>
      <c r="BW18" s="108"/>
      <c r="BX18" s="108"/>
      <c r="BY18" s="108"/>
      <c r="BZ18" s="108"/>
      <c r="CA18" s="108"/>
      <c r="CB18" s="108"/>
      <c r="CC18" s="108"/>
      <c r="CD18" s="108"/>
      <c r="CE18" s="108"/>
      <c r="CF18" s="108"/>
      <c r="CG18" s="108"/>
      <c r="CH18" s="108"/>
      <c r="CI18" s="108"/>
      <c r="CJ18" s="108"/>
      <c r="CK18" s="108"/>
      <c r="CL18" s="108"/>
      <c r="CM18" s="108"/>
      <c r="CN18" s="108"/>
      <c r="CO18" s="108"/>
      <c r="CP18" s="108"/>
      <c r="CQ18" s="108"/>
      <c r="CR18" s="108"/>
      <c r="CS18" s="108"/>
      <c r="CT18" s="108"/>
      <c r="CU18" s="108"/>
      <c r="CV18" s="108"/>
      <c r="CW18" s="108"/>
      <c r="CX18" s="108"/>
      <c r="CY18" s="108"/>
      <c r="CZ18" s="108"/>
      <c r="DA18" s="108"/>
      <c r="DB18" s="108"/>
      <c r="DC18" s="108"/>
      <c r="DD18" s="108"/>
      <c r="DE18" s="108"/>
      <c r="DF18" s="108"/>
      <c r="DG18" s="108"/>
      <c r="DH18" s="108"/>
      <c r="DI18" s="108"/>
    </row>
    <row r="19" spans="1:113" x14ac:dyDescent="0.25">
      <c r="A19" s="152">
        <v>13</v>
      </c>
      <c r="B19" s="215" t="s">
        <v>466</v>
      </c>
      <c r="C19" s="80">
        <v>20000</v>
      </c>
      <c r="D19" s="142">
        <v>5940</v>
      </c>
      <c r="E19" s="43">
        <v>59</v>
      </c>
      <c r="F19" s="60"/>
      <c r="G19" s="139">
        <f t="shared" si="1"/>
        <v>59</v>
      </c>
      <c r="H19" s="55"/>
      <c r="I19" s="56">
        <f t="shared" si="2"/>
        <v>59</v>
      </c>
      <c r="J19" s="56">
        <f t="shared" si="3"/>
        <v>1180000</v>
      </c>
      <c r="K19" s="57">
        <f t="shared" si="4"/>
        <v>350460</v>
      </c>
      <c r="L19"/>
      <c r="M19" s="314">
        <f t="shared" si="5"/>
        <v>0</v>
      </c>
      <c r="N19" s="310"/>
      <c r="O19" s="315"/>
      <c r="P19" s="315"/>
      <c r="Q19" s="315"/>
      <c r="R19" s="31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row>
    <row r="20" spans="1:113" x14ac:dyDescent="0.25">
      <c r="A20" s="152">
        <v>14</v>
      </c>
      <c r="B20" s="216" t="s">
        <v>738</v>
      </c>
      <c r="C20" s="80">
        <v>60000</v>
      </c>
      <c r="D20" s="142">
        <v>17459.12</v>
      </c>
      <c r="E20" s="43">
        <v>7</v>
      </c>
      <c r="F20" s="60">
        <f>44-44</f>
        <v>0</v>
      </c>
      <c r="G20" s="139">
        <f t="shared" si="1"/>
        <v>7</v>
      </c>
      <c r="H20" s="55">
        <f>44-44</f>
        <v>0</v>
      </c>
      <c r="I20" s="56">
        <f t="shared" si="2"/>
        <v>7</v>
      </c>
      <c r="J20" s="56">
        <f t="shared" si="3"/>
        <v>420000</v>
      </c>
      <c r="K20" s="57">
        <f t="shared" si="4"/>
        <v>122213.84</v>
      </c>
      <c r="L20"/>
      <c r="M20" s="314">
        <f t="shared" si="5"/>
        <v>0</v>
      </c>
      <c r="N20" s="310"/>
      <c r="O20" s="315"/>
      <c r="P20" s="315"/>
      <c r="Q20" s="315"/>
      <c r="R20" s="31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row>
    <row r="21" spans="1:113" x14ac:dyDescent="0.25">
      <c r="A21" s="152">
        <v>15</v>
      </c>
      <c r="B21" s="216" t="s">
        <v>467</v>
      </c>
      <c r="C21" s="80">
        <v>70000</v>
      </c>
      <c r="D21" s="142">
        <v>31466</v>
      </c>
      <c r="E21" s="43">
        <v>3</v>
      </c>
      <c r="F21" s="60">
        <f>43-43</f>
        <v>0</v>
      </c>
      <c r="G21" s="139">
        <f t="shared" si="1"/>
        <v>3</v>
      </c>
      <c r="H21" s="55">
        <f>43-43</f>
        <v>0</v>
      </c>
      <c r="I21" s="56">
        <f t="shared" si="2"/>
        <v>3</v>
      </c>
      <c r="J21" s="56">
        <f t="shared" si="3"/>
        <v>210000</v>
      </c>
      <c r="K21" s="57">
        <f t="shared" si="4"/>
        <v>94398</v>
      </c>
      <c r="L21"/>
      <c r="M21" s="314">
        <f t="shared" si="5"/>
        <v>0</v>
      </c>
      <c r="N21" s="310"/>
      <c r="O21" s="315"/>
      <c r="P21" s="315"/>
      <c r="Q21" s="315"/>
      <c r="R21" s="31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row>
    <row r="22" spans="1:113" x14ac:dyDescent="0.25">
      <c r="A22" s="152">
        <v>16</v>
      </c>
      <c r="B22" s="115" t="s">
        <v>468</v>
      </c>
      <c r="C22" s="116">
        <v>45000</v>
      </c>
      <c r="D22" s="190">
        <v>9676.75</v>
      </c>
      <c r="E22" s="122">
        <v>12</v>
      </c>
      <c r="F22" s="121"/>
      <c r="G22" s="169">
        <f t="shared" si="1"/>
        <v>12</v>
      </c>
      <c r="H22" s="108"/>
      <c r="I22" s="109">
        <f t="shared" si="2"/>
        <v>12</v>
      </c>
      <c r="J22" s="109">
        <f t="shared" si="3"/>
        <v>540000</v>
      </c>
      <c r="K22" s="110">
        <f t="shared" si="4"/>
        <v>116121</v>
      </c>
      <c r="L22"/>
      <c r="M22" s="314">
        <f t="shared" si="5"/>
        <v>0</v>
      </c>
      <c r="N22" s="310"/>
      <c r="O22" s="315"/>
      <c r="P22" s="315"/>
      <c r="Q22" s="315"/>
      <c r="R22" s="31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row>
    <row r="23" spans="1:113" x14ac:dyDescent="0.25">
      <c r="A23" s="152">
        <v>17</v>
      </c>
      <c r="B23" s="115" t="s">
        <v>865</v>
      </c>
      <c r="C23" s="116">
        <v>15000</v>
      </c>
      <c r="D23" s="190"/>
      <c r="E23" s="122">
        <v>0</v>
      </c>
      <c r="F23" s="121">
        <f>24-24</f>
        <v>0</v>
      </c>
      <c r="G23" s="169">
        <f t="shared" si="1"/>
        <v>0</v>
      </c>
      <c r="H23" s="108">
        <f>24-24</f>
        <v>0</v>
      </c>
      <c r="I23" s="109">
        <f t="shared" ref="I23:I26" si="6">+G23-H23</f>
        <v>0</v>
      </c>
      <c r="J23" s="109">
        <f t="shared" ref="J23:J26" si="7">I23*C23</f>
        <v>0</v>
      </c>
      <c r="K23" s="110">
        <f t="shared" ref="K23:K26" si="8">+D23*I23</f>
        <v>0</v>
      </c>
      <c r="L23"/>
      <c r="M23" s="314">
        <f t="shared" si="5"/>
        <v>0</v>
      </c>
      <c r="N23" s="310"/>
      <c r="O23" s="315"/>
      <c r="P23" s="315"/>
      <c r="Q23" s="315"/>
      <c r="R23" s="31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5"/>
      <c r="DF23" s="55"/>
      <c r="DG23" s="55"/>
      <c r="DH23" s="55"/>
      <c r="DI23" s="55"/>
    </row>
    <row r="24" spans="1:113" x14ac:dyDescent="0.25">
      <c r="A24" s="152">
        <v>18</v>
      </c>
      <c r="B24" s="275" t="s">
        <v>866</v>
      </c>
      <c r="C24" s="116">
        <v>45000</v>
      </c>
      <c r="D24" s="190"/>
      <c r="E24" s="122">
        <v>0</v>
      </c>
      <c r="F24" s="121">
        <f>85-85</f>
        <v>0</v>
      </c>
      <c r="G24" s="169">
        <f t="shared" si="1"/>
        <v>0</v>
      </c>
      <c r="H24" s="108">
        <f>85-85</f>
        <v>0</v>
      </c>
      <c r="I24" s="109">
        <f t="shared" si="6"/>
        <v>0</v>
      </c>
      <c r="J24" s="109">
        <f t="shared" si="7"/>
        <v>0</v>
      </c>
      <c r="K24" s="110">
        <f t="shared" si="8"/>
        <v>0</v>
      </c>
      <c r="L24"/>
      <c r="M24" s="321">
        <f t="shared" si="5"/>
        <v>0</v>
      </c>
      <c r="N24" s="312"/>
      <c r="O24" s="318"/>
      <c r="P24" s="318"/>
      <c r="Q24" s="318"/>
      <c r="R24" s="318"/>
      <c r="S24" s="108"/>
      <c r="T24" s="108"/>
      <c r="U24" s="108"/>
      <c r="V24" s="108"/>
      <c r="W24" s="108"/>
      <c r="X24" s="108"/>
      <c r="Y24" s="108"/>
      <c r="Z24" s="108"/>
      <c r="AA24" s="108"/>
      <c r="AB24" s="108"/>
      <c r="AC24" s="108"/>
      <c r="AD24" s="108"/>
      <c r="AE24" s="108"/>
      <c r="AF24" s="108"/>
      <c r="AG24" s="108"/>
      <c r="AH24" s="108"/>
      <c r="AI24" s="108"/>
      <c r="AJ24" s="108"/>
      <c r="AK24" s="108"/>
      <c r="AL24" s="108"/>
      <c r="AM24" s="108"/>
      <c r="AN24" s="108"/>
      <c r="AO24" s="108"/>
      <c r="AP24" s="108"/>
      <c r="AQ24" s="108"/>
      <c r="AR24" s="108"/>
      <c r="AS24" s="108"/>
      <c r="AT24" s="108"/>
      <c r="AU24" s="108"/>
      <c r="AV24" s="108"/>
      <c r="AW24" s="108"/>
      <c r="AX24" s="108"/>
      <c r="AY24" s="108"/>
      <c r="AZ24" s="108"/>
      <c r="BA24" s="108"/>
      <c r="BB24" s="108"/>
      <c r="BC24" s="108"/>
      <c r="BD24" s="108"/>
      <c r="BE24" s="108"/>
      <c r="BF24" s="108"/>
      <c r="BG24" s="108"/>
      <c r="BH24" s="108"/>
      <c r="BI24" s="108"/>
      <c r="BJ24" s="108"/>
      <c r="BK24" s="108"/>
      <c r="BL24" s="108"/>
      <c r="BM24" s="108"/>
      <c r="BN24" s="108"/>
      <c r="BO24" s="108"/>
      <c r="BP24" s="108"/>
      <c r="BQ24" s="108"/>
      <c r="BR24" s="108"/>
      <c r="BS24" s="108"/>
      <c r="BT24" s="108"/>
      <c r="BU24" s="108"/>
      <c r="BV24" s="108"/>
      <c r="BW24" s="108"/>
      <c r="BX24" s="108"/>
      <c r="BY24" s="108"/>
      <c r="BZ24" s="108"/>
      <c r="CA24" s="108"/>
      <c r="CB24" s="108"/>
      <c r="CC24" s="108"/>
      <c r="CD24" s="108"/>
      <c r="CE24" s="108"/>
      <c r="CF24" s="108"/>
      <c r="CG24" s="108"/>
      <c r="CH24" s="108"/>
      <c r="CI24" s="108"/>
      <c r="CJ24" s="108"/>
      <c r="CK24" s="108"/>
      <c r="CL24" s="108"/>
      <c r="CM24" s="108"/>
      <c r="CN24" s="108"/>
      <c r="CO24" s="108"/>
      <c r="CP24" s="108"/>
      <c r="CQ24" s="108"/>
      <c r="CR24" s="108"/>
      <c r="CS24" s="108"/>
      <c r="CT24" s="108"/>
      <c r="CU24" s="108"/>
      <c r="CV24" s="108"/>
      <c r="CW24" s="108"/>
      <c r="CX24" s="108"/>
      <c r="CY24" s="108"/>
      <c r="CZ24" s="108"/>
      <c r="DA24" s="108"/>
      <c r="DB24" s="108"/>
      <c r="DC24" s="108"/>
      <c r="DD24" s="108"/>
      <c r="DE24" s="108"/>
      <c r="DF24" s="108"/>
      <c r="DG24" s="108"/>
      <c r="DH24" s="108"/>
      <c r="DI24" s="108"/>
    </row>
    <row r="25" spans="1:113" x14ac:dyDescent="0.25">
      <c r="A25" s="152">
        <v>19</v>
      </c>
      <c r="B25" s="79" t="s">
        <v>867</v>
      </c>
      <c r="C25" s="80">
        <v>40000</v>
      </c>
      <c r="D25" s="190"/>
      <c r="E25" s="122">
        <v>0</v>
      </c>
      <c r="F25" s="121">
        <f>29-29</f>
        <v>0</v>
      </c>
      <c r="G25" s="169">
        <f t="shared" si="1"/>
        <v>0</v>
      </c>
      <c r="H25" s="108">
        <f>29-29</f>
        <v>0</v>
      </c>
      <c r="I25" s="109">
        <f t="shared" si="6"/>
        <v>0</v>
      </c>
      <c r="J25" s="109">
        <f t="shared" si="7"/>
        <v>0</v>
      </c>
      <c r="K25" s="110">
        <f t="shared" si="8"/>
        <v>0</v>
      </c>
      <c r="L25"/>
      <c r="M25" s="314">
        <f t="shared" ref="M25:M28" si="9">SUM(N25:DJ25)</f>
        <v>0</v>
      </c>
      <c r="N25" s="310"/>
      <c r="O25" s="315"/>
      <c r="P25" s="315"/>
      <c r="Q25" s="315"/>
      <c r="R25" s="31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55"/>
      <c r="CZ25" s="55"/>
      <c r="DA25" s="55"/>
      <c r="DB25" s="55"/>
      <c r="DC25" s="55"/>
      <c r="DD25" s="55"/>
      <c r="DE25" s="55"/>
      <c r="DF25" s="55"/>
      <c r="DG25" s="55"/>
      <c r="DH25" s="55"/>
      <c r="DI25" s="55"/>
    </row>
    <row r="26" spans="1:113" x14ac:dyDescent="0.25">
      <c r="A26" s="152">
        <v>20</v>
      </c>
      <c r="B26" s="79" t="s">
        <v>868</v>
      </c>
      <c r="C26" s="116">
        <v>35000</v>
      </c>
      <c r="D26" s="190"/>
      <c r="E26" s="122">
        <v>0</v>
      </c>
      <c r="F26" s="121">
        <f>63-53-10</f>
        <v>0</v>
      </c>
      <c r="G26" s="169">
        <f t="shared" si="1"/>
        <v>0</v>
      </c>
      <c r="H26" s="108">
        <f>63-63</f>
        <v>0</v>
      </c>
      <c r="I26" s="109">
        <f t="shared" si="6"/>
        <v>0</v>
      </c>
      <c r="J26" s="109">
        <f t="shared" si="7"/>
        <v>0</v>
      </c>
      <c r="K26" s="110">
        <f t="shared" si="8"/>
        <v>0</v>
      </c>
      <c r="L26"/>
      <c r="M26" s="314">
        <f t="shared" si="9"/>
        <v>0</v>
      </c>
      <c r="N26" s="310"/>
      <c r="O26" s="315"/>
      <c r="P26" s="315"/>
      <c r="Q26" s="315"/>
      <c r="R26" s="31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5"/>
      <c r="CG26" s="55"/>
      <c r="CH26" s="55"/>
      <c r="CI26" s="55"/>
      <c r="CJ26" s="55"/>
      <c r="CK26" s="55"/>
      <c r="CL26" s="55"/>
      <c r="CM26" s="55"/>
      <c r="CN26" s="55"/>
      <c r="CO26" s="55"/>
      <c r="CP26" s="55"/>
      <c r="CQ26" s="55"/>
      <c r="CR26" s="55"/>
      <c r="CS26" s="55"/>
      <c r="CT26" s="55"/>
      <c r="CU26" s="55"/>
      <c r="CV26" s="55"/>
      <c r="CW26" s="55"/>
      <c r="CX26" s="55"/>
      <c r="CY26" s="55"/>
      <c r="CZ26" s="55"/>
      <c r="DA26" s="55"/>
      <c r="DB26" s="55"/>
      <c r="DC26" s="55"/>
      <c r="DD26" s="55"/>
      <c r="DE26" s="55"/>
      <c r="DF26" s="55"/>
      <c r="DG26" s="55"/>
      <c r="DH26" s="55"/>
      <c r="DI26" s="55"/>
    </row>
    <row r="27" spans="1:113" ht="15.75" thickBot="1" x14ac:dyDescent="0.3">
      <c r="A27" s="152">
        <v>21</v>
      </c>
      <c r="B27" s="217" t="s">
        <v>869</v>
      </c>
      <c r="C27" s="82">
        <v>100000</v>
      </c>
      <c r="D27" s="145"/>
      <c r="E27" s="154">
        <v>0</v>
      </c>
      <c r="F27" s="156">
        <f>12-12</f>
        <v>0</v>
      </c>
      <c r="G27" s="147">
        <f t="shared" si="1"/>
        <v>0</v>
      </c>
      <c r="H27" s="58">
        <f>12-12</f>
        <v>0</v>
      </c>
      <c r="I27" s="64">
        <f t="shared" si="2"/>
        <v>0</v>
      </c>
      <c r="J27" s="64">
        <f t="shared" si="3"/>
        <v>0</v>
      </c>
      <c r="K27" s="65">
        <f t="shared" si="4"/>
        <v>0</v>
      </c>
      <c r="L27"/>
      <c r="M27" s="321">
        <f t="shared" si="9"/>
        <v>0</v>
      </c>
      <c r="N27" s="312"/>
      <c r="O27" s="318"/>
      <c r="P27" s="318"/>
      <c r="Q27" s="318"/>
      <c r="R27" s="318"/>
      <c r="S27" s="108"/>
      <c r="T27" s="108"/>
      <c r="U27" s="108"/>
      <c r="V27" s="108"/>
      <c r="W27" s="108"/>
      <c r="X27" s="108"/>
      <c r="Y27" s="108"/>
      <c r="Z27" s="108"/>
      <c r="AA27" s="108"/>
      <c r="AB27" s="108"/>
      <c r="AC27" s="108"/>
      <c r="AD27" s="108"/>
      <c r="AE27" s="108"/>
      <c r="AF27" s="108"/>
      <c r="AG27" s="108"/>
      <c r="AH27" s="108"/>
      <c r="AI27" s="108"/>
      <c r="AJ27" s="108"/>
      <c r="AK27" s="108"/>
      <c r="AL27" s="108"/>
      <c r="AM27" s="108"/>
      <c r="AN27" s="108"/>
      <c r="AO27" s="108"/>
      <c r="AP27" s="108"/>
      <c r="AQ27" s="108"/>
      <c r="AR27" s="108"/>
      <c r="AS27" s="108"/>
      <c r="AT27" s="108"/>
      <c r="AU27" s="108"/>
      <c r="AV27" s="108"/>
      <c r="AW27" s="108"/>
      <c r="AX27" s="108"/>
      <c r="AY27" s="108"/>
      <c r="AZ27" s="108"/>
      <c r="BA27" s="108"/>
      <c r="BB27" s="108"/>
      <c r="BC27" s="108"/>
      <c r="BD27" s="108"/>
      <c r="BE27" s="108"/>
      <c r="BF27" s="108"/>
      <c r="BG27" s="108"/>
      <c r="BH27" s="108"/>
      <c r="BI27" s="108"/>
      <c r="BJ27" s="108"/>
      <c r="BK27" s="108"/>
      <c r="BL27" s="108"/>
      <c r="BM27" s="108"/>
      <c r="BN27" s="108"/>
      <c r="BO27" s="108"/>
      <c r="BP27" s="108"/>
      <c r="BQ27" s="108"/>
      <c r="BR27" s="108"/>
      <c r="BS27" s="108"/>
      <c r="BT27" s="108"/>
      <c r="BU27" s="108"/>
      <c r="BV27" s="108"/>
      <c r="BW27" s="108"/>
      <c r="BX27" s="108"/>
      <c r="BY27" s="108"/>
      <c r="BZ27" s="108"/>
      <c r="CA27" s="108"/>
      <c r="CB27" s="108"/>
      <c r="CC27" s="108"/>
      <c r="CD27" s="108"/>
      <c r="CE27" s="108"/>
      <c r="CF27" s="108"/>
      <c r="CG27" s="108"/>
      <c r="CH27" s="108"/>
      <c r="CI27" s="108"/>
      <c r="CJ27" s="108"/>
      <c r="CK27" s="108"/>
      <c r="CL27" s="108"/>
      <c r="CM27" s="108"/>
      <c r="CN27" s="108"/>
      <c r="CO27" s="108"/>
      <c r="CP27" s="108"/>
      <c r="CQ27" s="108"/>
      <c r="CR27" s="108"/>
      <c r="CS27" s="108"/>
      <c r="CT27" s="108"/>
      <c r="CU27" s="108"/>
      <c r="CV27" s="108"/>
      <c r="CW27" s="108"/>
      <c r="CX27" s="108"/>
      <c r="CY27" s="108"/>
      <c r="CZ27" s="108"/>
      <c r="DA27" s="108"/>
      <c r="DB27" s="108"/>
      <c r="DC27" s="108"/>
      <c r="DD27" s="108"/>
      <c r="DE27" s="108"/>
      <c r="DF27" s="108"/>
      <c r="DG27" s="108"/>
      <c r="DH27" s="108"/>
      <c r="DI27" s="108"/>
    </row>
    <row r="28" spans="1:113" ht="15.75" thickBot="1" x14ac:dyDescent="0.3">
      <c r="A28" s="128"/>
      <c r="B28" s="119" t="s">
        <v>718</v>
      </c>
      <c r="C28" s="36"/>
      <c r="D28" s="36"/>
      <c r="E28" s="29">
        <f>SUM(E7:E27)</f>
        <v>291</v>
      </c>
      <c r="F28" s="29">
        <f>SUM(F7:F27)</f>
        <v>0</v>
      </c>
      <c r="G28" s="36">
        <f>SUM(G7:G27)</f>
        <v>291</v>
      </c>
      <c r="H28" s="29">
        <f>SUM(H7:H27)</f>
        <v>0</v>
      </c>
      <c r="I28" s="29">
        <f>SUM(I7:I27)</f>
        <v>291</v>
      </c>
      <c r="J28" s="29">
        <f t="shared" ref="J28:K28" si="10">SUM(J7:J27)</f>
        <v>4722500</v>
      </c>
      <c r="K28" s="47">
        <f t="shared" si="10"/>
        <v>1740264.93</v>
      </c>
      <c r="L28"/>
      <c r="M28" s="322">
        <f t="shared" si="9"/>
        <v>0</v>
      </c>
      <c r="N28" s="325"/>
      <c r="O28" s="325"/>
      <c r="P28" s="325"/>
      <c r="Q28" s="325"/>
      <c r="R28" s="325"/>
      <c r="S28" s="324"/>
      <c r="T28" s="324"/>
      <c r="U28" s="324"/>
      <c r="V28" s="324"/>
      <c r="W28" s="324"/>
      <c r="X28" s="324"/>
      <c r="Y28" s="324"/>
      <c r="Z28" s="324"/>
      <c r="AA28" s="324"/>
      <c r="AB28" s="324"/>
      <c r="AC28" s="324"/>
      <c r="AD28" s="324"/>
      <c r="AE28" s="324"/>
      <c r="AF28" s="324"/>
      <c r="AG28" s="324"/>
      <c r="AH28" s="324"/>
      <c r="AI28" s="324"/>
      <c r="AJ28" s="324"/>
      <c r="AK28" s="324"/>
      <c r="AL28" s="324"/>
      <c r="AM28" s="324"/>
      <c r="AN28" s="324"/>
      <c r="AO28" s="324"/>
      <c r="AP28" s="324"/>
      <c r="AQ28" s="324"/>
      <c r="AR28" s="324"/>
      <c r="AS28" s="324"/>
      <c r="AT28" s="324"/>
      <c r="AU28" s="324"/>
      <c r="AV28" s="324"/>
      <c r="AW28" s="324"/>
      <c r="AX28" s="324"/>
      <c r="AY28" s="324"/>
      <c r="AZ28" s="324"/>
      <c r="BA28" s="324"/>
      <c r="BB28" s="324"/>
      <c r="BC28" s="324"/>
      <c r="BD28" s="324"/>
      <c r="BE28" s="324"/>
      <c r="BF28" s="324"/>
      <c r="BG28" s="324"/>
      <c r="BH28" s="324"/>
      <c r="BI28" s="324"/>
      <c r="BJ28" s="324"/>
      <c r="BK28" s="324"/>
      <c r="BL28" s="324"/>
      <c r="BM28" s="324"/>
      <c r="BN28" s="324"/>
      <c r="BO28" s="324"/>
      <c r="BP28" s="324"/>
      <c r="BQ28" s="324"/>
      <c r="BR28" s="324"/>
      <c r="BS28" s="324"/>
      <c r="BT28" s="324"/>
      <c r="BU28" s="324"/>
      <c r="BV28" s="324"/>
      <c r="BW28" s="324"/>
      <c r="BX28" s="324"/>
      <c r="BY28" s="324"/>
      <c r="BZ28" s="324"/>
      <c r="CA28" s="324"/>
      <c r="CB28" s="324"/>
      <c r="CC28" s="324"/>
      <c r="CD28" s="324"/>
      <c r="CE28" s="324"/>
      <c r="CF28" s="324"/>
      <c r="CG28" s="324"/>
      <c r="CH28" s="324"/>
      <c r="CI28" s="324"/>
      <c r="CJ28" s="324"/>
      <c r="CK28" s="324"/>
      <c r="CL28" s="324"/>
      <c r="CM28" s="324"/>
      <c r="CN28" s="324"/>
      <c r="CO28" s="324"/>
      <c r="CP28" s="324"/>
      <c r="CQ28" s="324"/>
      <c r="CR28" s="324"/>
      <c r="CS28" s="324"/>
      <c r="CT28" s="324"/>
      <c r="CU28" s="324"/>
      <c r="CV28" s="324"/>
      <c r="CW28" s="324"/>
      <c r="CX28" s="324"/>
      <c r="CY28" s="324"/>
      <c r="CZ28" s="324"/>
      <c r="DA28" s="324"/>
      <c r="DB28" s="324"/>
      <c r="DC28" s="324"/>
      <c r="DD28" s="324"/>
      <c r="DE28" s="324"/>
      <c r="DF28" s="324"/>
      <c r="DG28" s="324"/>
      <c r="DH28" s="324"/>
      <c r="DI28" s="324"/>
    </row>
    <row r="29" spans="1:113" ht="15.75" thickBot="1" x14ac:dyDescent="0.3">
      <c r="B29" s="161"/>
      <c r="C29" s="162"/>
      <c r="D29" s="163"/>
      <c r="E29" s="164"/>
      <c r="F29" s="67"/>
      <c r="G29" s="164"/>
      <c r="H29" s="164"/>
      <c r="I29" s="164"/>
      <c r="J29" s="164"/>
      <c r="K29" s="163"/>
      <c r="L29"/>
      <c r="M29"/>
      <c r="N29"/>
      <c r="O29"/>
      <c r="P29"/>
      <c r="Q29"/>
      <c r="R29"/>
      <c r="S29"/>
      <c r="T29"/>
      <c r="U29"/>
      <c r="V29"/>
      <c r="W29"/>
      <c r="X29"/>
      <c r="Y29"/>
      <c r="Z29"/>
    </row>
    <row r="30" spans="1:113" ht="15.75" thickBot="1" x14ac:dyDescent="0.3">
      <c r="A30" s="407" t="s">
        <v>657</v>
      </c>
      <c r="B30" s="414" t="s">
        <v>708</v>
      </c>
      <c r="C30" s="414" t="s">
        <v>1</v>
      </c>
      <c r="D30" s="415" t="s">
        <v>649</v>
      </c>
      <c r="E30" s="416" t="s">
        <v>19</v>
      </c>
      <c r="F30" s="416"/>
      <c r="G30" s="416"/>
      <c r="H30" s="416"/>
      <c r="I30" s="416"/>
      <c r="J30" s="410" t="s">
        <v>21</v>
      </c>
      <c r="K30" s="417" t="s">
        <v>602</v>
      </c>
      <c r="L30"/>
      <c r="M30" s="400" t="s">
        <v>601</v>
      </c>
      <c r="N30" s="404" t="s">
        <v>924</v>
      </c>
      <c r="O30" s="405"/>
      <c r="P30" s="405"/>
      <c r="Q30" s="405"/>
      <c r="R30" s="405"/>
      <c r="S30" s="405"/>
      <c r="T30" s="405"/>
      <c r="U30" s="405"/>
      <c r="V30" s="405"/>
      <c r="W30" s="405"/>
      <c r="X30" s="405"/>
      <c r="Y30" s="405"/>
      <c r="Z30" s="405"/>
      <c r="AA30" s="405"/>
      <c r="AB30" s="405"/>
      <c r="AC30" s="405"/>
      <c r="AD30" s="405"/>
      <c r="AE30" s="405"/>
      <c r="AF30" s="405"/>
      <c r="AG30" s="405"/>
      <c r="AH30" s="405"/>
      <c r="AI30" s="405"/>
      <c r="AJ30" s="405"/>
      <c r="AK30" s="405"/>
      <c r="AL30" s="405"/>
      <c r="AM30" s="405"/>
      <c r="AN30" s="405"/>
      <c r="AO30" s="405"/>
      <c r="AP30" s="405"/>
      <c r="AQ30" s="405"/>
      <c r="AR30" s="405"/>
      <c r="AS30" s="405"/>
      <c r="AT30" s="405"/>
      <c r="AU30" s="405"/>
      <c r="AV30" s="405"/>
      <c r="AW30" s="405"/>
      <c r="AX30" s="405"/>
      <c r="AY30" s="405"/>
      <c r="AZ30" s="405"/>
      <c r="BA30" s="405"/>
      <c r="BB30" s="405"/>
      <c r="BC30" s="405"/>
      <c r="BD30" s="405"/>
      <c r="BE30" s="405"/>
      <c r="BF30" s="405"/>
      <c r="BG30" s="405"/>
      <c r="BH30" s="405"/>
      <c r="BI30" s="405"/>
      <c r="BJ30" s="405"/>
      <c r="BK30" s="405"/>
      <c r="BL30" s="405"/>
      <c r="BM30" s="405"/>
      <c r="BN30" s="405"/>
      <c r="BO30" s="405"/>
      <c r="BP30" s="405"/>
      <c r="BQ30" s="405"/>
      <c r="BR30" s="405"/>
      <c r="BS30" s="405"/>
      <c r="BT30" s="405"/>
      <c r="BU30" s="405"/>
      <c r="BV30" s="405"/>
      <c r="BW30" s="405"/>
      <c r="BX30" s="405"/>
      <c r="BY30" s="405"/>
      <c r="BZ30" s="405"/>
      <c r="CA30" s="405"/>
      <c r="CB30" s="405"/>
      <c r="CC30" s="405"/>
      <c r="CD30" s="405"/>
      <c r="CE30" s="405"/>
      <c r="CF30" s="405"/>
      <c r="CG30" s="405"/>
      <c r="CH30" s="405"/>
      <c r="CI30" s="405"/>
      <c r="CJ30" s="405"/>
      <c r="CK30" s="405"/>
      <c r="CL30" s="405"/>
      <c r="CM30" s="405"/>
      <c r="CN30" s="405"/>
      <c r="CO30" s="405"/>
      <c r="CP30" s="405"/>
      <c r="CQ30" s="405"/>
      <c r="CR30" s="405"/>
      <c r="CS30" s="405"/>
      <c r="CT30" s="405"/>
      <c r="CU30" s="405"/>
      <c r="CV30" s="405"/>
      <c r="CW30" s="405"/>
      <c r="CX30" s="405"/>
      <c r="CY30" s="405"/>
      <c r="CZ30" s="405"/>
      <c r="DA30" s="405"/>
      <c r="DB30" s="405"/>
      <c r="DC30" s="405"/>
      <c r="DD30" s="405"/>
      <c r="DE30" s="405"/>
      <c r="DF30" s="405"/>
      <c r="DG30" s="405"/>
      <c r="DH30" s="405"/>
      <c r="DI30" s="406"/>
    </row>
    <row r="31" spans="1:113" ht="45.75" thickBot="1" x14ac:dyDescent="0.3">
      <c r="A31" s="408"/>
      <c r="B31" s="414"/>
      <c r="C31" s="414"/>
      <c r="D31" s="415"/>
      <c r="E31" s="68" t="s">
        <v>22</v>
      </c>
      <c r="F31" s="68" t="s">
        <v>600</v>
      </c>
      <c r="G31" s="68" t="s">
        <v>601</v>
      </c>
      <c r="H31" s="68" t="s">
        <v>589</v>
      </c>
      <c r="I31" s="68" t="s">
        <v>601</v>
      </c>
      <c r="J31" s="411"/>
      <c r="K31" s="418"/>
      <c r="L31"/>
      <c r="M31" s="401"/>
      <c r="N31" s="400" t="s">
        <v>925</v>
      </c>
      <c r="O31" s="400" t="s">
        <v>926</v>
      </c>
      <c r="P31" s="400"/>
      <c r="Q31" s="400"/>
      <c r="R31" s="400"/>
      <c r="S31" s="398"/>
      <c r="T31" s="398"/>
      <c r="U31" s="398"/>
      <c r="V31" s="398"/>
      <c r="W31" s="398"/>
      <c r="X31" s="398"/>
      <c r="Y31" s="398"/>
      <c r="Z31" s="398"/>
      <c r="AA31" s="398"/>
      <c r="AB31" s="398"/>
      <c r="AC31" s="398"/>
      <c r="AD31" s="398"/>
      <c r="AE31" s="398"/>
      <c r="AF31" s="398"/>
      <c r="AG31" s="398"/>
      <c r="AH31" s="398"/>
      <c r="AI31" s="398"/>
      <c r="AJ31" s="398"/>
      <c r="AK31" s="398"/>
      <c r="AL31" s="398"/>
      <c r="AM31" s="398"/>
      <c r="AN31" s="398"/>
      <c r="AO31" s="398"/>
      <c r="AP31" s="398"/>
      <c r="AQ31" s="398"/>
      <c r="AR31" s="398"/>
      <c r="AS31" s="398"/>
      <c r="AT31" s="398"/>
      <c r="AU31" s="398"/>
      <c r="AV31" s="398"/>
      <c r="AW31" s="398"/>
      <c r="AX31" s="398"/>
      <c r="AY31" s="398"/>
      <c r="AZ31" s="398"/>
      <c r="BA31" s="398"/>
      <c r="BB31" s="398"/>
      <c r="BC31" s="398"/>
      <c r="BD31" s="398"/>
      <c r="BE31" s="398"/>
      <c r="BF31" s="398"/>
      <c r="BG31" s="398"/>
      <c r="BH31" s="398"/>
      <c r="BI31" s="398"/>
      <c r="BJ31" s="398"/>
      <c r="BK31" s="398"/>
      <c r="BL31" s="398"/>
      <c r="BM31" s="398"/>
      <c r="BN31" s="398"/>
      <c r="BO31" s="398"/>
      <c r="BP31" s="398"/>
      <c r="BQ31" s="398"/>
      <c r="BR31" s="398"/>
      <c r="BS31" s="398"/>
      <c r="BT31" s="398"/>
      <c r="BU31" s="398"/>
      <c r="BV31" s="398"/>
      <c r="BW31" s="398"/>
      <c r="BX31" s="398"/>
      <c r="BY31" s="398"/>
      <c r="BZ31" s="398"/>
      <c r="CA31" s="398"/>
      <c r="CB31" s="398"/>
      <c r="CC31" s="398"/>
      <c r="CD31" s="398"/>
      <c r="CE31" s="398"/>
      <c r="CF31" s="398"/>
      <c r="CG31" s="398"/>
      <c r="CH31" s="398"/>
      <c r="CI31" s="398"/>
      <c r="CJ31" s="398"/>
      <c r="CK31" s="398"/>
      <c r="CL31" s="398"/>
      <c r="CM31" s="398"/>
      <c r="CN31" s="398"/>
      <c r="CO31" s="398"/>
      <c r="CP31" s="398"/>
      <c r="CQ31" s="398"/>
      <c r="CR31" s="398"/>
      <c r="CS31" s="398"/>
      <c r="CT31" s="398"/>
      <c r="CU31" s="398"/>
      <c r="CV31" s="398"/>
      <c r="CW31" s="398"/>
      <c r="CX31" s="398"/>
      <c r="CY31" s="398"/>
      <c r="CZ31" s="398"/>
      <c r="DA31" s="398"/>
      <c r="DB31" s="398"/>
      <c r="DC31" s="398"/>
      <c r="DD31" s="398"/>
      <c r="DE31" s="398"/>
      <c r="DF31" s="398"/>
      <c r="DG31" s="398"/>
      <c r="DH31" s="398"/>
      <c r="DI31" s="398"/>
    </row>
    <row r="32" spans="1:113" ht="15.75" thickBot="1" x14ac:dyDescent="0.3">
      <c r="A32" s="409"/>
      <c r="B32" s="185">
        <v>1</v>
      </c>
      <c r="C32" s="185">
        <v>2</v>
      </c>
      <c r="D32" s="185">
        <v>3</v>
      </c>
      <c r="E32" s="70">
        <v>4</v>
      </c>
      <c r="F32" s="70">
        <f>+E32+1</f>
        <v>5</v>
      </c>
      <c r="G32" s="70" t="s">
        <v>652</v>
      </c>
      <c r="H32" s="70">
        <v>7</v>
      </c>
      <c r="I32" s="71" t="s">
        <v>651</v>
      </c>
      <c r="J32" s="42" t="s">
        <v>650</v>
      </c>
      <c r="K32" s="42" t="s">
        <v>653</v>
      </c>
      <c r="L32"/>
      <c r="M32" s="402"/>
      <c r="N32" s="402"/>
      <c r="O32" s="402"/>
      <c r="P32" s="402"/>
      <c r="Q32" s="402"/>
      <c r="R32" s="402"/>
      <c r="S32" s="399"/>
      <c r="T32" s="399"/>
      <c r="U32" s="399"/>
      <c r="V32" s="399"/>
      <c r="W32" s="399"/>
      <c r="X32" s="399"/>
      <c r="Y32" s="399"/>
      <c r="Z32" s="399"/>
      <c r="AA32" s="399"/>
      <c r="AB32" s="399"/>
      <c r="AC32" s="399"/>
      <c r="AD32" s="399"/>
      <c r="AE32" s="399"/>
      <c r="AF32" s="399"/>
      <c r="AG32" s="399"/>
      <c r="AH32" s="399"/>
      <c r="AI32" s="399"/>
      <c r="AJ32" s="399"/>
      <c r="AK32" s="399"/>
      <c r="AL32" s="399"/>
      <c r="AM32" s="399"/>
      <c r="AN32" s="399"/>
      <c r="AO32" s="399"/>
      <c r="AP32" s="399"/>
      <c r="AQ32" s="399"/>
      <c r="AR32" s="399"/>
      <c r="AS32" s="399"/>
      <c r="AT32" s="399"/>
      <c r="AU32" s="399"/>
      <c r="AV32" s="399"/>
      <c r="AW32" s="399"/>
      <c r="AX32" s="399"/>
      <c r="AY32" s="399"/>
      <c r="AZ32" s="399"/>
      <c r="BA32" s="399"/>
      <c r="BB32" s="399"/>
      <c r="BC32" s="399"/>
      <c r="BD32" s="399"/>
      <c r="BE32" s="399"/>
      <c r="BF32" s="399"/>
      <c r="BG32" s="399"/>
      <c r="BH32" s="399"/>
      <c r="BI32" s="399"/>
      <c r="BJ32" s="399"/>
      <c r="BK32" s="399"/>
      <c r="BL32" s="399"/>
      <c r="BM32" s="399"/>
      <c r="BN32" s="399"/>
      <c r="BO32" s="399"/>
      <c r="BP32" s="399"/>
      <c r="BQ32" s="399"/>
      <c r="BR32" s="399"/>
      <c r="BS32" s="399"/>
      <c r="BT32" s="399"/>
      <c r="BU32" s="399"/>
      <c r="BV32" s="399"/>
      <c r="BW32" s="399"/>
      <c r="BX32" s="399"/>
      <c r="BY32" s="399"/>
      <c r="BZ32" s="399"/>
      <c r="CA32" s="399"/>
      <c r="CB32" s="399"/>
      <c r="CC32" s="399"/>
      <c r="CD32" s="399"/>
      <c r="CE32" s="399"/>
      <c r="CF32" s="399"/>
      <c r="CG32" s="399"/>
      <c r="CH32" s="399"/>
      <c r="CI32" s="399"/>
      <c r="CJ32" s="399"/>
      <c r="CK32" s="399"/>
      <c r="CL32" s="399"/>
      <c r="CM32" s="399"/>
      <c r="CN32" s="399"/>
      <c r="CO32" s="399"/>
      <c r="CP32" s="399"/>
      <c r="CQ32" s="399"/>
      <c r="CR32" s="399"/>
      <c r="CS32" s="399"/>
      <c r="CT32" s="399"/>
      <c r="CU32" s="399"/>
      <c r="CV32" s="399"/>
      <c r="CW32" s="399"/>
      <c r="CX32" s="399"/>
      <c r="CY32" s="399"/>
      <c r="CZ32" s="399"/>
      <c r="DA32" s="399"/>
      <c r="DB32" s="399"/>
      <c r="DC32" s="399"/>
      <c r="DD32" s="399"/>
      <c r="DE32" s="399"/>
      <c r="DF32" s="399"/>
      <c r="DG32" s="399"/>
      <c r="DH32" s="399"/>
      <c r="DI32" s="399"/>
    </row>
    <row r="33" spans="1:113" x14ac:dyDescent="0.25">
      <c r="A33" s="160"/>
      <c r="B33" s="54"/>
      <c r="C33" s="54"/>
      <c r="D33" s="54"/>
      <c r="E33" s="54"/>
      <c r="F33" s="54"/>
      <c r="G33" s="54"/>
      <c r="H33" s="54"/>
      <c r="I33" s="54"/>
      <c r="J33" s="54"/>
      <c r="K33" s="54"/>
      <c r="L33"/>
      <c r="M33" s="314">
        <f t="shared" ref="M33:M41" si="11">SUM(N33:DJ33)</f>
        <v>0</v>
      </c>
      <c r="N33" s="310"/>
      <c r="O33" s="315"/>
      <c r="P33" s="315"/>
      <c r="Q33" s="315"/>
      <c r="R33" s="31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row>
    <row r="34" spans="1:113" x14ac:dyDescent="0.25">
      <c r="A34" s="152">
        <v>1</v>
      </c>
      <c r="B34" s="79" t="s">
        <v>469</v>
      </c>
      <c r="C34" s="80">
        <v>100000</v>
      </c>
      <c r="D34" s="142">
        <v>30910</v>
      </c>
      <c r="E34" s="43">
        <v>0</v>
      </c>
      <c r="F34" s="60">
        <f>98-98+99-99+30-30</f>
        <v>0</v>
      </c>
      <c r="G34" s="139">
        <f t="shared" ref="G34:G44" si="12">+E34+F34</f>
        <v>0</v>
      </c>
      <c r="H34" s="55">
        <f>98-98+99-99+30-30</f>
        <v>0</v>
      </c>
      <c r="I34" s="56">
        <f t="shared" ref="I34:I44" si="13">+G34-H34</f>
        <v>0</v>
      </c>
      <c r="J34" s="56">
        <f t="shared" ref="J34:J44" si="14">I34*C34</f>
        <v>0</v>
      </c>
      <c r="K34" s="57">
        <f t="shared" ref="K34:K44" si="15">+D34*I34</f>
        <v>0</v>
      </c>
      <c r="L34"/>
      <c r="M34" s="314">
        <f t="shared" si="11"/>
        <v>0</v>
      </c>
      <c r="N34" s="310"/>
      <c r="O34" s="315"/>
      <c r="P34" s="315"/>
      <c r="Q34" s="315"/>
      <c r="R34" s="31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row>
    <row r="35" spans="1:113" x14ac:dyDescent="0.25">
      <c r="A35" s="152">
        <v>2</v>
      </c>
      <c r="B35" s="79" t="s">
        <v>470</v>
      </c>
      <c r="C35" s="80">
        <v>75000</v>
      </c>
      <c r="D35" s="142">
        <v>12773</v>
      </c>
      <c r="E35" s="43">
        <v>0</v>
      </c>
      <c r="F35" s="60">
        <f>17-17</f>
        <v>0</v>
      </c>
      <c r="G35" s="139">
        <f t="shared" si="12"/>
        <v>0</v>
      </c>
      <c r="H35" s="55">
        <f>47-47+17-17</f>
        <v>0</v>
      </c>
      <c r="I35" s="56">
        <f t="shared" si="13"/>
        <v>0</v>
      </c>
      <c r="J35" s="56">
        <f t="shared" si="14"/>
        <v>0</v>
      </c>
      <c r="K35" s="57">
        <f t="shared" si="15"/>
        <v>0</v>
      </c>
      <c r="L35"/>
      <c r="M35" s="314">
        <f t="shared" si="11"/>
        <v>0</v>
      </c>
      <c r="N35" s="310"/>
      <c r="O35" s="315"/>
      <c r="P35" s="315"/>
      <c r="Q35" s="315"/>
      <c r="R35" s="31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c r="CN35" s="55"/>
      <c r="CO35" s="55"/>
      <c r="CP35" s="55"/>
      <c r="CQ35" s="55"/>
      <c r="CR35" s="55"/>
      <c r="CS35" s="55"/>
      <c r="CT35" s="55"/>
      <c r="CU35" s="55"/>
      <c r="CV35" s="55"/>
      <c r="CW35" s="55"/>
      <c r="CX35" s="55"/>
      <c r="CY35" s="55"/>
      <c r="CZ35" s="55"/>
      <c r="DA35" s="55"/>
      <c r="DB35" s="55"/>
      <c r="DC35" s="55"/>
      <c r="DD35" s="55"/>
      <c r="DE35" s="55"/>
      <c r="DF35" s="55"/>
      <c r="DG35" s="55"/>
      <c r="DH35" s="55"/>
      <c r="DI35" s="55"/>
    </row>
    <row r="36" spans="1:113" x14ac:dyDescent="0.25">
      <c r="A36" s="152">
        <v>3</v>
      </c>
      <c r="B36" s="79" t="s">
        <v>471</v>
      </c>
      <c r="C36" s="80">
        <v>2000</v>
      </c>
      <c r="D36" s="142">
        <v>613.49</v>
      </c>
      <c r="E36" s="43">
        <v>0</v>
      </c>
      <c r="F36" s="60"/>
      <c r="G36" s="139">
        <f t="shared" si="12"/>
        <v>0</v>
      </c>
      <c r="H36" s="55"/>
      <c r="I36" s="56">
        <f t="shared" si="13"/>
        <v>0</v>
      </c>
      <c r="J36" s="56">
        <f t="shared" si="14"/>
        <v>0</v>
      </c>
      <c r="K36" s="57">
        <f t="shared" si="15"/>
        <v>0</v>
      </c>
      <c r="L36"/>
      <c r="M36" s="314">
        <f t="shared" si="11"/>
        <v>0</v>
      </c>
      <c r="N36" s="310"/>
      <c r="O36" s="315"/>
      <c r="P36" s="315"/>
      <c r="Q36" s="315"/>
      <c r="R36" s="31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55"/>
      <c r="CB36" s="55"/>
      <c r="CC36" s="55"/>
      <c r="CD36" s="55"/>
      <c r="CE36" s="55"/>
      <c r="CF36" s="55"/>
      <c r="CG36" s="55"/>
      <c r="CH36" s="55"/>
      <c r="CI36" s="55"/>
      <c r="CJ36" s="55"/>
      <c r="CK36" s="55"/>
      <c r="CL36" s="55"/>
      <c r="CM36" s="55"/>
      <c r="CN36" s="55"/>
      <c r="CO36" s="55"/>
      <c r="CP36" s="55"/>
      <c r="CQ36" s="55"/>
      <c r="CR36" s="55"/>
      <c r="CS36" s="55"/>
      <c r="CT36" s="55"/>
      <c r="CU36" s="55"/>
      <c r="CV36" s="55"/>
      <c r="CW36" s="55"/>
      <c r="CX36" s="55"/>
      <c r="CY36" s="55"/>
      <c r="CZ36" s="55"/>
      <c r="DA36" s="55"/>
      <c r="DB36" s="55"/>
      <c r="DC36" s="55"/>
      <c r="DD36" s="55"/>
      <c r="DE36" s="55"/>
      <c r="DF36" s="55"/>
      <c r="DG36" s="55"/>
      <c r="DH36" s="55"/>
      <c r="DI36" s="55"/>
    </row>
    <row r="37" spans="1:113" x14ac:dyDescent="0.25">
      <c r="A37" s="152">
        <v>4</v>
      </c>
      <c r="B37" s="215" t="s">
        <v>472</v>
      </c>
      <c r="C37" s="80">
        <v>5000</v>
      </c>
      <c r="D37" s="142">
        <v>1002</v>
      </c>
      <c r="E37" s="43">
        <v>1200</v>
      </c>
      <c r="F37" s="60"/>
      <c r="G37" s="139">
        <f t="shared" si="12"/>
        <v>1200</v>
      </c>
      <c r="H37" s="55"/>
      <c r="I37" s="56">
        <f t="shared" si="13"/>
        <v>1200</v>
      </c>
      <c r="J37" s="56">
        <f t="shared" si="14"/>
        <v>6000000</v>
      </c>
      <c r="K37" s="57">
        <f t="shared" si="15"/>
        <v>1202400</v>
      </c>
      <c r="L37"/>
      <c r="M37" s="314">
        <f t="shared" si="11"/>
        <v>0</v>
      </c>
      <c r="N37" s="310"/>
      <c r="O37" s="315"/>
      <c r="P37" s="315"/>
      <c r="Q37" s="315"/>
      <c r="R37" s="31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55"/>
      <c r="CB37" s="55"/>
      <c r="CC37" s="55"/>
      <c r="CD37" s="55"/>
      <c r="CE37" s="55"/>
      <c r="CF37" s="55"/>
      <c r="CG37" s="55"/>
      <c r="CH37" s="55"/>
      <c r="CI37" s="55"/>
      <c r="CJ37" s="55"/>
      <c r="CK37" s="55"/>
      <c r="CL37" s="55"/>
      <c r="CM37" s="55"/>
      <c r="CN37" s="55"/>
      <c r="CO37" s="55"/>
      <c r="CP37" s="55"/>
      <c r="CQ37" s="55"/>
      <c r="CR37" s="55"/>
      <c r="CS37" s="55"/>
      <c r="CT37" s="55"/>
      <c r="CU37" s="55"/>
      <c r="CV37" s="55"/>
      <c r="CW37" s="55"/>
      <c r="CX37" s="55"/>
      <c r="CY37" s="55"/>
      <c r="CZ37" s="55"/>
      <c r="DA37" s="55"/>
      <c r="DB37" s="55"/>
      <c r="DC37" s="55"/>
      <c r="DD37" s="55"/>
      <c r="DE37" s="55"/>
      <c r="DF37" s="55"/>
      <c r="DG37" s="55"/>
      <c r="DH37" s="55"/>
      <c r="DI37" s="55"/>
    </row>
    <row r="38" spans="1:113" x14ac:dyDescent="0.25">
      <c r="A38" s="152">
        <v>5</v>
      </c>
      <c r="B38" s="79" t="s">
        <v>473</v>
      </c>
      <c r="C38" s="80">
        <v>50000</v>
      </c>
      <c r="D38" s="142">
        <f>1837+11000</f>
        <v>12837</v>
      </c>
      <c r="E38" s="43">
        <v>0</v>
      </c>
      <c r="F38" s="60"/>
      <c r="G38" s="139">
        <f t="shared" si="12"/>
        <v>0</v>
      </c>
      <c r="H38" s="55"/>
      <c r="I38" s="56">
        <f t="shared" si="13"/>
        <v>0</v>
      </c>
      <c r="J38" s="56">
        <f t="shared" si="14"/>
        <v>0</v>
      </c>
      <c r="K38" s="57">
        <f t="shared" si="15"/>
        <v>0</v>
      </c>
      <c r="L38"/>
      <c r="M38" s="314">
        <f t="shared" si="11"/>
        <v>0</v>
      </c>
      <c r="N38" s="310"/>
      <c r="O38" s="315"/>
      <c r="P38" s="315"/>
      <c r="Q38" s="315"/>
      <c r="R38" s="31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55"/>
      <c r="CZ38" s="55"/>
      <c r="DA38" s="55"/>
      <c r="DB38" s="55"/>
      <c r="DC38" s="55"/>
      <c r="DD38" s="55"/>
      <c r="DE38" s="55"/>
      <c r="DF38" s="55"/>
      <c r="DG38" s="55"/>
      <c r="DH38" s="55"/>
      <c r="DI38" s="55"/>
    </row>
    <row r="39" spans="1:113" x14ac:dyDescent="0.25">
      <c r="A39" s="152">
        <v>6</v>
      </c>
      <c r="B39" s="79" t="s">
        <v>474</v>
      </c>
      <c r="C39" s="80">
        <v>250000</v>
      </c>
      <c r="D39" s="142">
        <v>29835.67</v>
      </c>
      <c r="E39" s="43">
        <v>461</v>
      </c>
      <c r="F39" s="60"/>
      <c r="G39" s="139">
        <f t="shared" si="12"/>
        <v>461</v>
      </c>
      <c r="H39" s="55"/>
      <c r="I39" s="56">
        <f t="shared" si="13"/>
        <v>461</v>
      </c>
      <c r="J39" s="56">
        <f t="shared" si="14"/>
        <v>115250000</v>
      </c>
      <c r="K39" s="57">
        <f t="shared" si="15"/>
        <v>13754243.869999999</v>
      </c>
      <c r="L39"/>
      <c r="M39" s="314">
        <f t="shared" si="11"/>
        <v>0</v>
      </c>
      <c r="N39" s="310"/>
      <c r="O39" s="315"/>
      <c r="P39" s="315"/>
      <c r="Q39" s="315"/>
      <c r="R39" s="31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55"/>
      <c r="CZ39" s="55"/>
      <c r="DA39" s="55"/>
      <c r="DB39" s="55"/>
      <c r="DC39" s="55"/>
      <c r="DD39" s="55"/>
      <c r="DE39" s="55"/>
      <c r="DF39" s="55"/>
      <c r="DG39" s="55"/>
      <c r="DH39" s="55"/>
      <c r="DI39" s="55"/>
    </row>
    <row r="40" spans="1:113" x14ac:dyDescent="0.25">
      <c r="A40" s="152">
        <v>7</v>
      </c>
      <c r="B40" s="79" t="s">
        <v>475</v>
      </c>
      <c r="C40" s="80">
        <v>25000</v>
      </c>
      <c r="D40" s="142">
        <v>992.22</v>
      </c>
      <c r="E40" s="43">
        <v>40</v>
      </c>
      <c r="F40" s="60"/>
      <c r="G40" s="139">
        <f t="shared" si="12"/>
        <v>40</v>
      </c>
      <c r="H40" s="55"/>
      <c r="I40" s="56">
        <f t="shared" si="13"/>
        <v>40</v>
      </c>
      <c r="J40" s="56">
        <f t="shared" si="14"/>
        <v>1000000</v>
      </c>
      <c r="K40" s="57">
        <f t="shared" si="15"/>
        <v>39688.800000000003</v>
      </c>
      <c r="L40"/>
      <c r="M40" s="314">
        <f t="shared" si="11"/>
        <v>0</v>
      </c>
      <c r="N40" s="310"/>
      <c r="O40" s="315"/>
      <c r="P40" s="315"/>
      <c r="Q40" s="315"/>
      <c r="R40" s="31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row>
    <row r="41" spans="1:113" x14ac:dyDescent="0.25">
      <c r="A41" s="152">
        <v>8</v>
      </c>
      <c r="B41" s="79" t="s">
        <v>476</v>
      </c>
      <c r="C41" s="80">
        <v>7000</v>
      </c>
      <c r="D41" s="142">
        <v>677.89</v>
      </c>
      <c r="E41" s="43">
        <v>166</v>
      </c>
      <c r="F41" s="60"/>
      <c r="G41" s="139">
        <f t="shared" si="12"/>
        <v>166</v>
      </c>
      <c r="H41" s="55"/>
      <c r="I41" s="56">
        <f t="shared" si="13"/>
        <v>166</v>
      </c>
      <c r="J41" s="56">
        <f t="shared" si="14"/>
        <v>1162000</v>
      </c>
      <c r="K41" s="57">
        <f t="shared" si="15"/>
        <v>112529.73999999999</v>
      </c>
      <c r="L41"/>
      <c r="M41" s="314">
        <f t="shared" si="11"/>
        <v>0</v>
      </c>
      <c r="N41" s="310"/>
      <c r="O41" s="315"/>
      <c r="P41" s="315"/>
      <c r="Q41" s="315"/>
      <c r="R41" s="31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row>
    <row r="42" spans="1:113" x14ac:dyDescent="0.25">
      <c r="A42" s="152">
        <v>9</v>
      </c>
      <c r="B42" s="215" t="s">
        <v>477</v>
      </c>
      <c r="C42" s="80">
        <v>65000</v>
      </c>
      <c r="D42" s="142">
        <f>3112.12*4+9625</f>
        <v>22073.48</v>
      </c>
      <c r="E42" s="43">
        <v>0</v>
      </c>
      <c r="F42" s="60"/>
      <c r="G42" s="139">
        <f t="shared" si="12"/>
        <v>0</v>
      </c>
      <c r="H42" s="55"/>
      <c r="I42" s="56">
        <f t="shared" si="13"/>
        <v>0</v>
      </c>
      <c r="J42" s="56">
        <f t="shared" si="14"/>
        <v>0</v>
      </c>
      <c r="K42" s="57">
        <f t="shared" si="15"/>
        <v>0</v>
      </c>
      <c r="L42"/>
      <c r="M42" s="314">
        <f t="shared" ref="M42:M45" si="16">SUM(N42:DJ42)</f>
        <v>0</v>
      </c>
      <c r="N42" s="310"/>
      <c r="O42" s="315"/>
      <c r="P42" s="315"/>
      <c r="Q42" s="315"/>
      <c r="R42" s="31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55"/>
      <c r="CZ42" s="55"/>
      <c r="DA42" s="55"/>
      <c r="DB42" s="55"/>
      <c r="DC42" s="55"/>
      <c r="DD42" s="55"/>
      <c r="DE42" s="55"/>
      <c r="DF42" s="55"/>
      <c r="DG42" s="55"/>
      <c r="DH42" s="55"/>
      <c r="DI42" s="55"/>
    </row>
    <row r="43" spans="1:113" x14ac:dyDescent="0.25">
      <c r="A43" s="152">
        <v>10</v>
      </c>
      <c r="B43" s="215" t="s">
        <v>478</v>
      </c>
      <c r="C43" s="80">
        <v>5000</v>
      </c>
      <c r="D43" s="142">
        <v>9625</v>
      </c>
      <c r="E43" s="43">
        <v>725</v>
      </c>
      <c r="F43" s="60"/>
      <c r="G43" s="139">
        <f t="shared" si="12"/>
        <v>725</v>
      </c>
      <c r="H43" s="55"/>
      <c r="I43" s="56">
        <f t="shared" si="13"/>
        <v>725</v>
      </c>
      <c r="J43" s="56">
        <f t="shared" si="14"/>
        <v>3625000</v>
      </c>
      <c r="K43" s="57">
        <f t="shared" si="15"/>
        <v>6978125</v>
      </c>
      <c r="L43"/>
      <c r="M43" s="314">
        <f t="shared" si="16"/>
        <v>0</v>
      </c>
      <c r="N43" s="310"/>
      <c r="O43" s="315"/>
      <c r="P43" s="315"/>
      <c r="Q43" s="315"/>
      <c r="R43" s="31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c r="CN43" s="55"/>
      <c r="CO43" s="55"/>
      <c r="CP43" s="55"/>
      <c r="CQ43" s="55"/>
      <c r="CR43" s="55"/>
      <c r="CS43" s="55"/>
      <c r="CT43" s="55"/>
      <c r="CU43" s="55"/>
      <c r="CV43" s="55"/>
      <c r="CW43" s="55"/>
      <c r="CX43" s="55"/>
      <c r="CY43" s="55"/>
      <c r="CZ43" s="55"/>
      <c r="DA43" s="55"/>
      <c r="DB43" s="55"/>
      <c r="DC43" s="55"/>
      <c r="DD43" s="55"/>
      <c r="DE43" s="55"/>
      <c r="DF43" s="55"/>
      <c r="DG43" s="55"/>
      <c r="DH43" s="55"/>
      <c r="DI43" s="55"/>
    </row>
    <row r="44" spans="1:113" ht="15.75" thickBot="1" x14ac:dyDescent="0.3">
      <c r="A44" s="153">
        <v>11</v>
      </c>
      <c r="B44" s="144" t="s">
        <v>479</v>
      </c>
      <c r="C44" s="82">
        <v>110000</v>
      </c>
      <c r="D44" s="145">
        <v>45000</v>
      </c>
      <c r="E44" s="154">
        <v>0</v>
      </c>
      <c r="F44" s="156">
        <f>25-25</f>
        <v>0</v>
      </c>
      <c r="G44" s="147">
        <f t="shared" si="12"/>
        <v>0</v>
      </c>
      <c r="H44" s="58">
        <f>258-258+25-25</f>
        <v>0</v>
      </c>
      <c r="I44" s="64">
        <f t="shared" si="13"/>
        <v>0</v>
      </c>
      <c r="J44" s="64">
        <f t="shared" si="14"/>
        <v>0</v>
      </c>
      <c r="K44" s="65">
        <f t="shared" si="15"/>
        <v>0</v>
      </c>
      <c r="L44"/>
      <c r="M44" s="321">
        <f t="shared" si="16"/>
        <v>0</v>
      </c>
      <c r="N44" s="312"/>
      <c r="O44" s="318"/>
      <c r="P44" s="318"/>
      <c r="Q44" s="318"/>
      <c r="R44" s="318"/>
      <c r="S44" s="108"/>
      <c r="T44" s="108"/>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c r="AT44" s="108"/>
      <c r="AU44" s="108"/>
      <c r="AV44" s="108"/>
      <c r="AW44" s="108"/>
      <c r="AX44" s="108"/>
      <c r="AY44" s="108"/>
      <c r="AZ44" s="108"/>
      <c r="BA44" s="108"/>
      <c r="BB44" s="108"/>
      <c r="BC44" s="108"/>
      <c r="BD44" s="108"/>
      <c r="BE44" s="108"/>
      <c r="BF44" s="108"/>
      <c r="BG44" s="108"/>
      <c r="BH44" s="108"/>
      <c r="BI44" s="108"/>
      <c r="BJ44" s="108"/>
      <c r="BK44" s="108"/>
      <c r="BL44" s="108"/>
      <c r="BM44" s="108"/>
      <c r="BN44" s="108"/>
      <c r="BO44" s="108"/>
      <c r="BP44" s="108"/>
      <c r="BQ44" s="108"/>
      <c r="BR44" s="108"/>
      <c r="BS44" s="108"/>
      <c r="BT44" s="108"/>
      <c r="BU44" s="108"/>
      <c r="BV44" s="108"/>
      <c r="BW44" s="108"/>
      <c r="BX44" s="108"/>
      <c r="BY44" s="108"/>
      <c r="BZ44" s="108"/>
      <c r="CA44" s="108"/>
      <c r="CB44" s="108"/>
      <c r="CC44" s="108"/>
      <c r="CD44" s="108"/>
      <c r="CE44" s="108"/>
      <c r="CF44" s="108"/>
      <c r="CG44" s="108"/>
      <c r="CH44" s="108"/>
      <c r="CI44" s="108"/>
      <c r="CJ44" s="108"/>
      <c r="CK44" s="108"/>
      <c r="CL44" s="108"/>
      <c r="CM44" s="108"/>
      <c r="CN44" s="108"/>
      <c r="CO44" s="108"/>
      <c r="CP44" s="108"/>
      <c r="CQ44" s="108"/>
      <c r="CR44" s="108"/>
      <c r="CS44" s="108"/>
      <c r="CT44" s="108"/>
      <c r="CU44" s="108"/>
      <c r="CV44" s="108"/>
      <c r="CW44" s="108"/>
      <c r="CX44" s="108"/>
      <c r="CY44" s="108"/>
      <c r="CZ44" s="108"/>
      <c r="DA44" s="108"/>
      <c r="DB44" s="108"/>
      <c r="DC44" s="108"/>
      <c r="DD44" s="108"/>
      <c r="DE44" s="108"/>
      <c r="DF44" s="108"/>
      <c r="DG44" s="108"/>
      <c r="DH44" s="108"/>
      <c r="DI44" s="108"/>
    </row>
    <row r="45" spans="1:113" ht="15.75" thickBot="1" x14ac:dyDescent="0.3">
      <c r="A45" s="128"/>
      <c r="B45" s="119" t="s">
        <v>666</v>
      </c>
      <c r="C45" s="36"/>
      <c r="D45" s="36"/>
      <c r="E45" s="29">
        <f>SUM(E34:E44)</f>
        <v>2592</v>
      </c>
      <c r="F45" s="29">
        <f>SUM(F34:F44)</f>
        <v>0</v>
      </c>
      <c r="G45" s="29">
        <f>SUM(G34:G44)</f>
        <v>2592</v>
      </c>
      <c r="H45" s="29">
        <f>SUM(H34:H44)</f>
        <v>0</v>
      </c>
      <c r="I45" s="29">
        <f>SUM(I34:I44)</f>
        <v>2592</v>
      </c>
      <c r="J45" s="29">
        <f t="shared" ref="J45:K45" si="17">SUM(J34:J44)</f>
        <v>127037000</v>
      </c>
      <c r="K45" s="47">
        <f t="shared" si="17"/>
        <v>22086987.41</v>
      </c>
      <c r="L45"/>
      <c r="M45" s="322">
        <f t="shared" si="16"/>
        <v>0</v>
      </c>
      <c r="N45" s="325"/>
      <c r="O45" s="325"/>
      <c r="P45" s="325"/>
      <c r="Q45" s="325"/>
      <c r="R45" s="325"/>
      <c r="S45" s="324"/>
      <c r="T45" s="324"/>
      <c r="U45" s="324"/>
      <c r="V45" s="324"/>
      <c r="W45" s="324"/>
      <c r="X45" s="324"/>
      <c r="Y45" s="324"/>
      <c r="Z45" s="324"/>
      <c r="AA45" s="324"/>
      <c r="AB45" s="324"/>
      <c r="AC45" s="324"/>
      <c r="AD45" s="324"/>
      <c r="AE45" s="324"/>
      <c r="AF45" s="324"/>
      <c r="AG45" s="324"/>
      <c r="AH45" s="324"/>
      <c r="AI45" s="324"/>
      <c r="AJ45" s="324"/>
      <c r="AK45" s="324"/>
      <c r="AL45" s="324"/>
      <c r="AM45" s="324"/>
      <c r="AN45" s="324"/>
      <c r="AO45" s="324"/>
      <c r="AP45" s="324"/>
      <c r="AQ45" s="324"/>
      <c r="AR45" s="324"/>
      <c r="AS45" s="324"/>
      <c r="AT45" s="324"/>
      <c r="AU45" s="324"/>
      <c r="AV45" s="324"/>
      <c r="AW45" s="324"/>
      <c r="AX45" s="324"/>
      <c r="AY45" s="324"/>
      <c r="AZ45" s="324"/>
      <c r="BA45" s="324"/>
      <c r="BB45" s="324"/>
      <c r="BC45" s="324"/>
      <c r="BD45" s="324"/>
      <c r="BE45" s="324"/>
      <c r="BF45" s="324"/>
      <c r="BG45" s="324"/>
      <c r="BH45" s="324"/>
      <c r="BI45" s="324"/>
      <c r="BJ45" s="324"/>
      <c r="BK45" s="324"/>
      <c r="BL45" s="324"/>
      <c r="BM45" s="324"/>
      <c r="BN45" s="324"/>
      <c r="BO45" s="324"/>
      <c r="BP45" s="324"/>
      <c r="BQ45" s="324"/>
      <c r="BR45" s="324"/>
      <c r="BS45" s="324"/>
      <c r="BT45" s="324"/>
      <c r="BU45" s="324"/>
      <c r="BV45" s="324"/>
      <c r="BW45" s="324"/>
      <c r="BX45" s="324"/>
      <c r="BY45" s="324"/>
      <c r="BZ45" s="324"/>
      <c r="CA45" s="324"/>
      <c r="CB45" s="324"/>
      <c r="CC45" s="324"/>
      <c r="CD45" s="324"/>
      <c r="CE45" s="324"/>
      <c r="CF45" s="324"/>
      <c r="CG45" s="324"/>
      <c r="CH45" s="324"/>
      <c r="CI45" s="324"/>
      <c r="CJ45" s="324"/>
      <c r="CK45" s="324"/>
      <c r="CL45" s="324"/>
      <c r="CM45" s="324"/>
      <c r="CN45" s="324"/>
      <c r="CO45" s="324"/>
      <c r="CP45" s="324"/>
      <c r="CQ45" s="324"/>
      <c r="CR45" s="324"/>
      <c r="CS45" s="324"/>
      <c r="CT45" s="324"/>
      <c r="CU45" s="324"/>
      <c r="CV45" s="324"/>
      <c r="CW45" s="324"/>
      <c r="CX45" s="324"/>
      <c r="CY45" s="324"/>
      <c r="CZ45" s="324"/>
      <c r="DA45" s="324"/>
      <c r="DB45" s="324"/>
      <c r="DC45" s="324"/>
      <c r="DD45" s="324"/>
      <c r="DE45" s="324"/>
      <c r="DF45" s="324"/>
      <c r="DG45" s="324"/>
      <c r="DH45" s="324"/>
      <c r="DI45" s="324"/>
    </row>
    <row r="46" spans="1:113" ht="15.75" thickBot="1" x14ac:dyDescent="0.3">
      <c r="B46" s="161"/>
      <c r="C46" s="162"/>
      <c r="D46" s="163"/>
      <c r="E46" s="164"/>
      <c r="F46" s="67"/>
      <c r="G46" s="164"/>
      <c r="H46" s="164"/>
      <c r="I46" s="164"/>
      <c r="J46" s="164"/>
      <c r="K46" s="163"/>
      <c r="L46"/>
      <c r="M46"/>
      <c r="N46"/>
      <c r="O46"/>
      <c r="P46"/>
      <c r="Q46"/>
      <c r="R46"/>
      <c r="S46"/>
      <c r="T46"/>
      <c r="U46"/>
      <c r="V46"/>
      <c r="W46"/>
      <c r="X46"/>
      <c r="Y46"/>
      <c r="Z46"/>
    </row>
    <row r="47" spans="1:113" ht="15.75" thickBot="1" x14ac:dyDescent="0.3">
      <c r="A47" s="407" t="s">
        <v>657</v>
      </c>
      <c r="B47" s="414" t="s">
        <v>708</v>
      </c>
      <c r="C47" s="414" t="s">
        <v>1</v>
      </c>
      <c r="D47" s="415" t="s">
        <v>649</v>
      </c>
      <c r="E47" s="416" t="s">
        <v>19</v>
      </c>
      <c r="F47" s="416"/>
      <c r="G47" s="416"/>
      <c r="H47" s="416"/>
      <c r="I47" s="416"/>
      <c r="J47" s="410" t="s">
        <v>21</v>
      </c>
      <c r="K47" s="417" t="s">
        <v>602</v>
      </c>
      <c r="L47"/>
      <c r="M47" s="400" t="s">
        <v>601</v>
      </c>
      <c r="N47" s="404" t="s">
        <v>924</v>
      </c>
      <c r="O47" s="405"/>
      <c r="P47" s="405"/>
      <c r="Q47" s="405"/>
      <c r="R47" s="405"/>
      <c r="S47" s="405"/>
      <c r="T47" s="405"/>
      <c r="U47" s="405"/>
      <c r="V47" s="405"/>
      <c r="W47" s="405"/>
      <c r="X47" s="405"/>
      <c r="Y47" s="405"/>
      <c r="Z47" s="405"/>
      <c r="AA47" s="405"/>
      <c r="AB47" s="405"/>
      <c r="AC47" s="405"/>
      <c r="AD47" s="405"/>
      <c r="AE47" s="405"/>
      <c r="AF47" s="405"/>
      <c r="AG47" s="405"/>
      <c r="AH47" s="405"/>
      <c r="AI47" s="405"/>
      <c r="AJ47" s="405"/>
      <c r="AK47" s="405"/>
      <c r="AL47" s="405"/>
      <c r="AM47" s="405"/>
      <c r="AN47" s="405"/>
      <c r="AO47" s="405"/>
      <c r="AP47" s="405"/>
      <c r="AQ47" s="405"/>
      <c r="AR47" s="405"/>
      <c r="AS47" s="405"/>
      <c r="AT47" s="405"/>
      <c r="AU47" s="405"/>
      <c r="AV47" s="405"/>
      <c r="AW47" s="405"/>
      <c r="AX47" s="405"/>
      <c r="AY47" s="405"/>
      <c r="AZ47" s="405"/>
      <c r="BA47" s="405"/>
      <c r="BB47" s="405"/>
      <c r="BC47" s="405"/>
      <c r="BD47" s="405"/>
      <c r="BE47" s="405"/>
      <c r="BF47" s="405"/>
      <c r="BG47" s="405"/>
      <c r="BH47" s="405"/>
      <c r="BI47" s="405"/>
      <c r="BJ47" s="405"/>
      <c r="BK47" s="405"/>
      <c r="BL47" s="405"/>
      <c r="BM47" s="405"/>
      <c r="BN47" s="405"/>
      <c r="BO47" s="405"/>
      <c r="BP47" s="405"/>
      <c r="BQ47" s="405"/>
      <c r="BR47" s="405"/>
      <c r="BS47" s="405"/>
      <c r="BT47" s="405"/>
      <c r="BU47" s="405"/>
      <c r="BV47" s="405"/>
      <c r="BW47" s="405"/>
      <c r="BX47" s="405"/>
      <c r="BY47" s="405"/>
      <c r="BZ47" s="405"/>
      <c r="CA47" s="405"/>
      <c r="CB47" s="405"/>
      <c r="CC47" s="405"/>
      <c r="CD47" s="405"/>
      <c r="CE47" s="405"/>
      <c r="CF47" s="405"/>
      <c r="CG47" s="405"/>
      <c r="CH47" s="405"/>
      <c r="CI47" s="405"/>
      <c r="CJ47" s="405"/>
      <c r="CK47" s="405"/>
      <c r="CL47" s="405"/>
      <c r="CM47" s="405"/>
      <c r="CN47" s="405"/>
      <c r="CO47" s="405"/>
      <c r="CP47" s="405"/>
      <c r="CQ47" s="405"/>
      <c r="CR47" s="405"/>
      <c r="CS47" s="405"/>
      <c r="CT47" s="405"/>
      <c r="CU47" s="405"/>
      <c r="CV47" s="405"/>
      <c r="CW47" s="405"/>
      <c r="CX47" s="405"/>
      <c r="CY47" s="405"/>
      <c r="CZ47" s="405"/>
      <c r="DA47" s="405"/>
      <c r="DB47" s="405"/>
      <c r="DC47" s="405"/>
      <c r="DD47" s="405"/>
      <c r="DE47" s="405"/>
      <c r="DF47" s="405"/>
      <c r="DG47" s="405"/>
      <c r="DH47" s="405"/>
      <c r="DI47" s="406"/>
    </row>
    <row r="48" spans="1:113" ht="45.75" thickBot="1" x14ac:dyDescent="0.3">
      <c r="A48" s="408"/>
      <c r="B48" s="414"/>
      <c r="C48" s="414"/>
      <c r="D48" s="415"/>
      <c r="E48" s="68" t="s">
        <v>22</v>
      </c>
      <c r="F48" s="68" t="s">
        <v>600</v>
      </c>
      <c r="G48" s="68" t="s">
        <v>601</v>
      </c>
      <c r="H48" s="68" t="s">
        <v>589</v>
      </c>
      <c r="I48" s="68" t="s">
        <v>601</v>
      </c>
      <c r="J48" s="411"/>
      <c r="K48" s="418"/>
      <c r="L48"/>
      <c r="M48" s="401"/>
      <c r="N48" s="400" t="s">
        <v>925</v>
      </c>
      <c r="O48" s="400" t="s">
        <v>926</v>
      </c>
      <c r="P48" s="400"/>
      <c r="Q48" s="400"/>
      <c r="R48" s="400"/>
      <c r="S48" s="398"/>
      <c r="T48" s="398"/>
      <c r="U48" s="398"/>
      <c r="V48" s="398"/>
      <c r="W48" s="398"/>
      <c r="X48" s="398"/>
      <c r="Y48" s="398"/>
      <c r="Z48" s="398"/>
      <c r="AA48" s="398"/>
      <c r="AB48" s="398"/>
      <c r="AC48" s="398"/>
      <c r="AD48" s="398"/>
      <c r="AE48" s="398"/>
      <c r="AF48" s="398"/>
      <c r="AG48" s="398"/>
      <c r="AH48" s="398"/>
      <c r="AI48" s="398"/>
      <c r="AJ48" s="398"/>
      <c r="AK48" s="398"/>
      <c r="AL48" s="398"/>
      <c r="AM48" s="398"/>
      <c r="AN48" s="398"/>
      <c r="AO48" s="398"/>
      <c r="AP48" s="398"/>
      <c r="AQ48" s="398"/>
      <c r="AR48" s="398"/>
      <c r="AS48" s="398"/>
      <c r="AT48" s="398"/>
      <c r="AU48" s="398"/>
      <c r="AV48" s="398"/>
      <c r="AW48" s="398"/>
      <c r="AX48" s="398"/>
      <c r="AY48" s="398"/>
      <c r="AZ48" s="398"/>
      <c r="BA48" s="398"/>
      <c r="BB48" s="398"/>
      <c r="BC48" s="398"/>
      <c r="BD48" s="398"/>
      <c r="BE48" s="398"/>
      <c r="BF48" s="398"/>
      <c r="BG48" s="398"/>
      <c r="BH48" s="398"/>
      <c r="BI48" s="398"/>
      <c r="BJ48" s="398"/>
      <c r="BK48" s="398"/>
      <c r="BL48" s="398"/>
      <c r="BM48" s="398"/>
      <c r="BN48" s="398"/>
      <c r="BO48" s="398"/>
      <c r="BP48" s="398"/>
      <c r="BQ48" s="398"/>
      <c r="BR48" s="398"/>
      <c r="BS48" s="398"/>
      <c r="BT48" s="398"/>
      <c r="BU48" s="398"/>
      <c r="BV48" s="398"/>
      <c r="BW48" s="398"/>
      <c r="BX48" s="398"/>
      <c r="BY48" s="398"/>
      <c r="BZ48" s="398"/>
      <c r="CA48" s="398"/>
      <c r="CB48" s="398"/>
      <c r="CC48" s="398"/>
      <c r="CD48" s="398"/>
      <c r="CE48" s="398"/>
      <c r="CF48" s="398"/>
      <c r="CG48" s="398"/>
      <c r="CH48" s="398"/>
      <c r="CI48" s="398"/>
      <c r="CJ48" s="398"/>
      <c r="CK48" s="398"/>
      <c r="CL48" s="398"/>
      <c r="CM48" s="398"/>
      <c r="CN48" s="398"/>
      <c r="CO48" s="398"/>
      <c r="CP48" s="398"/>
      <c r="CQ48" s="398"/>
      <c r="CR48" s="398"/>
      <c r="CS48" s="398"/>
      <c r="CT48" s="398"/>
      <c r="CU48" s="398"/>
      <c r="CV48" s="398"/>
      <c r="CW48" s="398"/>
      <c r="CX48" s="398"/>
      <c r="CY48" s="398"/>
      <c r="CZ48" s="398"/>
      <c r="DA48" s="398"/>
      <c r="DB48" s="398"/>
      <c r="DC48" s="398"/>
      <c r="DD48" s="398"/>
      <c r="DE48" s="398"/>
      <c r="DF48" s="398"/>
      <c r="DG48" s="398"/>
      <c r="DH48" s="398"/>
      <c r="DI48" s="398"/>
    </row>
    <row r="49" spans="1:113" ht="15.75" thickBot="1" x14ac:dyDescent="0.3">
      <c r="A49" s="409"/>
      <c r="B49" s="185">
        <v>1</v>
      </c>
      <c r="C49" s="185">
        <v>2</v>
      </c>
      <c r="D49" s="185">
        <v>3</v>
      </c>
      <c r="E49" s="70">
        <v>4</v>
      </c>
      <c r="F49" s="70">
        <f>+E49+1</f>
        <v>5</v>
      </c>
      <c r="G49" s="70" t="s">
        <v>652</v>
      </c>
      <c r="H49" s="70">
        <v>7</v>
      </c>
      <c r="I49" s="71" t="s">
        <v>651</v>
      </c>
      <c r="J49" s="42" t="s">
        <v>650</v>
      </c>
      <c r="K49" s="42" t="s">
        <v>653</v>
      </c>
      <c r="L49"/>
      <c r="M49" s="402"/>
      <c r="N49" s="402"/>
      <c r="O49" s="402"/>
      <c r="P49" s="402"/>
      <c r="Q49" s="402"/>
      <c r="R49" s="402"/>
      <c r="S49" s="399"/>
      <c r="T49" s="399"/>
      <c r="U49" s="399"/>
      <c r="V49" s="399"/>
      <c r="W49" s="399"/>
      <c r="X49" s="399"/>
      <c r="Y49" s="399"/>
      <c r="Z49" s="399"/>
      <c r="AA49" s="399"/>
      <c r="AB49" s="399"/>
      <c r="AC49" s="399"/>
      <c r="AD49" s="399"/>
      <c r="AE49" s="399"/>
      <c r="AF49" s="399"/>
      <c r="AG49" s="399"/>
      <c r="AH49" s="399"/>
      <c r="AI49" s="399"/>
      <c r="AJ49" s="399"/>
      <c r="AK49" s="399"/>
      <c r="AL49" s="399"/>
      <c r="AM49" s="399"/>
      <c r="AN49" s="399"/>
      <c r="AO49" s="399"/>
      <c r="AP49" s="399"/>
      <c r="AQ49" s="399"/>
      <c r="AR49" s="399"/>
      <c r="AS49" s="399"/>
      <c r="AT49" s="399"/>
      <c r="AU49" s="399"/>
      <c r="AV49" s="399"/>
      <c r="AW49" s="399"/>
      <c r="AX49" s="399"/>
      <c r="AY49" s="399"/>
      <c r="AZ49" s="399"/>
      <c r="BA49" s="399"/>
      <c r="BB49" s="399"/>
      <c r="BC49" s="399"/>
      <c r="BD49" s="399"/>
      <c r="BE49" s="399"/>
      <c r="BF49" s="399"/>
      <c r="BG49" s="399"/>
      <c r="BH49" s="399"/>
      <c r="BI49" s="399"/>
      <c r="BJ49" s="399"/>
      <c r="BK49" s="399"/>
      <c r="BL49" s="399"/>
      <c r="BM49" s="399"/>
      <c r="BN49" s="399"/>
      <c r="BO49" s="399"/>
      <c r="BP49" s="399"/>
      <c r="BQ49" s="399"/>
      <c r="BR49" s="399"/>
      <c r="BS49" s="399"/>
      <c r="BT49" s="399"/>
      <c r="BU49" s="399"/>
      <c r="BV49" s="399"/>
      <c r="BW49" s="399"/>
      <c r="BX49" s="399"/>
      <c r="BY49" s="399"/>
      <c r="BZ49" s="399"/>
      <c r="CA49" s="399"/>
      <c r="CB49" s="399"/>
      <c r="CC49" s="399"/>
      <c r="CD49" s="399"/>
      <c r="CE49" s="399"/>
      <c r="CF49" s="399"/>
      <c r="CG49" s="399"/>
      <c r="CH49" s="399"/>
      <c r="CI49" s="399"/>
      <c r="CJ49" s="399"/>
      <c r="CK49" s="399"/>
      <c r="CL49" s="399"/>
      <c r="CM49" s="399"/>
      <c r="CN49" s="399"/>
      <c r="CO49" s="399"/>
      <c r="CP49" s="399"/>
      <c r="CQ49" s="399"/>
      <c r="CR49" s="399"/>
      <c r="CS49" s="399"/>
      <c r="CT49" s="399"/>
      <c r="CU49" s="399"/>
      <c r="CV49" s="399"/>
      <c r="CW49" s="399"/>
      <c r="CX49" s="399"/>
      <c r="CY49" s="399"/>
      <c r="CZ49" s="399"/>
      <c r="DA49" s="399"/>
      <c r="DB49" s="399"/>
      <c r="DC49" s="399"/>
      <c r="DD49" s="399"/>
      <c r="DE49" s="399"/>
      <c r="DF49" s="399"/>
      <c r="DG49" s="399"/>
      <c r="DH49" s="399"/>
      <c r="DI49" s="399"/>
    </row>
    <row r="50" spans="1:113" x14ac:dyDescent="0.25">
      <c r="A50" s="160"/>
      <c r="B50" s="54"/>
      <c r="C50" s="54"/>
      <c r="D50" s="54"/>
      <c r="E50" s="54"/>
      <c r="F50" s="54"/>
      <c r="G50" s="54"/>
      <c r="H50" s="54"/>
      <c r="I50" s="54"/>
      <c r="J50" s="54"/>
      <c r="K50" s="54"/>
      <c r="L50"/>
      <c r="M50" s="314">
        <f t="shared" ref="M50:M55" si="18">SUM(N50:DJ50)</f>
        <v>0</v>
      </c>
      <c r="N50" s="310"/>
      <c r="O50" s="315"/>
      <c r="P50" s="315"/>
      <c r="Q50" s="315"/>
      <c r="R50" s="31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row>
    <row r="51" spans="1:113" x14ac:dyDescent="0.25">
      <c r="A51" s="152">
        <v>1</v>
      </c>
      <c r="B51" s="79" t="s">
        <v>480</v>
      </c>
      <c r="C51" s="80">
        <v>35000</v>
      </c>
      <c r="D51" s="142">
        <f>4840+1554.67</f>
        <v>6394.67</v>
      </c>
      <c r="E51" s="43">
        <v>686</v>
      </c>
      <c r="F51" s="60"/>
      <c r="G51" s="139">
        <f t="shared" ref="G51:G54" si="19">+E51+F51</f>
        <v>686</v>
      </c>
      <c r="H51" s="55"/>
      <c r="I51" s="56">
        <f t="shared" ref="I51:I54" si="20">+G51-H51</f>
        <v>686</v>
      </c>
      <c r="J51" s="56">
        <f t="shared" ref="J51:J54" si="21">I51*C51</f>
        <v>24010000</v>
      </c>
      <c r="K51" s="57">
        <f t="shared" ref="K51:K54" si="22">+D51*I51</f>
        <v>4386743.62</v>
      </c>
      <c r="L51"/>
      <c r="M51" s="314">
        <f t="shared" si="18"/>
        <v>0</v>
      </c>
      <c r="N51" s="310"/>
      <c r="O51" s="315"/>
      <c r="P51" s="315"/>
      <c r="Q51" s="315"/>
      <c r="R51" s="31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row>
    <row r="52" spans="1:113" x14ac:dyDescent="0.25">
      <c r="A52" s="152">
        <v>2</v>
      </c>
      <c r="B52" s="79" t="s">
        <v>481</v>
      </c>
      <c r="C52" s="80">
        <v>40000</v>
      </c>
      <c r="D52" s="142">
        <f>6*145.15+920.06+1920.45+2812.06+7700</f>
        <v>14223.47</v>
      </c>
      <c r="E52" s="43">
        <v>0</v>
      </c>
      <c r="F52" s="60"/>
      <c r="G52" s="139">
        <f t="shared" si="19"/>
        <v>0</v>
      </c>
      <c r="H52" s="55">
        <f>3-3</f>
        <v>0</v>
      </c>
      <c r="I52" s="56">
        <f t="shared" si="20"/>
        <v>0</v>
      </c>
      <c r="J52" s="56">
        <f t="shared" si="21"/>
        <v>0</v>
      </c>
      <c r="K52" s="57">
        <f t="shared" si="22"/>
        <v>0</v>
      </c>
      <c r="L52"/>
      <c r="M52" s="314">
        <f t="shared" si="18"/>
        <v>0</v>
      </c>
      <c r="N52" s="310"/>
      <c r="O52" s="315"/>
      <c r="P52" s="315"/>
      <c r="Q52" s="315"/>
      <c r="R52" s="31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row>
    <row r="53" spans="1:113" x14ac:dyDescent="0.25">
      <c r="A53" s="152">
        <v>3</v>
      </c>
      <c r="B53" s="216" t="s">
        <v>482</v>
      </c>
      <c r="C53" s="80">
        <v>45000</v>
      </c>
      <c r="D53" s="142">
        <f>8*208.86+2457.94+1407.72+4950</f>
        <v>10486.54</v>
      </c>
      <c r="E53" s="43">
        <v>84</v>
      </c>
      <c r="F53" s="60"/>
      <c r="G53" s="139">
        <f t="shared" si="19"/>
        <v>84</v>
      </c>
      <c r="H53" s="55"/>
      <c r="I53" s="56">
        <f t="shared" si="20"/>
        <v>84</v>
      </c>
      <c r="J53" s="56">
        <f t="shared" si="21"/>
        <v>3780000</v>
      </c>
      <c r="K53" s="57">
        <f t="shared" si="22"/>
        <v>880869.3600000001</v>
      </c>
      <c r="L53"/>
      <c r="M53" s="314">
        <f t="shared" si="18"/>
        <v>0</v>
      </c>
      <c r="N53" s="310"/>
      <c r="O53" s="315"/>
      <c r="P53" s="315"/>
      <c r="Q53" s="315"/>
      <c r="R53" s="315"/>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row>
    <row r="54" spans="1:113" ht="15.75" thickBot="1" x14ac:dyDescent="0.3">
      <c r="A54" s="153">
        <v>4</v>
      </c>
      <c r="B54" s="144" t="s">
        <v>483</v>
      </c>
      <c r="C54" s="82">
        <v>50000</v>
      </c>
      <c r="D54" s="145">
        <v>36801.18</v>
      </c>
      <c r="E54" s="154">
        <v>0</v>
      </c>
      <c r="F54" s="156"/>
      <c r="G54" s="147">
        <f t="shared" si="19"/>
        <v>0</v>
      </c>
      <c r="H54" s="58">
        <f>7-7</f>
        <v>0</v>
      </c>
      <c r="I54" s="64">
        <f t="shared" si="20"/>
        <v>0</v>
      </c>
      <c r="J54" s="64">
        <f t="shared" si="21"/>
        <v>0</v>
      </c>
      <c r="K54" s="65">
        <f t="shared" si="22"/>
        <v>0</v>
      </c>
      <c r="L54"/>
      <c r="M54" s="321">
        <f t="shared" si="18"/>
        <v>0</v>
      </c>
      <c r="N54" s="312"/>
      <c r="O54" s="318"/>
      <c r="P54" s="318"/>
      <c r="Q54" s="318"/>
      <c r="R54" s="318"/>
      <c r="S54" s="108"/>
      <c r="T54" s="108"/>
      <c r="U54" s="108"/>
      <c r="V54" s="108"/>
      <c r="W54" s="108"/>
      <c r="X54" s="108"/>
      <c r="Y54" s="108"/>
      <c r="Z54" s="108"/>
      <c r="AA54" s="108"/>
      <c r="AB54" s="108"/>
      <c r="AC54" s="108"/>
      <c r="AD54" s="108"/>
      <c r="AE54" s="108"/>
      <c r="AF54" s="108"/>
      <c r="AG54" s="108"/>
      <c r="AH54" s="108"/>
      <c r="AI54" s="108"/>
      <c r="AJ54" s="108"/>
      <c r="AK54" s="108"/>
      <c r="AL54" s="108"/>
      <c r="AM54" s="108"/>
      <c r="AN54" s="108"/>
      <c r="AO54" s="108"/>
      <c r="AP54" s="108"/>
      <c r="AQ54" s="108"/>
      <c r="AR54" s="108"/>
      <c r="AS54" s="108"/>
      <c r="AT54" s="108"/>
      <c r="AU54" s="108"/>
      <c r="AV54" s="108"/>
      <c r="AW54" s="108"/>
      <c r="AX54" s="108"/>
      <c r="AY54" s="108"/>
      <c r="AZ54" s="108"/>
      <c r="BA54" s="108"/>
      <c r="BB54" s="108"/>
      <c r="BC54" s="108"/>
      <c r="BD54" s="108"/>
      <c r="BE54" s="108"/>
      <c r="BF54" s="108"/>
      <c r="BG54" s="108"/>
      <c r="BH54" s="108"/>
      <c r="BI54" s="108"/>
      <c r="BJ54" s="108"/>
      <c r="BK54" s="108"/>
      <c r="BL54" s="108"/>
      <c r="BM54" s="108"/>
      <c r="BN54" s="108"/>
      <c r="BO54" s="108"/>
      <c r="BP54" s="108"/>
      <c r="BQ54" s="108"/>
      <c r="BR54" s="108"/>
      <c r="BS54" s="108"/>
      <c r="BT54" s="108"/>
      <c r="BU54" s="108"/>
      <c r="BV54" s="108"/>
      <c r="BW54" s="108"/>
      <c r="BX54" s="108"/>
      <c r="BY54" s="108"/>
      <c r="BZ54" s="108"/>
      <c r="CA54" s="108"/>
      <c r="CB54" s="108"/>
      <c r="CC54" s="108"/>
      <c r="CD54" s="108"/>
      <c r="CE54" s="108"/>
      <c r="CF54" s="108"/>
      <c r="CG54" s="108"/>
      <c r="CH54" s="108"/>
      <c r="CI54" s="108"/>
      <c r="CJ54" s="108"/>
      <c r="CK54" s="108"/>
      <c r="CL54" s="108"/>
      <c r="CM54" s="108"/>
      <c r="CN54" s="108"/>
      <c r="CO54" s="108"/>
      <c r="CP54" s="108"/>
      <c r="CQ54" s="108"/>
      <c r="CR54" s="108"/>
      <c r="CS54" s="108"/>
      <c r="CT54" s="108"/>
      <c r="CU54" s="108"/>
      <c r="CV54" s="108"/>
      <c r="CW54" s="108"/>
      <c r="CX54" s="108"/>
      <c r="CY54" s="108"/>
      <c r="CZ54" s="108"/>
      <c r="DA54" s="108"/>
      <c r="DB54" s="108"/>
      <c r="DC54" s="108"/>
      <c r="DD54" s="108"/>
      <c r="DE54" s="108"/>
      <c r="DF54" s="108"/>
      <c r="DG54" s="108"/>
      <c r="DH54" s="108"/>
      <c r="DI54" s="108"/>
    </row>
    <row r="55" spans="1:113" ht="15.75" thickBot="1" x14ac:dyDescent="0.3">
      <c r="A55" s="128"/>
      <c r="B55" s="119" t="s">
        <v>669</v>
      </c>
      <c r="C55" s="36"/>
      <c r="D55" s="36"/>
      <c r="E55" s="29">
        <f>SUM(E51:E54)</f>
        <v>770</v>
      </c>
      <c r="F55" s="36"/>
      <c r="G55" s="29">
        <f>SUM(G51:G54)</f>
        <v>770</v>
      </c>
      <c r="H55" s="29">
        <f>SUM(H51:H54)</f>
        <v>0</v>
      </c>
      <c r="I55" s="29">
        <f>SUM(I51:I54)</f>
        <v>770</v>
      </c>
      <c r="J55" s="29">
        <f t="shared" ref="J55:K55" si="23">SUM(J51:J54)</f>
        <v>27790000</v>
      </c>
      <c r="K55" s="188">
        <f t="shared" si="23"/>
        <v>5267612.9800000004</v>
      </c>
      <c r="L55"/>
      <c r="M55" s="322">
        <f t="shared" si="18"/>
        <v>0</v>
      </c>
      <c r="N55" s="325"/>
      <c r="O55" s="325"/>
      <c r="P55" s="325"/>
      <c r="Q55" s="325"/>
      <c r="R55" s="325"/>
      <c r="S55" s="324"/>
      <c r="T55" s="324"/>
      <c r="U55" s="324"/>
      <c r="V55" s="324"/>
      <c r="W55" s="324"/>
      <c r="X55" s="324"/>
      <c r="Y55" s="324"/>
      <c r="Z55" s="324"/>
      <c r="AA55" s="324"/>
      <c r="AB55" s="324"/>
      <c r="AC55" s="324"/>
      <c r="AD55" s="324"/>
      <c r="AE55" s="324"/>
      <c r="AF55" s="324"/>
      <c r="AG55" s="324"/>
      <c r="AH55" s="324"/>
      <c r="AI55" s="324"/>
      <c r="AJ55" s="324"/>
      <c r="AK55" s="324"/>
      <c r="AL55" s="324"/>
      <c r="AM55" s="324"/>
      <c r="AN55" s="324"/>
      <c r="AO55" s="324"/>
      <c r="AP55" s="324"/>
      <c r="AQ55" s="324"/>
      <c r="AR55" s="324"/>
      <c r="AS55" s="324"/>
      <c r="AT55" s="324"/>
      <c r="AU55" s="324"/>
      <c r="AV55" s="324"/>
      <c r="AW55" s="324"/>
      <c r="AX55" s="324"/>
      <c r="AY55" s="324"/>
      <c r="AZ55" s="324"/>
      <c r="BA55" s="324"/>
      <c r="BB55" s="324"/>
      <c r="BC55" s="324"/>
      <c r="BD55" s="324"/>
      <c r="BE55" s="324"/>
      <c r="BF55" s="324"/>
      <c r="BG55" s="324"/>
      <c r="BH55" s="324"/>
      <c r="BI55" s="324"/>
      <c r="BJ55" s="324"/>
      <c r="BK55" s="324"/>
      <c r="BL55" s="324"/>
      <c r="BM55" s="324"/>
      <c r="BN55" s="324"/>
      <c r="BO55" s="324"/>
      <c r="BP55" s="324"/>
      <c r="BQ55" s="324"/>
      <c r="BR55" s="324"/>
      <c r="BS55" s="324"/>
      <c r="BT55" s="324"/>
      <c r="BU55" s="324"/>
      <c r="BV55" s="324"/>
      <c r="BW55" s="324"/>
      <c r="BX55" s="324"/>
      <c r="BY55" s="324"/>
      <c r="BZ55" s="324"/>
      <c r="CA55" s="324"/>
      <c r="CB55" s="324"/>
      <c r="CC55" s="324"/>
      <c r="CD55" s="324"/>
      <c r="CE55" s="324"/>
      <c r="CF55" s="324"/>
      <c r="CG55" s="324"/>
      <c r="CH55" s="324"/>
      <c r="CI55" s="324"/>
      <c r="CJ55" s="324"/>
      <c r="CK55" s="324"/>
      <c r="CL55" s="324"/>
      <c r="CM55" s="324"/>
      <c r="CN55" s="324"/>
      <c r="CO55" s="324"/>
      <c r="CP55" s="324"/>
      <c r="CQ55" s="324"/>
      <c r="CR55" s="324"/>
      <c r="CS55" s="324"/>
      <c r="CT55" s="324"/>
      <c r="CU55" s="324"/>
      <c r="CV55" s="324"/>
      <c r="CW55" s="324"/>
      <c r="CX55" s="324"/>
      <c r="CY55" s="324"/>
      <c r="CZ55" s="324"/>
      <c r="DA55" s="324"/>
      <c r="DB55" s="324"/>
      <c r="DC55" s="324"/>
      <c r="DD55" s="324"/>
      <c r="DE55" s="324"/>
      <c r="DF55" s="324"/>
      <c r="DG55" s="324"/>
      <c r="DH55" s="324"/>
      <c r="DI55" s="324"/>
    </row>
    <row r="56" spans="1:113" ht="15.75" thickBot="1" x14ac:dyDescent="0.3">
      <c r="B56" s="161"/>
      <c r="C56" s="162"/>
      <c r="D56" s="163"/>
      <c r="E56" s="164"/>
      <c r="F56" s="67"/>
      <c r="G56" s="164"/>
      <c r="H56" s="164"/>
      <c r="I56" s="164"/>
      <c r="J56" s="164"/>
      <c r="K56" s="163"/>
      <c r="L56"/>
      <c r="M56"/>
      <c r="N56"/>
      <c r="O56"/>
      <c r="P56"/>
      <c r="Q56"/>
      <c r="R56"/>
      <c r="S56"/>
      <c r="T56"/>
      <c r="U56"/>
      <c r="V56"/>
      <c r="W56"/>
      <c r="X56"/>
      <c r="Y56"/>
      <c r="Z56"/>
    </row>
    <row r="57" spans="1:113" ht="15.75" thickBot="1" x14ac:dyDescent="0.3">
      <c r="A57" s="407" t="s">
        <v>657</v>
      </c>
      <c r="B57" s="414" t="s">
        <v>708</v>
      </c>
      <c r="C57" s="414" t="s">
        <v>1</v>
      </c>
      <c r="D57" s="415" t="s">
        <v>649</v>
      </c>
      <c r="E57" s="416" t="s">
        <v>19</v>
      </c>
      <c r="F57" s="416"/>
      <c r="G57" s="416"/>
      <c r="H57" s="416"/>
      <c r="I57" s="416"/>
      <c r="J57" s="410" t="s">
        <v>21</v>
      </c>
      <c r="K57" s="417" t="s">
        <v>602</v>
      </c>
      <c r="L57"/>
      <c r="M57" s="400" t="s">
        <v>601</v>
      </c>
      <c r="N57" s="404" t="s">
        <v>924</v>
      </c>
      <c r="O57" s="405"/>
      <c r="P57" s="405"/>
      <c r="Q57" s="405"/>
      <c r="R57" s="405"/>
      <c r="S57" s="405"/>
      <c r="T57" s="405"/>
      <c r="U57" s="405"/>
      <c r="V57" s="405"/>
      <c r="W57" s="405"/>
      <c r="X57" s="405"/>
      <c r="Y57" s="405"/>
      <c r="Z57" s="405"/>
      <c r="AA57" s="405"/>
      <c r="AB57" s="405"/>
      <c r="AC57" s="405"/>
      <c r="AD57" s="405"/>
      <c r="AE57" s="405"/>
      <c r="AF57" s="405"/>
      <c r="AG57" s="405"/>
      <c r="AH57" s="405"/>
      <c r="AI57" s="405"/>
      <c r="AJ57" s="405"/>
      <c r="AK57" s="405"/>
      <c r="AL57" s="405"/>
      <c r="AM57" s="405"/>
      <c r="AN57" s="405"/>
      <c r="AO57" s="405"/>
      <c r="AP57" s="405"/>
      <c r="AQ57" s="405"/>
      <c r="AR57" s="405"/>
      <c r="AS57" s="405"/>
      <c r="AT57" s="405"/>
      <c r="AU57" s="405"/>
      <c r="AV57" s="405"/>
      <c r="AW57" s="405"/>
      <c r="AX57" s="405"/>
      <c r="AY57" s="405"/>
      <c r="AZ57" s="405"/>
      <c r="BA57" s="405"/>
      <c r="BB57" s="405"/>
      <c r="BC57" s="405"/>
      <c r="BD57" s="405"/>
      <c r="BE57" s="405"/>
      <c r="BF57" s="405"/>
      <c r="BG57" s="405"/>
      <c r="BH57" s="405"/>
      <c r="BI57" s="405"/>
      <c r="BJ57" s="405"/>
      <c r="BK57" s="405"/>
      <c r="BL57" s="405"/>
      <c r="BM57" s="405"/>
      <c r="BN57" s="405"/>
      <c r="BO57" s="405"/>
      <c r="BP57" s="405"/>
      <c r="BQ57" s="405"/>
      <c r="BR57" s="405"/>
      <c r="BS57" s="405"/>
      <c r="BT57" s="405"/>
      <c r="BU57" s="405"/>
      <c r="BV57" s="405"/>
      <c r="BW57" s="405"/>
      <c r="BX57" s="405"/>
      <c r="BY57" s="405"/>
      <c r="BZ57" s="405"/>
      <c r="CA57" s="405"/>
      <c r="CB57" s="405"/>
      <c r="CC57" s="405"/>
      <c r="CD57" s="405"/>
      <c r="CE57" s="405"/>
      <c r="CF57" s="405"/>
      <c r="CG57" s="405"/>
      <c r="CH57" s="405"/>
      <c r="CI57" s="405"/>
      <c r="CJ57" s="405"/>
      <c r="CK57" s="405"/>
      <c r="CL57" s="405"/>
      <c r="CM57" s="405"/>
      <c r="CN57" s="405"/>
      <c r="CO57" s="405"/>
      <c r="CP57" s="405"/>
      <c r="CQ57" s="405"/>
      <c r="CR57" s="405"/>
      <c r="CS57" s="405"/>
      <c r="CT57" s="405"/>
      <c r="CU57" s="405"/>
      <c r="CV57" s="405"/>
      <c r="CW57" s="405"/>
      <c r="CX57" s="405"/>
      <c r="CY57" s="405"/>
      <c r="CZ57" s="405"/>
      <c r="DA57" s="405"/>
      <c r="DB57" s="405"/>
      <c r="DC57" s="405"/>
      <c r="DD57" s="405"/>
      <c r="DE57" s="405"/>
      <c r="DF57" s="405"/>
      <c r="DG57" s="405"/>
      <c r="DH57" s="405"/>
      <c r="DI57" s="406"/>
    </row>
    <row r="58" spans="1:113" ht="45.75" thickBot="1" x14ac:dyDescent="0.3">
      <c r="A58" s="408"/>
      <c r="B58" s="414"/>
      <c r="C58" s="414"/>
      <c r="D58" s="415"/>
      <c r="E58" s="68" t="s">
        <v>22</v>
      </c>
      <c r="F58" s="68" t="s">
        <v>600</v>
      </c>
      <c r="G58" s="68" t="s">
        <v>601</v>
      </c>
      <c r="H58" s="68" t="s">
        <v>589</v>
      </c>
      <c r="I58" s="68" t="s">
        <v>601</v>
      </c>
      <c r="J58" s="411"/>
      <c r="K58" s="418"/>
      <c r="L58"/>
      <c r="M58" s="401"/>
      <c r="N58" s="400" t="s">
        <v>925</v>
      </c>
      <c r="O58" s="400" t="s">
        <v>926</v>
      </c>
      <c r="P58" s="400"/>
      <c r="Q58" s="400"/>
      <c r="R58" s="400"/>
      <c r="S58" s="398"/>
      <c r="T58" s="398"/>
      <c r="U58" s="398"/>
      <c r="V58" s="398"/>
      <c r="W58" s="398"/>
      <c r="X58" s="398"/>
      <c r="Y58" s="398"/>
      <c r="Z58" s="398"/>
      <c r="AA58" s="398"/>
      <c r="AB58" s="398"/>
      <c r="AC58" s="398"/>
      <c r="AD58" s="398"/>
      <c r="AE58" s="398"/>
      <c r="AF58" s="398"/>
      <c r="AG58" s="398"/>
      <c r="AH58" s="398"/>
      <c r="AI58" s="398"/>
      <c r="AJ58" s="398"/>
      <c r="AK58" s="398"/>
      <c r="AL58" s="398"/>
      <c r="AM58" s="398"/>
      <c r="AN58" s="398"/>
      <c r="AO58" s="398"/>
      <c r="AP58" s="398"/>
      <c r="AQ58" s="398"/>
      <c r="AR58" s="398"/>
      <c r="AS58" s="398"/>
      <c r="AT58" s="398"/>
      <c r="AU58" s="398"/>
      <c r="AV58" s="398"/>
      <c r="AW58" s="398"/>
      <c r="AX58" s="398"/>
      <c r="AY58" s="398"/>
      <c r="AZ58" s="398"/>
      <c r="BA58" s="398"/>
      <c r="BB58" s="398"/>
      <c r="BC58" s="398"/>
      <c r="BD58" s="398"/>
      <c r="BE58" s="398"/>
      <c r="BF58" s="398"/>
      <c r="BG58" s="398"/>
      <c r="BH58" s="398"/>
      <c r="BI58" s="398"/>
      <c r="BJ58" s="398"/>
      <c r="BK58" s="398"/>
      <c r="BL58" s="398"/>
      <c r="BM58" s="398"/>
      <c r="BN58" s="398"/>
      <c r="BO58" s="398"/>
      <c r="BP58" s="398"/>
      <c r="BQ58" s="398"/>
      <c r="BR58" s="398"/>
      <c r="BS58" s="398"/>
      <c r="BT58" s="398"/>
      <c r="BU58" s="398"/>
      <c r="BV58" s="398"/>
      <c r="BW58" s="398"/>
      <c r="BX58" s="398"/>
      <c r="BY58" s="398"/>
      <c r="BZ58" s="398"/>
      <c r="CA58" s="398"/>
      <c r="CB58" s="398"/>
      <c r="CC58" s="398"/>
      <c r="CD58" s="398"/>
      <c r="CE58" s="398"/>
      <c r="CF58" s="398"/>
      <c r="CG58" s="398"/>
      <c r="CH58" s="398"/>
      <c r="CI58" s="398"/>
      <c r="CJ58" s="398"/>
      <c r="CK58" s="398"/>
      <c r="CL58" s="398"/>
      <c r="CM58" s="398"/>
      <c r="CN58" s="398"/>
      <c r="CO58" s="398"/>
      <c r="CP58" s="398"/>
      <c r="CQ58" s="398"/>
      <c r="CR58" s="398"/>
      <c r="CS58" s="398"/>
      <c r="CT58" s="398"/>
      <c r="CU58" s="398"/>
      <c r="CV58" s="398"/>
      <c r="CW58" s="398"/>
      <c r="CX58" s="398"/>
      <c r="CY58" s="398"/>
      <c r="CZ58" s="398"/>
      <c r="DA58" s="398"/>
      <c r="DB58" s="398"/>
      <c r="DC58" s="398"/>
      <c r="DD58" s="398"/>
      <c r="DE58" s="398"/>
      <c r="DF58" s="398"/>
      <c r="DG58" s="398"/>
      <c r="DH58" s="398"/>
      <c r="DI58" s="398"/>
    </row>
    <row r="59" spans="1:113" ht="15.75" thickBot="1" x14ac:dyDescent="0.3">
      <c r="A59" s="409"/>
      <c r="B59" s="224">
        <v>1</v>
      </c>
      <c r="C59" s="224">
        <v>2</v>
      </c>
      <c r="D59" s="224">
        <v>3</v>
      </c>
      <c r="E59" s="70">
        <v>4</v>
      </c>
      <c r="F59" s="70">
        <f>+E59+1</f>
        <v>5</v>
      </c>
      <c r="G59" s="70" t="s">
        <v>652</v>
      </c>
      <c r="H59" s="70">
        <v>7</v>
      </c>
      <c r="I59" s="71" t="s">
        <v>651</v>
      </c>
      <c r="J59" s="42" t="s">
        <v>650</v>
      </c>
      <c r="K59" s="42" t="s">
        <v>653</v>
      </c>
      <c r="L59"/>
      <c r="M59" s="402"/>
      <c r="N59" s="402"/>
      <c r="O59" s="402"/>
      <c r="P59" s="402"/>
      <c r="Q59" s="402"/>
      <c r="R59" s="402"/>
      <c r="S59" s="399"/>
      <c r="T59" s="399"/>
      <c r="U59" s="399"/>
      <c r="V59" s="399"/>
      <c r="W59" s="399"/>
      <c r="X59" s="399"/>
      <c r="Y59" s="399"/>
      <c r="Z59" s="399"/>
      <c r="AA59" s="399"/>
      <c r="AB59" s="399"/>
      <c r="AC59" s="399"/>
      <c r="AD59" s="399"/>
      <c r="AE59" s="399"/>
      <c r="AF59" s="399"/>
      <c r="AG59" s="399"/>
      <c r="AH59" s="399"/>
      <c r="AI59" s="399"/>
      <c r="AJ59" s="399"/>
      <c r="AK59" s="399"/>
      <c r="AL59" s="399"/>
      <c r="AM59" s="399"/>
      <c r="AN59" s="399"/>
      <c r="AO59" s="399"/>
      <c r="AP59" s="399"/>
      <c r="AQ59" s="399"/>
      <c r="AR59" s="399"/>
      <c r="AS59" s="399"/>
      <c r="AT59" s="399"/>
      <c r="AU59" s="399"/>
      <c r="AV59" s="399"/>
      <c r="AW59" s="399"/>
      <c r="AX59" s="399"/>
      <c r="AY59" s="399"/>
      <c r="AZ59" s="399"/>
      <c r="BA59" s="399"/>
      <c r="BB59" s="399"/>
      <c r="BC59" s="399"/>
      <c r="BD59" s="399"/>
      <c r="BE59" s="399"/>
      <c r="BF59" s="399"/>
      <c r="BG59" s="399"/>
      <c r="BH59" s="399"/>
      <c r="BI59" s="399"/>
      <c r="BJ59" s="399"/>
      <c r="BK59" s="399"/>
      <c r="BL59" s="399"/>
      <c r="BM59" s="399"/>
      <c r="BN59" s="399"/>
      <c r="BO59" s="399"/>
      <c r="BP59" s="399"/>
      <c r="BQ59" s="399"/>
      <c r="BR59" s="399"/>
      <c r="BS59" s="399"/>
      <c r="BT59" s="399"/>
      <c r="BU59" s="399"/>
      <c r="BV59" s="399"/>
      <c r="BW59" s="399"/>
      <c r="BX59" s="399"/>
      <c r="BY59" s="399"/>
      <c r="BZ59" s="399"/>
      <c r="CA59" s="399"/>
      <c r="CB59" s="399"/>
      <c r="CC59" s="399"/>
      <c r="CD59" s="399"/>
      <c r="CE59" s="399"/>
      <c r="CF59" s="399"/>
      <c r="CG59" s="399"/>
      <c r="CH59" s="399"/>
      <c r="CI59" s="399"/>
      <c r="CJ59" s="399"/>
      <c r="CK59" s="399"/>
      <c r="CL59" s="399"/>
      <c r="CM59" s="399"/>
      <c r="CN59" s="399"/>
      <c r="CO59" s="399"/>
      <c r="CP59" s="399"/>
      <c r="CQ59" s="399"/>
      <c r="CR59" s="399"/>
      <c r="CS59" s="399"/>
      <c r="CT59" s="399"/>
      <c r="CU59" s="399"/>
      <c r="CV59" s="399"/>
      <c r="CW59" s="399"/>
      <c r="CX59" s="399"/>
      <c r="CY59" s="399"/>
      <c r="CZ59" s="399"/>
      <c r="DA59" s="399"/>
      <c r="DB59" s="399"/>
      <c r="DC59" s="399"/>
      <c r="DD59" s="399"/>
      <c r="DE59" s="399"/>
      <c r="DF59" s="399"/>
      <c r="DG59" s="399"/>
      <c r="DH59" s="399"/>
      <c r="DI59" s="399"/>
    </row>
    <row r="60" spans="1:113" x14ac:dyDescent="0.25">
      <c r="A60" s="160"/>
      <c r="B60" s="54"/>
      <c r="C60" s="54"/>
      <c r="D60" s="54"/>
      <c r="E60" s="54"/>
      <c r="F60" s="54"/>
      <c r="G60" s="54"/>
      <c r="H60" s="54"/>
      <c r="I60" s="54"/>
      <c r="J60" s="54"/>
      <c r="K60" s="54"/>
      <c r="L60"/>
      <c r="M60" s="314">
        <f t="shared" ref="M60:M66" si="24">SUM(N60:DJ60)</f>
        <v>0</v>
      </c>
      <c r="N60" s="310"/>
      <c r="O60" s="315"/>
      <c r="P60" s="315"/>
      <c r="Q60" s="315"/>
      <c r="R60" s="31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row>
    <row r="61" spans="1:113" x14ac:dyDescent="0.25">
      <c r="A61" s="152">
        <v>1</v>
      </c>
      <c r="B61" s="79" t="s">
        <v>484</v>
      </c>
      <c r="C61" s="80">
        <v>30000</v>
      </c>
      <c r="D61" s="142">
        <f>6600+1630+1732.5</f>
        <v>9962.5</v>
      </c>
      <c r="E61" s="43">
        <v>331</v>
      </c>
      <c r="F61" s="60">
        <f>97-97</f>
        <v>0</v>
      </c>
      <c r="G61" s="139">
        <f t="shared" ref="G61:G65" si="25">+E61+F61</f>
        <v>331</v>
      </c>
      <c r="H61" s="55">
        <f>97-97</f>
        <v>0</v>
      </c>
      <c r="I61" s="56">
        <f t="shared" ref="I61:I65" si="26">+G61-H61</f>
        <v>331</v>
      </c>
      <c r="J61" s="56">
        <f t="shared" ref="J61:J65" si="27">I61*C61</f>
        <v>9930000</v>
      </c>
      <c r="K61" s="57">
        <f t="shared" ref="K61:K65" si="28">+D61*I61</f>
        <v>3297587.5</v>
      </c>
      <c r="L61"/>
      <c r="M61" s="314">
        <f t="shared" si="24"/>
        <v>0</v>
      </c>
      <c r="N61" s="310"/>
      <c r="O61" s="315"/>
      <c r="P61" s="315"/>
      <c r="Q61" s="315"/>
      <c r="R61" s="31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55"/>
      <c r="CZ61" s="55"/>
      <c r="DA61" s="55"/>
      <c r="DB61" s="55"/>
      <c r="DC61" s="55"/>
      <c r="DD61" s="55"/>
      <c r="DE61" s="55"/>
      <c r="DF61" s="55"/>
      <c r="DG61" s="55"/>
      <c r="DH61" s="55"/>
      <c r="DI61" s="55"/>
    </row>
    <row r="62" spans="1:113" x14ac:dyDescent="0.25">
      <c r="A62" s="152">
        <v>2</v>
      </c>
      <c r="B62" s="79" t="s">
        <v>485</v>
      </c>
      <c r="C62" s="80">
        <v>45000</v>
      </c>
      <c r="D62" s="142">
        <v>0</v>
      </c>
      <c r="E62" s="43">
        <v>20</v>
      </c>
      <c r="F62" s="60"/>
      <c r="G62" s="139">
        <f t="shared" si="25"/>
        <v>20</v>
      </c>
      <c r="H62" s="55"/>
      <c r="I62" s="56">
        <f t="shared" si="26"/>
        <v>20</v>
      </c>
      <c r="J62" s="56">
        <f t="shared" si="27"/>
        <v>900000</v>
      </c>
      <c r="K62" s="57">
        <f t="shared" si="28"/>
        <v>0</v>
      </c>
      <c r="L62"/>
      <c r="M62" s="314">
        <f t="shared" si="24"/>
        <v>0</v>
      </c>
      <c r="N62" s="310"/>
      <c r="O62" s="315"/>
      <c r="P62" s="315"/>
      <c r="Q62" s="315"/>
      <c r="R62" s="31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row>
    <row r="63" spans="1:113" x14ac:dyDescent="0.25">
      <c r="A63" s="152">
        <v>3</v>
      </c>
      <c r="B63" s="79" t="s">
        <v>486</v>
      </c>
      <c r="C63" s="80">
        <v>80000</v>
      </c>
      <c r="D63" s="142">
        <f>8800+3761.46</f>
        <v>12561.46</v>
      </c>
      <c r="E63" s="43">
        <v>67</v>
      </c>
      <c r="F63" s="60"/>
      <c r="G63" s="139">
        <f t="shared" si="25"/>
        <v>67</v>
      </c>
      <c r="H63" s="55"/>
      <c r="I63" s="56">
        <f t="shared" si="26"/>
        <v>67</v>
      </c>
      <c r="J63" s="56">
        <f t="shared" si="27"/>
        <v>5360000</v>
      </c>
      <c r="K63" s="57">
        <f t="shared" si="28"/>
        <v>841617.82</v>
      </c>
      <c r="L63"/>
      <c r="M63" s="314">
        <f t="shared" si="24"/>
        <v>0</v>
      </c>
      <c r="N63" s="310"/>
      <c r="O63" s="315"/>
      <c r="P63" s="315"/>
      <c r="Q63" s="315"/>
      <c r="R63" s="31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c r="CN63" s="55"/>
      <c r="CO63" s="55"/>
      <c r="CP63" s="55"/>
      <c r="CQ63" s="55"/>
      <c r="CR63" s="55"/>
      <c r="CS63" s="55"/>
      <c r="CT63" s="55"/>
      <c r="CU63" s="55"/>
      <c r="CV63" s="55"/>
      <c r="CW63" s="55"/>
      <c r="CX63" s="55"/>
      <c r="CY63" s="55"/>
      <c r="CZ63" s="55"/>
      <c r="DA63" s="55"/>
      <c r="DB63" s="55"/>
      <c r="DC63" s="55"/>
      <c r="DD63" s="55"/>
      <c r="DE63" s="55"/>
      <c r="DF63" s="55"/>
      <c r="DG63" s="55"/>
      <c r="DH63" s="55"/>
      <c r="DI63" s="55"/>
    </row>
    <row r="64" spans="1:113" x14ac:dyDescent="0.25">
      <c r="A64" s="152">
        <v>4</v>
      </c>
      <c r="B64" s="79" t="s">
        <v>487</v>
      </c>
      <c r="C64" s="80">
        <v>45000</v>
      </c>
      <c r="D64" s="142">
        <v>14975.55</v>
      </c>
      <c r="E64" s="43">
        <v>1083</v>
      </c>
      <c r="F64" s="60"/>
      <c r="G64" s="139">
        <f t="shared" si="25"/>
        <v>1083</v>
      </c>
      <c r="H64" s="55"/>
      <c r="I64" s="56">
        <f t="shared" si="26"/>
        <v>1083</v>
      </c>
      <c r="J64" s="56">
        <f t="shared" si="27"/>
        <v>48735000</v>
      </c>
      <c r="K64" s="57">
        <f t="shared" si="28"/>
        <v>16218520.649999999</v>
      </c>
      <c r="L64"/>
      <c r="M64" s="314">
        <f t="shared" si="24"/>
        <v>0</v>
      </c>
      <c r="N64" s="310"/>
      <c r="O64" s="315"/>
      <c r="P64" s="315"/>
      <c r="Q64" s="315"/>
      <c r="R64" s="31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55"/>
      <c r="CZ64" s="55"/>
      <c r="DA64" s="55"/>
      <c r="DB64" s="55"/>
      <c r="DC64" s="55"/>
      <c r="DD64" s="55"/>
      <c r="DE64" s="55"/>
      <c r="DF64" s="55"/>
      <c r="DG64" s="55"/>
      <c r="DH64" s="55"/>
      <c r="DI64" s="55"/>
    </row>
    <row r="65" spans="1:113" ht="15.75" thickBot="1" x14ac:dyDescent="0.3">
      <c r="A65" s="153">
        <v>5</v>
      </c>
      <c r="B65" s="217" t="s">
        <v>488</v>
      </c>
      <c r="C65" s="82">
        <v>60000</v>
      </c>
      <c r="D65" s="145">
        <v>29759.75</v>
      </c>
      <c r="E65" s="154">
        <v>96</v>
      </c>
      <c r="F65" s="156"/>
      <c r="G65" s="147">
        <f t="shared" si="25"/>
        <v>96</v>
      </c>
      <c r="H65" s="58">
        <f>25-25</f>
        <v>0</v>
      </c>
      <c r="I65" s="64">
        <f t="shared" si="26"/>
        <v>96</v>
      </c>
      <c r="J65" s="64">
        <f t="shared" si="27"/>
        <v>5760000</v>
      </c>
      <c r="K65" s="65">
        <f t="shared" si="28"/>
        <v>2856936</v>
      </c>
      <c r="L65"/>
      <c r="M65" s="321">
        <f t="shared" si="24"/>
        <v>0</v>
      </c>
      <c r="N65" s="312"/>
      <c r="O65" s="318"/>
      <c r="P65" s="318"/>
      <c r="Q65" s="318"/>
      <c r="R65" s="318"/>
      <c r="S65" s="108"/>
      <c r="T65" s="108"/>
      <c r="U65" s="108"/>
      <c r="V65" s="108"/>
      <c r="W65" s="108"/>
      <c r="X65" s="108"/>
      <c r="Y65" s="108"/>
      <c r="Z65" s="108"/>
      <c r="AA65" s="108"/>
      <c r="AB65" s="108"/>
      <c r="AC65" s="108"/>
      <c r="AD65" s="108"/>
      <c r="AE65" s="108"/>
      <c r="AF65" s="108"/>
      <c r="AG65" s="108"/>
      <c r="AH65" s="108"/>
      <c r="AI65" s="108"/>
      <c r="AJ65" s="108"/>
      <c r="AK65" s="108"/>
      <c r="AL65" s="108"/>
      <c r="AM65" s="108"/>
      <c r="AN65" s="108"/>
      <c r="AO65" s="108"/>
      <c r="AP65" s="108"/>
      <c r="AQ65" s="108"/>
      <c r="AR65" s="108"/>
      <c r="AS65" s="108"/>
      <c r="AT65" s="108"/>
      <c r="AU65" s="108"/>
      <c r="AV65" s="108"/>
      <c r="AW65" s="108"/>
      <c r="AX65" s="108"/>
      <c r="AY65" s="108"/>
      <c r="AZ65" s="108"/>
      <c r="BA65" s="108"/>
      <c r="BB65" s="108"/>
      <c r="BC65" s="108"/>
      <c r="BD65" s="108"/>
      <c r="BE65" s="108"/>
      <c r="BF65" s="108"/>
      <c r="BG65" s="108"/>
      <c r="BH65" s="108"/>
      <c r="BI65" s="108"/>
      <c r="BJ65" s="108"/>
      <c r="BK65" s="108"/>
      <c r="BL65" s="108"/>
      <c r="BM65" s="108"/>
      <c r="BN65" s="108"/>
      <c r="BO65" s="108"/>
      <c r="BP65" s="108"/>
      <c r="BQ65" s="108"/>
      <c r="BR65" s="108"/>
      <c r="BS65" s="108"/>
      <c r="BT65" s="108"/>
      <c r="BU65" s="108"/>
      <c r="BV65" s="108"/>
      <c r="BW65" s="108"/>
      <c r="BX65" s="108"/>
      <c r="BY65" s="108"/>
      <c r="BZ65" s="108"/>
      <c r="CA65" s="108"/>
      <c r="CB65" s="108"/>
      <c r="CC65" s="108"/>
      <c r="CD65" s="108"/>
      <c r="CE65" s="108"/>
      <c r="CF65" s="108"/>
      <c r="CG65" s="108"/>
      <c r="CH65" s="108"/>
      <c r="CI65" s="108"/>
      <c r="CJ65" s="108"/>
      <c r="CK65" s="108"/>
      <c r="CL65" s="108"/>
      <c r="CM65" s="108"/>
      <c r="CN65" s="108"/>
      <c r="CO65" s="108"/>
      <c r="CP65" s="108"/>
      <c r="CQ65" s="108"/>
      <c r="CR65" s="108"/>
      <c r="CS65" s="108"/>
      <c r="CT65" s="108"/>
      <c r="CU65" s="108"/>
      <c r="CV65" s="108"/>
      <c r="CW65" s="108"/>
      <c r="CX65" s="108"/>
      <c r="CY65" s="108"/>
      <c r="CZ65" s="108"/>
      <c r="DA65" s="108"/>
      <c r="DB65" s="108"/>
      <c r="DC65" s="108"/>
      <c r="DD65" s="108"/>
      <c r="DE65" s="108"/>
      <c r="DF65" s="108"/>
      <c r="DG65" s="108"/>
      <c r="DH65" s="108"/>
      <c r="DI65" s="108"/>
    </row>
    <row r="66" spans="1:113" ht="15.75" thickBot="1" x14ac:dyDescent="0.3">
      <c r="A66" s="128"/>
      <c r="B66" s="119" t="s">
        <v>670</v>
      </c>
      <c r="C66" s="36"/>
      <c r="D66" s="36"/>
      <c r="E66" s="29">
        <f>SUM(E61:E65)</f>
        <v>1597</v>
      </c>
      <c r="F66" s="29">
        <f>SUM(F61:F65)</f>
        <v>0</v>
      </c>
      <c r="G66" s="29">
        <f>SUM(G61:G65)</f>
        <v>1597</v>
      </c>
      <c r="H66" s="29">
        <f>SUM(H61:H65)</f>
        <v>0</v>
      </c>
      <c r="I66" s="29">
        <f>SUM(I61:I65)</f>
        <v>1597</v>
      </c>
      <c r="J66" s="29">
        <f t="shared" ref="J66:K66" si="29">SUM(J61:J65)</f>
        <v>70685000</v>
      </c>
      <c r="K66" s="47">
        <f t="shared" si="29"/>
        <v>23214661.969999999</v>
      </c>
      <c r="L66"/>
      <c r="M66" s="322">
        <f t="shared" si="24"/>
        <v>0</v>
      </c>
      <c r="N66" s="325"/>
      <c r="O66" s="325"/>
      <c r="P66" s="325"/>
      <c r="Q66" s="325"/>
      <c r="R66" s="325"/>
      <c r="S66" s="324"/>
      <c r="T66" s="324"/>
      <c r="U66" s="324"/>
      <c r="V66" s="324"/>
      <c r="W66" s="324"/>
      <c r="X66" s="324"/>
      <c r="Y66" s="324"/>
      <c r="Z66" s="324"/>
      <c r="AA66" s="324"/>
      <c r="AB66" s="324"/>
      <c r="AC66" s="324"/>
      <c r="AD66" s="324"/>
      <c r="AE66" s="324"/>
      <c r="AF66" s="324"/>
      <c r="AG66" s="324"/>
      <c r="AH66" s="324"/>
      <c r="AI66" s="324"/>
      <c r="AJ66" s="324"/>
      <c r="AK66" s="324"/>
      <c r="AL66" s="324"/>
      <c r="AM66" s="324"/>
      <c r="AN66" s="324"/>
      <c r="AO66" s="324"/>
      <c r="AP66" s="324"/>
      <c r="AQ66" s="324"/>
      <c r="AR66" s="324"/>
      <c r="AS66" s="324"/>
      <c r="AT66" s="324"/>
      <c r="AU66" s="324"/>
      <c r="AV66" s="324"/>
      <c r="AW66" s="324"/>
      <c r="AX66" s="324"/>
      <c r="AY66" s="324"/>
      <c r="AZ66" s="324"/>
      <c r="BA66" s="324"/>
      <c r="BB66" s="324"/>
      <c r="BC66" s="324"/>
      <c r="BD66" s="324"/>
      <c r="BE66" s="324"/>
      <c r="BF66" s="324"/>
      <c r="BG66" s="324"/>
      <c r="BH66" s="324"/>
      <c r="BI66" s="324"/>
      <c r="BJ66" s="324"/>
      <c r="BK66" s="324"/>
      <c r="BL66" s="324"/>
      <c r="BM66" s="324"/>
      <c r="BN66" s="324"/>
      <c r="BO66" s="324"/>
      <c r="BP66" s="324"/>
      <c r="BQ66" s="324"/>
      <c r="BR66" s="324"/>
      <c r="BS66" s="324"/>
      <c r="BT66" s="324"/>
      <c r="BU66" s="324"/>
      <c r="BV66" s="324"/>
      <c r="BW66" s="324"/>
      <c r="BX66" s="324"/>
      <c r="BY66" s="324"/>
      <c r="BZ66" s="324"/>
      <c r="CA66" s="324"/>
      <c r="CB66" s="324"/>
      <c r="CC66" s="324"/>
      <c r="CD66" s="324"/>
      <c r="CE66" s="324"/>
      <c r="CF66" s="324"/>
      <c r="CG66" s="324"/>
      <c r="CH66" s="324"/>
      <c r="CI66" s="324"/>
      <c r="CJ66" s="324"/>
      <c r="CK66" s="324"/>
      <c r="CL66" s="324"/>
      <c r="CM66" s="324"/>
      <c r="CN66" s="324"/>
      <c r="CO66" s="324"/>
      <c r="CP66" s="324"/>
      <c r="CQ66" s="324"/>
      <c r="CR66" s="324"/>
      <c r="CS66" s="324"/>
      <c r="CT66" s="324"/>
      <c r="CU66" s="324"/>
      <c r="CV66" s="324"/>
      <c r="CW66" s="324"/>
      <c r="CX66" s="324"/>
      <c r="CY66" s="324"/>
      <c r="CZ66" s="324"/>
      <c r="DA66" s="324"/>
      <c r="DB66" s="324"/>
      <c r="DC66" s="324"/>
      <c r="DD66" s="324"/>
      <c r="DE66" s="324"/>
      <c r="DF66" s="324"/>
      <c r="DG66" s="324"/>
      <c r="DH66" s="324"/>
      <c r="DI66" s="324"/>
    </row>
    <row r="67" spans="1:113" ht="15.75" thickBot="1" x14ac:dyDescent="0.3">
      <c r="B67" s="161"/>
      <c r="C67" s="162"/>
      <c r="D67" s="163"/>
      <c r="E67" s="164"/>
      <c r="F67" s="67"/>
      <c r="G67" s="164"/>
      <c r="H67" s="164"/>
      <c r="I67" s="164"/>
      <c r="J67" s="164"/>
      <c r="K67" s="163"/>
      <c r="L67"/>
      <c r="M67"/>
      <c r="N67"/>
      <c r="O67"/>
      <c r="P67"/>
      <c r="Q67"/>
      <c r="R67"/>
      <c r="S67"/>
      <c r="T67"/>
      <c r="U67"/>
      <c r="V67"/>
      <c r="W67"/>
      <c r="X67"/>
      <c r="Y67"/>
      <c r="Z67"/>
    </row>
    <row r="68" spans="1:113" ht="15.75" thickBot="1" x14ac:dyDescent="0.3">
      <c r="A68" s="407" t="s">
        <v>657</v>
      </c>
      <c r="B68" s="414" t="s">
        <v>708</v>
      </c>
      <c r="C68" s="414" t="s">
        <v>1</v>
      </c>
      <c r="D68" s="415" t="s">
        <v>649</v>
      </c>
      <c r="E68" s="416" t="s">
        <v>19</v>
      </c>
      <c r="F68" s="416"/>
      <c r="G68" s="416"/>
      <c r="H68" s="416"/>
      <c r="I68" s="416"/>
      <c r="J68" s="410" t="s">
        <v>21</v>
      </c>
      <c r="K68" s="417" t="s">
        <v>602</v>
      </c>
      <c r="L68"/>
      <c r="M68" s="400" t="s">
        <v>601</v>
      </c>
      <c r="N68" s="404" t="s">
        <v>924</v>
      </c>
      <c r="O68" s="405"/>
      <c r="P68" s="405"/>
      <c r="Q68" s="405"/>
      <c r="R68" s="405"/>
      <c r="S68" s="405"/>
      <c r="T68" s="405"/>
      <c r="U68" s="405"/>
      <c r="V68" s="405"/>
      <c r="W68" s="405"/>
      <c r="X68" s="405"/>
      <c r="Y68" s="405"/>
      <c r="Z68" s="405"/>
      <c r="AA68" s="405"/>
      <c r="AB68" s="405"/>
      <c r="AC68" s="405"/>
      <c r="AD68" s="405"/>
      <c r="AE68" s="405"/>
      <c r="AF68" s="405"/>
      <c r="AG68" s="405"/>
      <c r="AH68" s="405"/>
      <c r="AI68" s="405"/>
      <c r="AJ68" s="405"/>
      <c r="AK68" s="405"/>
      <c r="AL68" s="405"/>
      <c r="AM68" s="405"/>
      <c r="AN68" s="405"/>
      <c r="AO68" s="405"/>
      <c r="AP68" s="405"/>
      <c r="AQ68" s="405"/>
      <c r="AR68" s="405"/>
      <c r="AS68" s="405"/>
      <c r="AT68" s="405"/>
      <c r="AU68" s="405"/>
      <c r="AV68" s="405"/>
      <c r="AW68" s="405"/>
      <c r="AX68" s="405"/>
      <c r="AY68" s="405"/>
      <c r="AZ68" s="405"/>
      <c r="BA68" s="405"/>
      <c r="BB68" s="405"/>
      <c r="BC68" s="405"/>
      <c r="BD68" s="405"/>
      <c r="BE68" s="405"/>
      <c r="BF68" s="405"/>
      <c r="BG68" s="405"/>
      <c r="BH68" s="405"/>
      <c r="BI68" s="405"/>
      <c r="BJ68" s="405"/>
      <c r="BK68" s="405"/>
      <c r="BL68" s="405"/>
      <c r="BM68" s="405"/>
      <c r="BN68" s="405"/>
      <c r="BO68" s="405"/>
      <c r="BP68" s="405"/>
      <c r="BQ68" s="405"/>
      <c r="BR68" s="405"/>
      <c r="BS68" s="405"/>
      <c r="BT68" s="405"/>
      <c r="BU68" s="405"/>
      <c r="BV68" s="405"/>
      <c r="BW68" s="405"/>
      <c r="BX68" s="405"/>
      <c r="BY68" s="405"/>
      <c r="BZ68" s="405"/>
      <c r="CA68" s="405"/>
      <c r="CB68" s="405"/>
      <c r="CC68" s="405"/>
      <c r="CD68" s="405"/>
      <c r="CE68" s="405"/>
      <c r="CF68" s="405"/>
      <c r="CG68" s="405"/>
      <c r="CH68" s="405"/>
      <c r="CI68" s="405"/>
      <c r="CJ68" s="405"/>
      <c r="CK68" s="405"/>
      <c r="CL68" s="405"/>
      <c r="CM68" s="405"/>
      <c r="CN68" s="405"/>
      <c r="CO68" s="405"/>
      <c r="CP68" s="405"/>
      <c r="CQ68" s="405"/>
      <c r="CR68" s="405"/>
      <c r="CS68" s="405"/>
      <c r="CT68" s="405"/>
      <c r="CU68" s="405"/>
      <c r="CV68" s="405"/>
      <c r="CW68" s="405"/>
      <c r="CX68" s="405"/>
      <c r="CY68" s="405"/>
      <c r="CZ68" s="405"/>
      <c r="DA68" s="405"/>
      <c r="DB68" s="405"/>
      <c r="DC68" s="405"/>
      <c r="DD68" s="405"/>
      <c r="DE68" s="405"/>
      <c r="DF68" s="405"/>
      <c r="DG68" s="405"/>
      <c r="DH68" s="405"/>
      <c r="DI68" s="406"/>
    </row>
    <row r="69" spans="1:113" ht="45.75" thickBot="1" x14ac:dyDescent="0.3">
      <c r="A69" s="408"/>
      <c r="B69" s="414"/>
      <c r="C69" s="414"/>
      <c r="D69" s="415"/>
      <c r="E69" s="68" t="s">
        <v>22</v>
      </c>
      <c r="F69" s="68" t="s">
        <v>600</v>
      </c>
      <c r="G69" s="68" t="s">
        <v>601</v>
      </c>
      <c r="H69" s="68" t="s">
        <v>589</v>
      </c>
      <c r="I69" s="68" t="s">
        <v>601</v>
      </c>
      <c r="J69" s="411"/>
      <c r="K69" s="418"/>
      <c r="L69"/>
      <c r="M69" s="401"/>
      <c r="N69" s="400" t="s">
        <v>925</v>
      </c>
      <c r="O69" s="400" t="s">
        <v>926</v>
      </c>
      <c r="P69" s="400"/>
      <c r="Q69" s="400"/>
      <c r="R69" s="400"/>
      <c r="S69" s="398"/>
      <c r="T69" s="398"/>
      <c r="U69" s="398"/>
      <c r="V69" s="398"/>
      <c r="W69" s="398"/>
      <c r="X69" s="398"/>
      <c r="Y69" s="398"/>
      <c r="Z69" s="398"/>
      <c r="AA69" s="398"/>
      <c r="AB69" s="398"/>
      <c r="AC69" s="398"/>
      <c r="AD69" s="398"/>
      <c r="AE69" s="398"/>
      <c r="AF69" s="398"/>
      <c r="AG69" s="398"/>
      <c r="AH69" s="398"/>
      <c r="AI69" s="398"/>
      <c r="AJ69" s="398"/>
      <c r="AK69" s="398"/>
      <c r="AL69" s="398"/>
      <c r="AM69" s="398"/>
      <c r="AN69" s="398"/>
      <c r="AO69" s="398"/>
      <c r="AP69" s="398"/>
      <c r="AQ69" s="398"/>
      <c r="AR69" s="398"/>
      <c r="AS69" s="398"/>
      <c r="AT69" s="398"/>
      <c r="AU69" s="398"/>
      <c r="AV69" s="398"/>
      <c r="AW69" s="398"/>
      <c r="AX69" s="398"/>
      <c r="AY69" s="398"/>
      <c r="AZ69" s="398"/>
      <c r="BA69" s="398"/>
      <c r="BB69" s="398"/>
      <c r="BC69" s="398"/>
      <c r="BD69" s="398"/>
      <c r="BE69" s="398"/>
      <c r="BF69" s="398"/>
      <c r="BG69" s="398"/>
      <c r="BH69" s="398"/>
      <c r="BI69" s="398"/>
      <c r="BJ69" s="398"/>
      <c r="BK69" s="398"/>
      <c r="BL69" s="398"/>
      <c r="BM69" s="398"/>
      <c r="BN69" s="398"/>
      <c r="BO69" s="398"/>
      <c r="BP69" s="398"/>
      <c r="BQ69" s="398"/>
      <c r="BR69" s="398"/>
      <c r="BS69" s="398"/>
      <c r="BT69" s="398"/>
      <c r="BU69" s="398"/>
      <c r="BV69" s="398"/>
      <c r="BW69" s="398"/>
      <c r="BX69" s="398"/>
      <c r="BY69" s="398"/>
      <c r="BZ69" s="398"/>
      <c r="CA69" s="398"/>
      <c r="CB69" s="398"/>
      <c r="CC69" s="398"/>
      <c r="CD69" s="398"/>
      <c r="CE69" s="398"/>
      <c r="CF69" s="398"/>
      <c r="CG69" s="398"/>
      <c r="CH69" s="398"/>
      <c r="CI69" s="398"/>
      <c r="CJ69" s="398"/>
      <c r="CK69" s="398"/>
      <c r="CL69" s="398"/>
      <c r="CM69" s="398"/>
      <c r="CN69" s="398"/>
      <c r="CO69" s="398"/>
      <c r="CP69" s="398"/>
      <c r="CQ69" s="398"/>
      <c r="CR69" s="398"/>
      <c r="CS69" s="398"/>
      <c r="CT69" s="398"/>
      <c r="CU69" s="398"/>
      <c r="CV69" s="398"/>
      <c r="CW69" s="398"/>
      <c r="CX69" s="398"/>
      <c r="CY69" s="398"/>
      <c r="CZ69" s="398"/>
      <c r="DA69" s="398"/>
      <c r="DB69" s="398"/>
      <c r="DC69" s="398"/>
      <c r="DD69" s="398"/>
      <c r="DE69" s="398"/>
      <c r="DF69" s="398"/>
      <c r="DG69" s="398"/>
      <c r="DH69" s="398"/>
      <c r="DI69" s="398"/>
    </row>
    <row r="70" spans="1:113" ht="15.75" thickBot="1" x14ac:dyDescent="0.3">
      <c r="A70" s="409"/>
      <c r="B70" s="185">
        <v>1</v>
      </c>
      <c r="C70" s="185">
        <v>2</v>
      </c>
      <c r="D70" s="185">
        <v>3</v>
      </c>
      <c r="E70" s="70">
        <v>4</v>
      </c>
      <c r="F70" s="70">
        <f>+E70+1</f>
        <v>5</v>
      </c>
      <c r="G70" s="70" t="s">
        <v>652</v>
      </c>
      <c r="H70" s="70">
        <v>7</v>
      </c>
      <c r="I70" s="71" t="s">
        <v>651</v>
      </c>
      <c r="J70" s="42" t="s">
        <v>650</v>
      </c>
      <c r="K70" s="42" t="s">
        <v>653</v>
      </c>
      <c r="L70"/>
      <c r="M70" s="402"/>
      <c r="N70" s="402"/>
      <c r="O70" s="402"/>
      <c r="P70" s="402"/>
      <c r="Q70" s="402"/>
      <c r="R70" s="402"/>
      <c r="S70" s="399"/>
      <c r="T70" s="399"/>
      <c r="U70" s="399"/>
      <c r="V70" s="399"/>
      <c r="W70" s="399"/>
      <c r="X70" s="399"/>
      <c r="Y70" s="399"/>
      <c r="Z70" s="399"/>
      <c r="AA70" s="399"/>
      <c r="AB70" s="399"/>
      <c r="AC70" s="399"/>
      <c r="AD70" s="399"/>
      <c r="AE70" s="399"/>
      <c r="AF70" s="399"/>
      <c r="AG70" s="399"/>
      <c r="AH70" s="399"/>
      <c r="AI70" s="399"/>
      <c r="AJ70" s="399"/>
      <c r="AK70" s="399"/>
      <c r="AL70" s="399"/>
      <c r="AM70" s="399"/>
      <c r="AN70" s="399"/>
      <c r="AO70" s="399"/>
      <c r="AP70" s="399"/>
      <c r="AQ70" s="399"/>
      <c r="AR70" s="399"/>
      <c r="AS70" s="399"/>
      <c r="AT70" s="399"/>
      <c r="AU70" s="399"/>
      <c r="AV70" s="399"/>
      <c r="AW70" s="399"/>
      <c r="AX70" s="399"/>
      <c r="AY70" s="399"/>
      <c r="AZ70" s="399"/>
      <c r="BA70" s="399"/>
      <c r="BB70" s="399"/>
      <c r="BC70" s="399"/>
      <c r="BD70" s="399"/>
      <c r="BE70" s="399"/>
      <c r="BF70" s="399"/>
      <c r="BG70" s="399"/>
      <c r="BH70" s="399"/>
      <c r="BI70" s="399"/>
      <c r="BJ70" s="399"/>
      <c r="BK70" s="399"/>
      <c r="BL70" s="399"/>
      <c r="BM70" s="399"/>
      <c r="BN70" s="399"/>
      <c r="BO70" s="399"/>
      <c r="BP70" s="399"/>
      <c r="BQ70" s="399"/>
      <c r="BR70" s="399"/>
      <c r="BS70" s="399"/>
      <c r="BT70" s="399"/>
      <c r="BU70" s="399"/>
      <c r="BV70" s="399"/>
      <c r="BW70" s="399"/>
      <c r="BX70" s="399"/>
      <c r="BY70" s="399"/>
      <c r="BZ70" s="399"/>
      <c r="CA70" s="399"/>
      <c r="CB70" s="399"/>
      <c r="CC70" s="399"/>
      <c r="CD70" s="399"/>
      <c r="CE70" s="399"/>
      <c r="CF70" s="399"/>
      <c r="CG70" s="399"/>
      <c r="CH70" s="399"/>
      <c r="CI70" s="399"/>
      <c r="CJ70" s="399"/>
      <c r="CK70" s="399"/>
      <c r="CL70" s="399"/>
      <c r="CM70" s="399"/>
      <c r="CN70" s="399"/>
      <c r="CO70" s="399"/>
      <c r="CP70" s="399"/>
      <c r="CQ70" s="399"/>
      <c r="CR70" s="399"/>
      <c r="CS70" s="399"/>
      <c r="CT70" s="399"/>
      <c r="CU70" s="399"/>
      <c r="CV70" s="399"/>
      <c r="CW70" s="399"/>
      <c r="CX70" s="399"/>
      <c r="CY70" s="399"/>
      <c r="CZ70" s="399"/>
      <c r="DA70" s="399"/>
      <c r="DB70" s="399"/>
      <c r="DC70" s="399"/>
      <c r="DD70" s="399"/>
      <c r="DE70" s="399"/>
      <c r="DF70" s="399"/>
      <c r="DG70" s="399"/>
      <c r="DH70" s="399"/>
      <c r="DI70" s="399"/>
    </row>
    <row r="71" spans="1:113" x14ac:dyDescent="0.25">
      <c r="B71" s="32"/>
      <c r="C71" s="32"/>
      <c r="D71" s="32"/>
      <c r="E71" s="32"/>
      <c r="F71" s="32"/>
      <c r="G71" s="32"/>
      <c r="H71" s="32"/>
      <c r="I71" s="129"/>
      <c r="J71" s="32"/>
      <c r="K71" s="32"/>
      <c r="L71"/>
      <c r="M71" s="314">
        <f t="shared" ref="M71:M73" si="30">SUM(N71:DJ71)</f>
        <v>0</v>
      </c>
      <c r="N71" s="310"/>
      <c r="O71" s="315"/>
      <c r="P71" s="315"/>
      <c r="Q71" s="315"/>
      <c r="R71" s="315"/>
      <c r="S71" s="55"/>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c r="BQ71" s="55"/>
      <c r="BR71" s="55"/>
      <c r="BS71" s="55"/>
      <c r="BT71" s="55"/>
      <c r="BU71" s="55"/>
      <c r="BV71" s="55"/>
      <c r="BW71" s="55"/>
      <c r="BX71" s="55"/>
      <c r="BY71" s="55"/>
      <c r="BZ71" s="55"/>
      <c r="CA71" s="55"/>
      <c r="CB71" s="55"/>
      <c r="CC71" s="55"/>
      <c r="CD71" s="55"/>
      <c r="CE71" s="55"/>
      <c r="CF71" s="55"/>
      <c r="CG71" s="55"/>
      <c r="CH71" s="55"/>
      <c r="CI71" s="55"/>
      <c r="CJ71" s="55"/>
      <c r="CK71" s="55"/>
      <c r="CL71" s="55"/>
      <c r="CM71" s="55"/>
      <c r="CN71" s="55"/>
      <c r="CO71" s="55"/>
      <c r="CP71" s="55"/>
      <c r="CQ71" s="55"/>
      <c r="CR71" s="55"/>
      <c r="CS71" s="55"/>
      <c r="CT71" s="55"/>
      <c r="CU71" s="55"/>
      <c r="CV71" s="55"/>
      <c r="CW71" s="55"/>
      <c r="CX71" s="55"/>
      <c r="CY71" s="55"/>
      <c r="CZ71" s="55"/>
      <c r="DA71" s="55"/>
      <c r="DB71" s="55"/>
      <c r="DC71" s="55"/>
      <c r="DD71" s="55"/>
      <c r="DE71" s="55"/>
      <c r="DF71" s="55"/>
      <c r="DG71" s="55"/>
      <c r="DH71" s="55"/>
      <c r="DI71" s="55"/>
    </row>
    <row r="72" spans="1:113" ht="15.75" thickBot="1" x14ac:dyDescent="0.3">
      <c r="A72" s="170">
        <v>1</v>
      </c>
      <c r="B72" s="225" t="s">
        <v>766</v>
      </c>
      <c r="C72" s="135">
        <v>12000</v>
      </c>
      <c r="D72" s="136">
        <f>136.57*4+5500</f>
        <v>6046.28</v>
      </c>
      <c r="E72" s="28">
        <v>26</v>
      </c>
      <c r="F72" s="28"/>
      <c r="G72" s="194">
        <f t="shared" ref="G72" si="31">+E72+F72</f>
        <v>26</v>
      </c>
      <c r="H72" s="108"/>
      <c r="I72" s="109">
        <f t="shared" ref="I72" si="32">+G72-H72</f>
        <v>26</v>
      </c>
      <c r="J72" s="109">
        <f t="shared" ref="J72" si="33">I72*C72</f>
        <v>312000</v>
      </c>
      <c r="K72" s="110">
        <f t="shared" ref="K72" si="34">+D72*I72</f>
        <v>157203.28</v>
      </c>
      <c r="L72"/>
      <c r="M72" s="314">
        <f t="shared" si="30"/>
        <v>0</v>
      </c>
      <c r="N72" s="310"/>
      <c r="O72" s="315"/>
      <c r="P72" s="315"/>
      <c r="Q72" s="315"/>
      <c r="R72" s="315"/>
      <c r="S72" s="5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BX72" s="55"/>
      <c r="BY72" s="55"/>
      <c r="BZ72" s="55"/>
      <c r="CA72" s="55"/>
      <c r="CB72" s="55"/>
      <c r="CC72" s="55"/>
      <c r="CD72" s="55"/>
      <c r="CE72" s="55"/>
      <c r="CF72" s="55"/>
      <c r="CG72" s="55"/>
      <c r="CH72" s="55"/>
      <c r="CI72" s="55"/>
      <c r="CJ72" s="55"/>
      <c r="CK72" s="55"/>
      <c r="CL72" s="55"/>
      <c r="CM72" s="55"/>
      <c r="CN72" s="55"/>
      <c r="CO72" s="55"/>
      <c r="CP72" s="55"/>
      <c r="CQ72" s="55"/>
      <c r="CR72" s="55"/>
      <c r="CS72" s="55"/>
      <c r="CT72" s="55"/>
      <c r="CU72" s="55"/>
      <c r="CV72" s="55"/>
      <c r="CW72" s="55"/>
      <c r="CX72" s="55"/>
      <c r="CY72" s="55"/>
      <c r="CZ72" s="55"/>
      <c r="DA72" s="55"/>
      <c r="DB72" s="55"/>
      <c r="DC72" s="55"/>
      <c r="DD72" s="55"/>
      <c r="DE72" s="55"/>
      <c r="DF72" s="55"/>
      <c r="DG72" s="55"/>
      <c r="DH72" s="55"/>
      <c r="DI72" s="55"/>
    </row>
    <row r="73" spans="1:113" ht="15.75" thickBot="1" x14ac:dyDescent="0.3">
      <c r="A73" s="128"/>
      <c r="B73" s="119" t="s">
        <v>673</v>
      </c>
      <c r="C73" s="36"/>
      <c r="D73" s="36"/>
      <c r="E73" s="29">
        <f>E72</f>
        <v>26</v>
      </c>
      <c r="F73" s="29"/>
      <c r="G73" s="29">
        <f>G72</f>
        <v>26</v>
      </c>
      <c r="H73" s="29">
        <f>H72</f>
        <v>0</v>
      </c>
      <c r="I73" s="29">
        <f>I72</f>
        <v>26</v>
      </c>
      <c r="J73" s="29">
        <f t="shared" ref="J73:K73" si="35">J72</f>
        <v>312000</v>
      </c>
      <c r="K73" s="47">
        <f t="shared" si="35"/>
        <v>157203.28</v>
      </c>
      <c r="L73"/>
      <c r="M73" s="322">
        <f t="shared" si="30"/>
        <v>0</v>
      </c>
      <c r="N73" s="325"/>
      <c r="O73" s="325"/>
      <c r="P73" s="325"/>
      <c r="Q73" s="325"/>
      <c r="R73" s="325"/>
      <c r="S73" s="324"/>
      <c r="T73" s="324"/>
      <c r="U73" s="324"/>
      <c r="V73" s="324"/>
      <c r="W73" s="324"/>
      <c r="X73" s="324"/>
      <c r="Y73" s="324"/>
      <c r="Z73" s="324"/>
      <c r="AA73" s="324"/>
      <c r="AB73" s="324"/>
      <c r="AC73" s="324"/>
      <c r="AD73" s="324"/>
      <c r="AE73" s="324"/>
      <c r="AF73" s="324"/>
      <c r="AG73" s="324"/>
      <c r="AH73" s="324"/>
      <c r="AI73" s="324"/>
      <c r="AJ73" s="324"/>
      <c r="AK73" s="324"/>
      <c r="AL73" s="324"/>
      <c r="AM73" s="324"/>
      <c r="AN73" s="324"/>
      <c r="AO73" s="324"/>
      <c r="AP73" s="324"/>
      <c r="AQ73" s="324"/>
      <c r="AR73" s="324"/>
      <c r="AS73" s="324"/>
      <c r="AT73" s="324"/>
      <c r="AU73" s="324"/>
      <c r="AV73" s="324"/>
      <c r="AW73" s="324"/>
      <c r="AX73" s="324"/>
      <c r="AY73" s="324"/>
      <c r="AZ73" s="324"/>
      <c r="BA73" s="324"/>
      <c r="BB73" s="324"/>
      <c r="BC73" s="324"/>
      <c r="BD73" s="324"/>
      <c r="BE73" s="324"/>
      <c r="BF73" s="324"/>
      <c r="BG73" s="324"/>
      <c r="BH73" s="324"/>
      <c r="BI73" s="324"/>
      <c r="BJ73" s="324"/>
      <c r="BK73" s="324"/>
      <c r="BL73" s="324"/>
      <c r="BM73" s="324"/>
      <c r="BN73" s="324"/>
      <c r="BO73" s="324"/>
      <c r="BP73" s="324"/>
      <c r="BQ73" s="324"/>
      <c r="BR73" s="324"/>
      <c r="BS73" s="324"/>
      <c r="BT73" s="324"/>
      <c r="BU73" s="324"/>
      <c r="BV73" s="324"/>
      <c r="BW73" s="324"/>
      <c r="BX73" s="324"/>
      <c r="BY73" s="324"/>
      <c r="BZ73" s="324"/>
      <c r="CA73" s="324"/>
      <c r="CB73" s="324"/>
      <c r="CC73" s="324"/>
      <c r="CD73" s="324"/>
      <c r="CE73" s="324"/>
      <c r="CF73" s="324"/>
      <c r="CG73" s="324"/>
      <c r="CH73" s="324"/>
      <c r="CI73" s="324"/>
      <c r="CJ73" s="324"/>
      <c r="CK73" s="324"/>
      <c r="CL73" s="324"/>
      <c r="CM73" s="324"/>
      <c r="CN73" s="324"/>
      <c r="CO73" s="324"/>
      <c r="CP73" s="324"/>
      <c r="CQ73" s="324"/>
      <c r="CR73" s="324"/>
      <c r="CS73" s="324"/>
      <c r="CT73" s="324"/>
      <c r="CU73" s="324"/>
      <c r="CV73" s="324"/>
      <c r="CW73" s="324"/>
      <c r="CX73" s="324"/>
      <c r="CY73" s="324"/>
      <c r="CZ73" s="324"/>
      <c r="DA73" s="324"/>
      <c r="DB73" s="324"/>
      <c r="DC73" s="324"/>
      <c r="DD73" s="324"/>
      <c r="DE73" s="324"/>
      <c r="DF73" s="324"/>
      <c r="DG73" s="324"/>
      <c r="DH73" s="324"/>
      <c r="DI73" s="324"/>
    </row>
    <row r="74" spans="1:113" ht="15.75" thickBot="1" x14ac:dyDescent="0.3">
      <c r="B74" s="161"/>
      <c r="C74" s="162"/>
      <c r="D74" s="163"/>
      <c r="E74" s="164"/>
      <c r="F74" s="67"/>
      <c r="G74" s="164"/>
      <c r="H74" s="164"/>
      <c r="I74" s="164"/>
      <c r="J74" s="164"/>
      <c r="K74" s="163"/>
      <c r="L74"/>
      <c r="M74"/>
      <c r="N74"/>
      <c r="O74"/>
      <c r="P74"/>
      <c r="Q74"/>
      <c r="R74"/>
      <c r="S74"/>
      <c r="T74"/>
      <c r="U74"/>
      <c r="V74"/>
      <c r="W74"/>
      <c r="X74"/>
      <c r="Y74"/>
      <c r="Z74"/>
    </row>
    <row r="75" spans="1:113" ht="15.75" thickBot="1" x14ac:dyDescent="0.3">
      <c r="A75" s="407" t="s">
        <v>657</v>
      </c>
      <c r="B75" s="414" t="s">
        <v>708</v>
      </c>
      <c r="C75" s="414" t="s">
        <v>1</v>
      </c>
      <c r="D75" s="415" t="s">
        <v>649</v>
      </c>
      <c r="E75" s="416" t="s">
        <v>19</v>
      </c>
      <c r="F75" s="416"/>
      <c r="G75" s="416"/>
      <c r="H75" s="416"/>
      <c r="I75" s="416"/>
      <c r="J75" s="410" t="s">
        <v>21</v>
      </c>
      <c r="K75" s="417" t="s">
        <v>602</v>
      </c>
      <c r="L75"/>
      <c r="M75" s="400" t="s">
        <v>601</v>
      </c>
      <c r="N75" s="404" t="s">
        <v>924</v>
      </c>
      <c r="O75" s="405"/>
      <c r="P75" s="405"/>
      <c r="Q75" s="405"/>
      <c r="R75" s="405"/>
      <c r="S75" s="405"/>
      <c r="T75" s="405"/>
      <c r="U75" s="405"/>
      <c r="V75" s="405"/>
      <c r="W75" s="405"/>
      <c r="X75" s="405"/>
      <c r="Y75" s="405"/>
      <c r="Z75" s="405"/>
      <c r="AA75" s="405"/>
      <c r="AB75" s="405"/>
      <c r="AC75" s="405"/>
      <c r="AD75" s="405"/>
      <c r="AE75" s="405"/>
      <c r="AF75" s="405"/>
      <c r="AG75" s="405"/>
      <c r="AH75" s="405"/>
      <c r="AI75" s="405"/>
      <c r="AJ75" s="405"/>
      <c r="AK75" s="405"/>
      <c r="AL75" s="405"/>
      <c r="AM75" s="405"/>
      <c r="AN75" s="405"/>
      <c r="AO75" s="405"/>
      <c r="AP75" s="405"/>
      <c r="AQ75" s="405"/>
      <c r="AR75" s="405"/>
      <c r="AS75" s="405"/>
      <c r="AT75" s="405"/>
      <c r="AU75" s="405"/>
      <c r="AV75" s="405"/>
      <c r="AW75" s="405"/>
      <c r="AX75" s="405"/>
      <c r="AY75" s="405"/>
      <c r="AZ75" s="405"/>
      <c r="BA75" s="405"/>
      <c r="BB75" s="405"/>
      <c r="BC75" s="405"/>
      <c r="BD75" s="405"/>
      <c r="BE75" s="405"/>
      <c r="BF75" s="405"/>
      <c r="BG75" s="405"/>
      <c r="BH75" s="405"/>
      <c r="BI75" s="405"/>
      <c r="BJ75" s="405"/>
      <c r="BK75" s="405"/>
      <c r="BL75" s="405"/>
      <c r="BM75" s="405"/>
      <c r="BN75" s="405"/>
      <c r="BO75" s="405"/>
      <c r="BP75" s="405"/>
      <c r="BQ75" s="405"/>
      <c r="BR75" s="405"/>
      <c r="BS75" s="405"/>
      <c r="BT75" s="405"/>
      <c r="BU75" s="405"/>
      <c r="BV75" s="405"/>
      <c r="BW75" s="405"/>
      <c r="BX75" s="405"/>
      <c r="BY75" s="405"/>
      <c r="BZ75" s="405"/>
      <c r="CA75" s="405"/>
      <c r="CB75" s="405"/>
      <c r="CC75" s="405"/>
      <c r="CD75" s="405"/>
      <c r="CE75" s="405"/>
      <c r="CF75" s="405"/>
      <c r="CG75" s="405"/>
      <c r="CH75" s="405"/>
      <c r="CI75" s="405"/>
      <c r="CJ75" s="405"/>
      <c r="CK75" s="405"/>
      <c r="CL75" s="405"/>
      <c r="CM75" s="405"/>
      <c r="CN75" s="405"/>
      <c r="CO75" s="405"/>
      <c r="CP75" s="405"/>
      <c r="CQ75" s="405"/>
      <c r="CR75" s="405"/>
      <c r="CS75" s="405"/>
      <c r="CT75" s="405"/>
      <c r="CU75" s="405"/>
      <c r="CV75" s="405"/>
      <c r="CW75" s="405"/>
      <c r="CX75" s="405"/>
      <c r="CY75" s="405"/>
      <c r="CZ75" s="405"/>
      <c r="DA75" s="405"/>
      <c r="DB75" s="405"/>
      <c r="DC75" s="405"/>
      <c r="DD75" s="405"/>
      <c r="DE75" s="405"/>
      <c r="DF75" s="405"/>
      <c r="DG75" s="405"/>
      <c r="DH75" s="405"/>
      <c r="DI75" s="406"/>
    </row>
    <row r="76" spans="1:113" ht="45.75" thickBot="1" x14ac:dyDescent="0.3">
      <c r="A76" s="408"/>
      <c r="B76" s="414"/>
      <c r="C76" s="414"/>
      <c r="D76" s="415"/>
      <c r="E76" s="68" t="s">
        <v>22</v>
      </c>
      <c r="F76" s="68" t="s">
        <v>600</v>
      </c>
      <c r="G76" s="68" t="s">
        <v>601</v>
      </c>
      <c r="H76" s="68" t="s">
        <v>589</v>
      </c>
      <c r="I76" s="68" t="s">
        <v>601</v>
      </c>
      <c r="J76" s="411"/>
      <c r="K76" s="418"/>
      <c r="L76"/>
      <c r="M76" s="401"/>
      <c r="N76" s="400" t="s">
        <v>925</v>
      </c>
      <c r="O76" s="400" t="s">
        <v>926</v>
      </c>
      <c r="P76" s="400"/>
      <c r="Q76" s="400"/>
      <c r="R76" s="400"/>
      <c r="S76" s="398"/>
      <c r="T76" s="398"/>
      <c r="U76" s="398"/>
      <c r="V76" s="398"/>
      <c r="W76" s="398"/>
      <c r="X76" s="398"/>
      <c r="Y76" s="398"/>
      <c r="Z76" s="398"/>
      <c r="AA76" s="398"/>
      <c r="AB76" s="398"/>
      <c r="AC76" s="398"/>
      <c r="AD76" s="398"/>
      <c r="AE76" s="398"/>
      <c r="AF76" s="398"/>
      <c r="AG76" s="398"/>
      <c r="AH76" s="398"/>
      <c r="AI76" s="398"/>
      <c r="AJ76" s="398"/>
      <c r="AK76" s="398"/>
      <c r="AL76" s="398"/>
      <c r="AM76" s="398"/>
      <c r="AN76" s="398"/>
      <c r="AO76" s="398"/>
      <c r="AP76" s="398"/>
      <c r="AQ76" s="398"/>
      <c r="AR76" s="398"/>
      <c r="AS76" s="398"/>
      <c r="AT76" s="398"/>
      <c r="AU76" s="398"/>
      <c r="AV76" s="398"/>
      <c r="AW76" s="398"/>
      <c r="AX76" s="398"/>
      <c r="AY76" s="398"/>
      <c r="AZ76" s="398"/>
      <c r="BA76" s="398"/>
      <c r="BB76" s="398"/>
      <c r="BC76" s="398"/>
      <c r="BD76" s="398"/>
      <c r="BE76" s="398"/>
      <c r="BF76" s="398"/>
      <c r="BG76" s="398"/>
      <c r="BH76" s="398"/>
      <c r="BI76" s="398"/>
      <c r="BJ76" s="398"/>
      <c r="BK76" s="398"/>
      <c r="BL76" s="398"/>
      <c r="BM76" s="398"/>
      <c r="BN76" s="398"/>
      <c r="BO76" s="398"/>
      <c r="BP76" s="398"/>
      <c r="BQ76" s="398"/>
      <c r="BR76" s="398"/>
      <c r="BS76" s="398"/>
      <c r="BT76" s="398"/>
      <c r="BU76" s="398"/>
      <c r="BV76" s="398"/>
      <c r="BW76" s="398"/>
      <c r="BX76" s="398"/>
      <c r="BY76" s="398"/>
      <c r="BZ76" s="398"/>
      <c r="CA76" s="398"/>
      <c r="CB76" s="398"/>
      <c r="CC76" s="398"/>
      <c r="CD76" s="398"/>
      <c r="CE76" s="398"/>
      <c r="CF76" s="398"/>
      <c r="CG76" s="398"/>
      <c r="CH76" s="398"/>
      <c r="CI76" s="398"/>
      <c r="CJ76" s="398"/>
      <c r="CK76" s="398"/>
      <c r="CL76" s="398"/>
      <c r="CM76" s="398"/>
      <c r="CN76" s="398"/>
      <c r="CO76" s="398"/>
      <c r="CP76" s="398"/>
      <c r="CQ76" s="398"/>
      <c r="CR76" s="398"/>
      <c r="CS76" s="398"/>
      <c r="CT76" s="398"/>
      <c r="CU76" s="398"/>
      <c r="CV76" s="398"/>
      <c r="CW76" s="398"/>
      <c r="CX76" s="398"/>
      <c r="CY76" s="398"/>
      <c r="CZ76" s="398"/>
      <c r="DA76" s="398"/>
      <c r="DB76" s="398"/>
      <c r="DC76" s="398"/>
      <c r="DD76" s="398"/>
      <c r="DE76" s="398"/>
      <c r="DF76" s="398"/>
      <c r="DG76" s="398"/>
      <c r="DH76" s="398"/>
      <c r="DI76" s="398"/>
    </row>
    <row r="77" spans="1:113" ht="15.75" thickBot="1" x14ac:dyDescent="0.3">
      <c r="A77" s="409"/>
      <c r="B77" s="185">
        <v>1</v>
      </c>
      <c r="C77" s="185">
        <v>2</v>
      </c>
      <c r="D77" s="185">
        <v>3</v>
      </c>
      <c r="E77" s="70">
        <v>4</v>
      </c>
      <c r="F77" s="70">
        <f>+E77+1</f>
        <v>5</v>
      </c>
      <c r="G77" s="70" t="s">
        <v>652</v>
      </c>
      <c r="H77" s="70">
        <v>7</v>
      </c>
      <c r="I77" s="71" t="s">
        <v>651</v>
      </c>
      <c r="J77" s="42" t="s">
        <v>650</v>
      </c>
      <c r="K77" s="42" t="s">
        <v>653</v>
      </c>
      <c r="L77"/>
      <c r="M77" s="402"/>
      <c r="N77" s="402"/>
      <c r="O77" s="402"/>
      <c r="P77" s="402"/>
      <c r="Q77" s="402"/>
      <c r="R77" s="402"/>
      <c r="S77" s="399"/>
      <c r="T77" s="399"/>
      <c r="U77" s="399"/>
      <c r="V77" s="399"/>
      <c r="W77" s="399"/>
      <c r="X77" s="399"/>
      <c r="Y77" s="399"/>
      <c r="Z77" s="399"/>
      <c r="AA77" s="399"/>
      <c r="AB77" s="399"/>
      <c r="AC77" s="399"/>
      <c r="AD77" s="399"/>
      <c r="AE77" s="399"/>
      <c r="AF77" s="399"/>
      <c r="AG77" s="399"/>
      <c r="AH77" s="399"/>
      <c r="AI77" s="399"/>
      <c r="AJ77" s="399"/>
      <c r="AK77" s="399"/>
      <c r="AL77" s="399"/>
      <c r="AM77" s="399"/>
      <c r="AN77" s="399"/>
      <c r="AO77" s="399"/>
      <c r="AP77" s="399"/>
      <c r="AQ77" s="399"/>
      <c r="AR77" s="399"/>
      <c r="AS77" s="399"/>
      <c r="AT77" s="399"/>
      <c r="AU77" s="399"/>
      <c r="AV77" s="399"/>
      <c r="AW77" s="399"/>
      <c r="AX77" s="399"/>
      <c r="AY77" s="399"/>
      <c r="AZ77" s="399"/>
      <c r="BA77" s="399"/>
      <c r="BB77" s="399"/>
      <c r="BC77" s="399"/>
      <c r="BD77" s="399"/>
      <c r="BE77" s="399"/>
      <c r="BF77" s="399"/>
      <c r="BG77" s="399"/>
      <c r="BH77" s="399"/>
      <c r="BI77" s="399"/>
      <c r="BJ77" s="399"/>
      <c r="BK77" s="399"/>
      <c r="BL77" s="399"/>
      <c r="BM77" s="399"/>
      <c r="BN77" s="399"/>
      <c r="BO77" s="399"/>
      <c r="BP77" s="399"/>
      <c r="BQ77" s="399"/>
      <c r="BR77" s="399"/>
      <c r="BS77" s="399"/>
      <c r="BT77" s="399"/>
      <c r="BU77" s="399"/>
      <c r="BV77" s="399"/>
      <c r="BW77" s="399"/>
      <c r="BX77" s="399"/>
      <c r="BY77" s="399"/>
      <c r="BZ77" s="399"/>
      <c r="CA77" s="399"/>
      <c r="CB77" s="399"/>
      <c r="CC77" s="399"/>
      <c r="CD77" s="399"/>
      <c r="CE77" s="399"/>
      <c r="CF77" s="399"/>
      <c r="CG77" s="399"/>
      <c r="CH77" s="399"/>
      <c r="CI77" s="399"/>
      <c r="CJ77" s="399"/>
      <c r="CK77" s="399"/>
      <c r="CL77" s="399"/>
      <c r="CM77" s="399"/>
      <c r="CN77" s="399"/>
      <c r="CO77" s="399"/>
      <c r="CP77" s="399"/>
      <c r="CQ77" s="399"/>
      <c r="CR77" s="399"/>
      <c r="CS77" s="399"/>
      <c r="CT77" s="399"/>
      <c r="CU77" s="399"/>
      <c r="CV77" s="399"/>
      <c r="CW77" s="399"/>
      <c r="CX77" s="399"/>
      <c r="CY77" s="399"/>
      <c r="CZ77" s="399"/>
      <c r="DA77" s="399"/>
      <c r="DB77" s="399"/>
      <c r="DC77" s="399"/>
      <c r="DD77" s="399"/>
      <c r="DE77" s="399"/>
      <c r="DF77" s="399"/>
      <c r="DG77" s="399"/>
      <c r="DH77" s="399"/>
      <c r="DI77" s="399"/>
    </row>
    <row r="78" spans="1:113" x14ac:dyDescent="0.25">
      <c r="A78" s="160"/>
      <c r="B78" s="54"/>
      <c r="C78" s="54"/>
      <c r="D78" s="54"/>
      <c r="E78" s="54"/>
      <c r="F78" s="54"/>
      <c r="G78" s="54"/>
      <c r="H78" s="54"/>
      <c r="I78" s="54"/>
      <c r="J78" s="54"/>
      <c r="K78" s="54"/>
      <c r="L78"/>
      <c r="M78" s="314">
        <f t="shared" ref="M78:M81" si="36">SUM(N78:DJ78)</f>
        <v>0</v>
      </c>
      <c r="N78" s="310"/>
      <c r="O78" s="315"/>
      <c r="P78" s="315"/>
      <c r="Q78" s="315"/>
      <c r="R78" s="315"/>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c r="BQ78" s="55"/>
      <c r="BR78" s="55"/>
      <c r="BS78" s="55"/>
      <c r="BT78" s="55"/>
      <c r="BU78" s="55"/>
      <c r="BV78" s="55"/>
      <c r="BW78" s="55"/>
      <c r="BX78" s="55"/>
      <c r="BY78" s="55"/>
      <c r="BZ78" s="55"/>
      <c r="CA78" s="55"/>
      <c r="CB78" s="55"/>
      <c r="CC78" s="55"/>
      <c r="CD78" s="55"/>
      <c r="CE78" s="55"/>
      <c r="CF78" s="55"/>
      <c r="CG78" s="55"/>
      <c r="CH78" s="55"/>
      <c r="CI78" s="55"/>
      <c r="CJ78" s="55"/>
      <c r="CK78" s="55"/>
      <c r="CL78" s="55"/>
      <c r="CM78" s="55"/>
      <c r="CN78" s="55"/>
      <c r="CO78" s="55"/>
      <c r="CP78" s="55"/>
      <c r="CQ78" s="55"/>
      <c r="CR78" s="55"/>
      <c r="CS78" s="55"/>
      <c r="CT78" s="55"/>
      <c r="CU78" s="55"/>
      <c r="CV78" s="55"/>
      <c r="CW78" s="55"/>
      <c r="CX78" s="55"/>
      <c r="CY78" s="55"/>
      <c r="CZ78" s="55"/>
      <c r="DA78" s="55"/>
      <c r="DB78" s="55"/>
      <c r="DC78" s="55"/>
      <c r="DD78" s="55"/>
      <c r="DE78" s="55"/>
      <c r="DF78" s="55"/>
      <c r="DG78" s="55"/>
      <c r="DH78" s="55"/>
      <c r="DI78" s="55"/>
    </row>
    <row r="79" spans="1:113" x14ac:dyDescent="0.25">
      <c r="A79" s="152">
        <v>1</v>
      </c>
      <c r="B79" s="215" t="s">
        <v>767</v>
      </c>
      <c r="C79" s="80">
        <v>100000</v>
      </c>
      <c r="D79" s="142">
        <v>8693.16</v>
      </c>
      <c r="E79" s="43">
        <v>4</v>
      </c>
      <c r="F79" s="43"/>
      <c r="G79" s="166">
        <f t="shared" ref="G79:G80" si="37">+E79+F79</f>
        <v>4</v>
      </c>
      <c r="H79" s="55"/>
      <c r="I79" s="56">
        <f t="shared" ref="I79:I80" si="38">+G79-H79</f>
        <v>4</v>
      </c>
      <c r="J79" s="56">
        <f t="shared" ref="J79:J80" si="39">I79*C79</f>
        <v>400000</v>
      </c>
      <c r="K79" s="57">
        <f t="shared" ref="K79:K80" si="40">+D79*I79</f>
        <v>34772.639999999999</v>
      </c>
      <c r="L79"/>
      <c r="M79" s="314">
        <f t="shared" si="36"/>
        <v>0</v>
      </c>
      <c r="N79" s="310"/>
      <c r="O79" s="315"/>
      <c r="P79" s="315"/>
      <c r="Q79" s="315"/>
      <c r="R79" s="315"/>
      <c r="S79" s="55"/>
      <c r="T79" s="55"/>
      <c r="U79" s="55"/>
      <c r="V79" s="55"/>
      <c r="W79" s="55"/>
      <c r="X79" s="55"/>
      <c r="Y79" s="55"/>
      <c r="Z79" s="55"/>
      <c r="AA79" s="55"/>
      <c r="AB79" s="55"/>
      <c r="AC79" s="55"/>
      <c r="AD79" s="55"/>
      <c r="AE79" s="55"/>
      <c r="AF79" s="55"/>
      <c r="AG79" s="55"/>
      <c r="AH79" s="55"/>
      <c r="AI79" s="55"/>
      <c r="AJ79" s="55"/>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c r="BM79" s="55"/>
      <c r="BN79" s="55"/>
      <c r="BO79" s="55"/>
      <c r="BP79" s="55"/>
      <c r="BQ79" s="55"/>
      <c r="BR79" s="55"/>
      <c r="BS79" s="55"/>
      <c r="BT79" s="55"/>
      <c r="BU79" s="55"/>
      <c r="BV79" s="55"/>
      <c r="BW79" s="55"/>
      <c r="BX79" s="55"/>
      <c r="BY79" s="55"/>
      <c r="BZ79" s="55"/>
      <c r="CA79" s="55"/>
      <c r="CB79" s="55"/>
      <c r="CC79" s="55"/>
      <c r="CD79" s="55"/>
      <c r="CE79" s="55"/>
      <c r="CF79" s="55"/>
      <c r="CG79" s="55"/>
      <c r="CH79" s="55"/>
      <c r="CI79" s="55"/>
      <c r="CJ79" s="55"/>
      <c r="CK79" s="55"/>
      <c r="CL79" s="55"/>
      <c r="CM79" s="55"/>
      <c r="CN79" s="55"/>
      <c r="CO79" s="55"/>
      <c r="CP79" s="55"/>
      <c r="CQ79" s="55"/>
      <c r="CR79" s="55"/>
      <c r="CS79" s="55"/>
      <c r="CT79" s="55"/>
      <c r="CU79" s="55"/>
      <c r="CV79" s="55"/>
      <c r="CW79" s="55"/>
      <c r="CX79" s="55"/>
      <c r="CY79" s="55"/>
      <c r="CZ79" s="55"/>
      <c r="DA79" s="55"/>
      <c r="DB79" s="55"/>
      <c r="DC79" s="55"/>
      <c r="DD79" s="55"/>
      <c r="DE79" s="55"/>
      <c r="DF79" s="55"/>
      <c r="DG79" s="55"/>
      <c r="DH79" s="55"/>
      <c r="DI79" s="55"/>
    </row>
    <row r="80" spans="1:113" ht="15.75" thickBot="1" x14ac:dyDescent="0.3">
      <c r="A80" s="153">
        <v>2</v>
      </c>
      <c r="B80" s="217" t="s">
        <v>771</v>
      </c>
      <c r="C80" s="82">
        <v>60000</v>
      </c>
      <c r="D80" s="145">
        <v>13622.62</v>
      </c>
      <c r="E80" s="154">
        <v>40</v>
      </c>
      <c r="F80" s="154"/>
      <c r="G80" s="197">
        <f t="shared" si="37"/>
        <v>40</v>
      </c>
      <c r="H80" s="58"/>
      <c r="I80" s="64">
        <f t="shared" si="38"/>
        <v>40</v>
      </c>
      <c r="J80" s="64">
        <f t="shared" si="39"/>
        <v>2400000</v>
      </c>
      <c r="K80" s="65">
        <f t="shared" si="40"/>
        <v>544904.80000000005</v>
      </c>
      <c r="L80"/>
      <c r="M80" s="314">
        <f t="shared" si="36"/>
        <v>0</v>
      </c>
      <c r="N80" s="310"/>
      <c r="O80" s="315"/>
      <c r="P80" s="315"/>
      <c r="Q80" s="315"/>
      <c r="R80" s="315"/>
      <c r="S80" s="55"/>
      <c r="T80" s="55"/>
      <c r="U80" s="55"/>
      <c r="V80" s="55"/>
      <c r="W80" s="55"/>
      <c r="X80" s="55"/>
      <c r="Y80" s="55"/>
      <c r="Z80" s="55"/>
      <c r="AA80" s="55"/>
      <c r="AB80" s="55"/>
      <c r="AC80" s="55"/>
      <c r="AD80" s="55"/>
      <c r="AE80" s="55"/>
      <c r="AF80" s="55"/>
      <c r="AG80" s="55"/>
      <c r="AH80" s="55"/>
      <c r="AI80" s="55"/>
      <c r="AJ80" s="55"/>
      <c r="AK80" s="55"/>
      <c r="AL80" s="55"/>
      <c r="AM80" s="55"/>
      <c r="AN80" s="55"/>
      <c r="AO80" s="55"/>
      <c r="AP80" s="55"/>
      <c r="AQ80" s="55"/>
      <c r="AR80" s="55"/>
      <c r="AS80" s="55"/>
      <c r="AT80" s="55"/>
      <c r="AU80" s="55"/>
      <c r="AV80" s="55"/>
      <c r="AW80" s="55"/>
      <c r="AX80" s="55"/>
      <c r="AY80" s="55"/>
      <c r="AZ80" s="55"/>
      <c r="BA80" s="55"/>
      <c r="BB80" s="55"/>
      <c r="BC80" s="55"/>
      <c r="BD80" s="55"/>
      <c r="BE80" s="55"/>
      <c r="BF80" s="55"/>
      <c r="BG80" s="55"/>
      <c r="BH80" s="55"/>
      <c r="BI80" s="55"/>
      <c r="BJ80" s="55"/>
      <c r="BK80" s="55"/>
      <c r="BL80" s="55"/>
      <c r="BM80" s="55"/>
      <c r="BN80" s="55"/>
      <c r="BO80" s="55"/>
      <c r="BP80" s="55"/>
      <c r="BQ80" s="55"/>
      <c r="BR80" s="55"/>
      <c r="BS80" s="55"/>
      <c r="BT80" s="55"/>
      <c r="BU80" s="55"/>
      <c r="BV80" s="55"/>
      <c r="BW80" s="55"/>
      <c r="BX80" s="55"/>
      <c r="BY80" s="55"/>
      <c r="BZ80" s="55"/>
      <c r="CA80" s="55"/>
      <c r="CB80" s="55"/>
      <c r="CC80" s="55"/>
      <c r="CD80" s="55"/>
      <c r="CE80" s="55"/>
      <c r="CF80" s="55"/>
      <c r="CG80" s="55"/>
      <c r="CH80" s="55"/>
      <c r="CI80" s="55"/>
      <c r="CJ80" s="55"/>
      <c r="CK80" s="55"/>
      <c r="CL80" s="55"/>
      <c r="CM80" s="55"/>
      <c r="CN80" s="55"/>
      <c r="CO80" s="55"/>
      <c r="CP80" s="55"/>
      <c r="CQ80" s="55"/>
      <c r="CR80" s="55"/>
      <c r="CS80" s="55"/>
      <c r="CT80" s="55"/>
      <c r="CU80" s="55"/>
      <c r="CV80" s="55"/>
      <c r="CW80" s="55"/>
      <c r="CX80" s="55"/>
      <c r="CY80" s="55"/>
      <c r="CZ80" s="55"/>
      <c r="DA80" s="55"/>
      <c r="DB80" s="55"/>
      <c r="DC80" s="55"/>
      <c r="DD80" s="55"/>
      <c r="DE80" s="55"/>
      <c r="DF80" s="55"/>
      <c r="DG80" s="55"/>
      <c r="DH80" s="55"/>
      <c r="DI80" s="55"/>
    </row>
    <row r="81" spans="1:113" ht="15.75" thickBot="1" x14ac:dyDescent="0.3">
      <c r="A81" s="128"/>
      <c r="B81" s="119" t="s">
        <v>674</v>
      </c>
      <c r="C81" s="36"/>
      <c r="D81" s="36"/>
      <c r="E81" s="29">
        <f>SUM(E79:E80)</f>
        <v>44</v>
      </c>
      <c r="F81" s="29"/>
      <c r="G81" s="29">
        <f>SUM(G79:G80)</f>
        <v>44</v>
      </c>
      <c r="H81" s="29">
        <f>SUM(H79:H80)</f>
        <v>0</v>
      </c>
      <c r="I81" s="29">
        <f>SUM(I79:I80)</f>
        <v>44</v>
      </c>
      <c r="J81" s="29">
        <f t="shared" ref="J81:K81" si="41">SUM(J79:J80)</f>
        <v>2800000</v>
      </c>
      <c r="K81" s="47">
        <f t="shared" si="41"/>
        <v>579677.44000000006</v>
      </c>
      <c r="L81"/>
      <c r="M81" s="322">
        <f t="shared" si="36"/>
        <v>0</v>
      </c>
      <c r="N81" s="325"/>
      <c r="O81" s="325"/>
      <c r="P81" s="325"/>
      <c r="Q81" s="325"/>
      <c r="R81" s="325"/>
      <c r="S81" s="324"/>
      <c r="T81" s="324"/>
      <c r="U81" s="324"/>
      <c r="V81" s="324"/>
      <c r="W81" s="324"/>
      <c r="X81" s="324"/>
      <c r="Y81" s="324"/>
      <c r="Z81" s="324"/>
      <c r="AA81" s="324"/>
      <c r="AB81" s="324"/>
      <c r="AC81" s="324"/>
      <c r="AD81" s="324"/>
      <c r="AE81" s="324"/>
      <c r="AF81" s="324"/>
      <c r="AG81" s="324"/>
      <c r="AH81" s="324"/>
      <c r="AI81" s="324"/>
      <c r="AJ81" s="324"/>
      <c r="AK81" s="324"/>
      <c r="AL81" s="324"/>
      <c r="AM81" s="324"/>
      <c r="AN81" s="324"/>
      <c r="AO81" s="324"/>
      <c r="AP81" s="324"/>
      <c r="AQ81" s="324"/>
      <c r="AR81" s="324"/>
      <c r="AS81" s="324"/>
      <c r="AT81" s="324"/>
      <c r="AU81" s="324"/>
      <c r="AV81" s="324"/>
      <c r="AW81" s="324"/>
      <c r="AX81" s="324"/>
      <c r="AY81" s="324"/>
      <c r="AZ81" s="324"/>
      <c r="BA81" s="324"/>
      <c r="BB81" s="324"/>
      <c r="BC81" s="324"/>
      <c r="BD81" s="324"/>
      <c r="BE81" s="324"/>
      <c r="BF81" s="324"/>
      <c r="BG81" s="324"/>
      <c r="BH81" s="324"/>
      <c r="BI81" s="324"/>
      <c r="BJ81" s="324"/>
      <c r="BK81" s="324"/>
      <c r="BL81" s="324"/>
      <c r="BM81" s="324"/>
      <c r="BN81" s="324"/>
      <c r="BO81" s="324"/>
      <c r="BP81" s="324"/>
      <c r="BQ81" s="324"/>
      <c r="BR81" s="324"/>
      <c r="BS81" s="324"/>
      <c r="BT81" s="324"/>
      <c r="BU81" s="324"/>
      <c r="BV81" s="324"/>
      <c r="BW81" s="324"/>
      <c r="BX81" s="324"/>
      <c r="BY81" s="324"/>
      <c r="BZ81" s="324"/>
      <c r="CA81" s="324"/>
      <c r="CB81" s="324"/>
      <c r="CC81" s="324"/>
      <c r="CD81" s="324"/>
      <c r="CE81" s="324"/>
      <c r="CF81" s="324"/>
      <c r="CG81" s="324"/>
      <c r="CH81" s="324"/>
      <c r="CI81" s="324"/>
      <c r="CJ81" s="324"/>
      <c r="CK81" s="324"/>
      <c r="CL81" s="324"/>
      <c r="CM81" s="324"/>
      <c r="CN81" s="324"/>
      <c r="CO81" s="324"/>
      <c r="CP81" s="324"/>
      <c r="CQ81" s="324"/>
      <c r="CR81" s="324"/>
      <c r="CS81" s="324"/>
      <c r="CT81" s="324"/>
      <c r="CU81" s="324"/>
      <c r="CV81" s="324"/>
      <c r="CW81" s="324"/>
      <c r="CX81" s="324"/>
      <c r="CY81" s="324"/>
      <c r="CZ81" s="324"/>
      <c r="DA81" s="324"/>
      <c r="DB81" s="324"/>
      <c r="DC81" s="324"/>
      <c r="DD81" s="324"/>
      <c r="DE81" s="324"/>
      <c r="DF81" s="324"/>
      <c r="DG81" s="324"/>
      <c r="DH81" s="324"/>
      <c r="DI81" s="324"/>
    </row>
    <row r="82" spans="1:113" ht="15.75" thickBot="1" x14ac:dyDescent="0.3">
      <c r="B82" s="161"/>
      <c r="C82" s="162"/>
      <c r="D82" s="163"/>
      <c r="E82" s="164"/>
      <c r="F82" s="67"/>
      <c r="G82" s="164"/>
      <c r="H82" s="164"/>
      <c r="I82" s="164"/>
      <c r="J82" s="164"/>
      <c r="K82" s="163"/>
      <c r="L82"/>
      <c r="M82"/>
      <c r="N82"/>
      <c r="O82"/>
      <c r="P82"/>
      <c r="Q82"/>
      <c r="R82"/>
      <c r="S82"/>
      <c r="T82"/>
      <c r="U82"/>
      <c r="V82"/>
      <c r="W82"/>
      <c r="X82"/>
      <c r="Y82"/>
      <c r="Z82"/>
    </row>
    <row r="83" spans="1:113" ht="15.75" thickBot="1" x14ac:dyDescent="0.3">
      <c r="A83" s="407" t="s">
        <v>657</v>
      </c>
      <c r="B83" s="414" t="s">
        <v>708</v>
      </c>
      <c r="C83" s="414" t="s">
        <v>1</v>
      </c>
      <c r="D83" s="415" t="s">
        <v>649</v>
      </c>
      <c r="E83" s="416" t="s">
        <v>19</v>
      </c>
      <c r="F83" s="416"/>
      <c r="G83" s="416"/>
      <c r="H83" s="416"/>
      <c r="I83" s="416"/>
      <c r="J83" s="410" t="s">
        <v>21</v>
      </c>
      <c r="K83" s="417" t="s">
        <v>602</v>
      </c>
      <c r="L83"/>
      <c r="M83" s="400" t="s">
        <v>601</v>
      </c>
      <c r="N83" s="404" t="s">
        <v>924</v>
      </c>
      <c r="O83" s="405"/>
      <c r="P83" s="405"/>
      <c r="Q83" s="405"/>
      <c r="R83" s="405"/>
      <c r="S83" s="405"/>
      <c r="T83" s="405"/>
      <c r="U83" s="405"/>
      <c r="V83" s="405"/>
      <c r="W83" s="405"/>
      <c r="X83" s="405"/>
      <c r="Y83" s="405"/>
      <c r="Z83" s="405"/>
      <c r="AA83" s="405"/>
      <c r="AB83" s="405"/>
      <c r="AC83" s="405"/>
      <c r="AD83" s="405"/>
      <c r="AE83" s="405"/>
      <c r="AF83" s="405"/>
      <c r="AG83" s="405"/>
      <c r="AH83" s="405"/>
      <c r="AI83" s="405"/>
      <c r="AJ83" s="405"/>
      <c r="AK83" s="405"/>
      <c r="AL83" s="405"/>
      <c r="AM83" s="405"/>
      <c r="AN83" s="405"/>
      <c r="AO83" s="405"/>
      <c r="AP83" s="405"/>
      <c r="AQ83" s="405"/>
      <c r="AR83" s="405"/>
      <c r="AS83" s="405"/>
      <c r="AT83" s="405"/>
      <c r="AU83" s="405"/>
      <c r="AV83" s="405"/>
      <c r="AW83" s="405"/>
      <c r="AX83" s="405"/>
      <c r="AY83" s="405"/>
      <c r="AZ83" s="405"/>
      <c r="BA83" s="405"/>
      <c r="BB83" s="405"/>
      <c r="BC83" s="405"/>
      <c r="BD83" s="405"/>
      <c r="BE83" s="405"/>
      <c r="BF83" s="405"/>
      <c r="BG83" s="405"/>
      <c r="BH83" s="405"/>
      <c r="BI83" s="405"/>
      <c r="BJ83" s="405"/>
      <c r="BK83" s="405"/>
      <c r="BL83" s="405"/>
      <c r="BM83" s="405"/>
      <c r="BN83" s="405"/>
      <c r="BO83" s="405"/>
      <c r="BP83" s="405"/>
      <c r="BQ83" s="405"/>
      <c r="BR83" s="405"/>
      <c r="BS83" s="405"/>
      <c r="BT83" s="405"/>
      <c r="BU83" s="405"/>
      <c r="BV83" s="405"/>
      <c r="BW83" s="405"/>
      <c r="BX83" s="405"/>
      <c r="BY83" s="405"/>
      <c r="BZ83" s="405"/>
      <c r="CA83" s="405"/>
      <c r="CB83" s="405"/>
      <c r="CC83" s="405"/>
      <c r="CD83" s="405"/>
      <c r="CE83" s="405"/>
      <c r="CF83" s="405"/>
      <c r="CG83" s="405"/>
      <c r="CH83" s="405"/>
      <c r="CI83" s="405"/>
      <c r="CJ83" s="405"/>
      <c r="CK83" s="405"/>
      <c r="CL83" s="405"/>
      <c r="CM83" s="405"/>
      <c r="CN83" s="405"/>
      <c r="CO83" s="405"/>
      <c r="CP83" s="405"/>
      <c r="CQ83" s="405"/>
      <c r="CR83" s="405"/>
      <c r="CS83" s="405"/>
      <c r="CT83" s="405"/>
      <c r="CU83" s="405"/>
      <c r="CV83" s="405"/>
      <c r="CW83" s="405"/>
      <c r="CX83" s="405"/>
      <c r="CY83" s="405"/>
      <c r="CZ83" s="405"/>
      <c r="DA83" s="405"/>
      <c r="DB83" s="405"/>
      <c r="DC83" s="405"/>
      <c r="DD83" s="405"/>
      <c r="DE83" s="405"/>
      <c r="DF83" s="405"/>
      <c r="DG83" s="405"/>
      <c r="DH83" s="405"/>
      <c r="DI83" s="406"/>
    </row>
    <row r="84" spans="1:113" ht="45.75" thickBot="1" x14ac:dyDescent="0.3">
      <c r="A84" s="408"/>
      <c r="B84" s="414"/>
      <c r="C84" s="414"/>
      <c r="D84" s="415"/>
      <c r="E84" s="68" t="s">
        <v>22</v>
      </c>
      <c r="F84" s="68" t="s">
        <v>600</v>
      </c>
      <c r="G84" s="68" t="s">
        <v>601</v>
      </c>
      <c r="H84" s="68" t="s">
        <v>589</v>
      </c>
      <c r="I84" s="68" t="s">
        <v>601</v>
      </c>
      <c r="J84" s="411"/>
      <c r="K84" s="418"/>
      <c r="L84"/>
      <c r="M84" s="401"/>
      <c r="N84" s="400" t="s">
        <v>925</v>
      </c>
      <c r="O84" s="400" t="s">
        <v>926</v>
      </c>
      <c r="P84" s="400"/>
      <c r="Q84" s="400"/>
      <c r="R84" s="400"/>
      <c r="S84" s="398"/>
      <c r="T84" s="398"/>
      <c r="U84" s="398"/>
      <c r="V84" s="398"/>
      <c r="W84" s="398"/>
      <c r="X84" s="398"/>
      <c r="Y84" s="398"/>
      <c r="Z84" s="398"/>
      <c r="AA84" s="398"/>
      <c r="AB84" s="398"/>
      <c r="AC84" s="398"/>
      <c r="AD84" s="398"/>
      <c r="AE84" s="398"/>
      <c r="AF84" s="398"/>
      <c r="AG84" s="398"/>
      <c r="AH84" s="398"/>
      <c r="AI84" s="398"/>
      <c r="AJ84" s="398"/>
      <c r="AK84" s="398"/>
      <c r="AL84" s="398"/>
      <c r="AM84" s="398"/>
      <c r="AN84" s="398"/>
      <c r="AO84" s="398"/>
      <c r="AP84" s="398"/>
      <c r="AQ84" s="398"/>
      <c r="AR84" s="398"/>
      <c r="AS84" s="398"/>
      <c r="AT84" s="398"/>
      <c r="AU84" s="398"/>
      <c r="AV84" s="398"/>
      <c r="AW84" s="398"/>
      <c r="AX84" s="398"/>
      <c r="AY84" s="398"/>
      <c r="AZ84" s="398"/>
      <c r="BA84" s="398"/>
      <c r="BB84" s="398"/>
      <c r="BC84" s="398"/>
      <c r="BD84" s="398"/>
      <c r="BE84" s="398"/>
      <c r="BF84" s="398"/>
      <c r="BG84" s="398"/>
      <c r="BH84" s="398"/>
      <c r="BI84" s="398"/>
      <c r="BJ84" s="398"/>
      <c r="BK84" s="398"/>
      <c r="BL84" s="398"/>
      <c r="BM84" s="398"/>
      <c r="BN84" s="398"/>
      <c r="BO84" s="398"/>
      <c r="BP84" s="398"/>
      <c r="BQ84" s="398"/>
      <c r="BR84" s="398"/>
      <c r="BS84" s="398"/>
      <c r="BT84" s="398"/>
      <c r="BU84" s="398"/>
      <c r="BV84" s="398"/>
      <c r="BW84" s="398"/>
      <c r="BX84" s="398"/>
      <c r="BY84" s="398"/>
      <c r="BZ84" s="398"/>
      <c r="CA84" s="398"/>
      <c r="CB84" s="398"/>
      <c r="CC84" s="398"/>
      <c r="CD84" s="398"/>
      <c r="CE84" s="398"/>
      <c r="CF84" s="398"/>
      <c r="CG84" s="398"/>
      <c r="CH84" s="398"/>
      <c r="CI84" s="398"/>
      <c r="CJ84" s="398"/>
      <c r="CK84" s="398"/>
      <c r="CL84" s="398"/>
      <c r="CM84" s="398"/>
      <c r="CN84" s="398"/>
      <c r="CO84" s="398"/>
      <c r="CP84" s="398"/>
      <c r="CQ84" s="398"/>
      <c r="CR84" s="398"/>
      <c r="CS84" s="398"/>
      <c r="CT84" s="398"/>
      <c r="CU84" s="398"/>
      <c r="CV84" s="398"/>
      <c r="CW84" s="398"/>
      <c r="CX84" s="398"/>
      <c r="CY84" s="398"/>
      <c r="CZ84" s="398"/>
      <c r="DA84" s="398"/>
      <c r="DB84" s="398"/>
      <c r="DC84" s="398"/>
      <c r="DD84" s="398"/>
      <c r="DE84" s="398"/>
      <c r="DF84" s="398"/>
      <c r="DG84" s="398"/>
      <c r="DH84" s="398"/>
      <c r="DI84" s="398"/>
    </row>
    <row r="85" spans="1:113" ht="15.75" thickBot="1" x14ac:dyDescent="0.3">
      <c r="A85" s="409"/>
      <c r="B85" s="185">
        <v>1</v>
      </c>
      <c r="C85" s="185">
        <v>2</v>
      </c>
      <c r="D85" s="185">
        <v>3</v>
      </c>
      <c r="E85" s="70">
        <v>4</v>
      </c>
      <c r="F85" s="70">
        <f>+E85+1</f>
        <v>5</v>
      </c>
      <c r="G85" s="70" t="s">
        <v>652</v>
      </c>
      <c r="H85" s="70">
        <v>7</v>
      </c>
      <c r="I85" s="71" t="s">
        <v>651</v>
      </c>
      <c r="J85" s="42" t="s">
        <v>650</v>
      </c>
      <c r="K85" s="42" t="s">
        <v>653</v>
      </c>
      <c r="L85"/>
      <c r="M85" s="402"/>
      <c r="N85" s="402"/>
      <c r="O85" s="402"/>
      <c r="P85" s="402"/>
      <c r="Q85" s="402"/>
      <c r="R85" s="402"/>
      <c r="S85" s="399"/>
      <c r="T85" s="399"/>
      <c r="U85" s="399"/>
      <c r="V85" s="399"/>
      <c r="W85" s="399"/>
      <c r="X85" s="399"/>
      <c r="Y85" s="399"/>
      <c r="Z85" s="399"/>
      <c r="AA85" s="399"/>
      <c r="AB85" s="399"/>
      <c r="AC85" s="399"/>
      <c r="AD85" s="399"/>
      <c r="AE85" s="399"/>
      <c r="AF85" s="399"/>
      <c r="AG85" s="399"/>
      <c r="AH85" s="399"/>
      <c r="AI85" s="399"/>
      <c r="AJ85" s="399"/>
      <c r="AK85" s="399"/>
      <c r="AL85" s="399"/>
      <c r="AM85" s="399"/>
      <c r="AN85" s="399"/>
      <c r="AO85" s="399"/>
      <c r="AP85" s="399"/>
      <c r="AQ85" s="399"/>
      <c r="AR85" s="399"/>
      <c r="AS85" s="399"/>
      <c r="AT85" s="399"/>
      <c r="AU85" s="399"/>
      <c r="AV85" s="399"/>
      <c r="AW85" s="399"/>
      <c r="AX85" s="399"/>
      <c r="AY85" s="399"/>
      <c r="AZ85" s="399"/>
      <c r="BA85" s="399"/>
      <c r="BB85" s="399"/>
      <c r="BC85" s="399"/>
      <c r="BD85" s="399"/>
      <c r="BE85" s="399"/>
      <c r="BF85" s="399"/>
      <c r="BG85" s="399"/>
      <c r="BH85" s="399"/>
      <c r="BI85" s="399"/>
      <c r="BJ85" s="399"/>
      <c r="BK85" s="399"/>
      <c r="BL85" s="399"/>
      <c r="BM85" s="399"/>
      <c r="BN85" s="399"/>
      <c r="BO85" s="399"/>
      <c r="BP85" s="399"/>
      <c r="BQ85" s="399"/>
      <c r="BR85" s="399"/>
      <c r="BS85" s="399"/>
      <c r="BT85" s="399"/>
      <c r="BU85" s="399"/>
      <c r="BV85" s="399"/>
      <c r="BW85" s="399"/>
      <c r="BX85" s="399"/>
      <c r="BY85" s="399"/>
      <c r="BZ85" s="399"/>
      <c r="CA85" s="399"/>
      <c r="CB85" s="399"/>
      <c r="CC85" s="399"/>
      <c r="CD85" s="399"/>
      <c r="CE85" s="399"/>
      <c r="CF85" s="399"/>
      <c r="CG85" s="399"/>
      <c r="CH85" s="399"/>
      <c r="CI85" s="399"/>
      <c r="CJ85" s="399"/>
      <c r="CK85" s="399"/>
      <c r="CL85" s="399"/>
      <c r="CM85" s="399"/>
      <c r="CN85" s="399"/>
      <c r="CO85" s="399"/>
      <c r="CP85" s="399"/>
      <c r="CQ85" s="399"/>
      <c r="CR85" s="399"/>
      <c r="CS85" s="399"/>
      <c r="CT85" s="399"/>
      <c r="CU85" s="399"/>
      <c r="CV85" s="399"/>
      <c r="CW85" s="399"/>
      <c r="CX85" s="399"/>
      <c r="CY85" s="399"/>
      <c r="CZ85" s="399"/>
      <c r="DA85" s="399"/>
      <c r="DB85" s="399"/>
      <c r="DC85" s="399"/>
      <c r="DD85" s="399"/>
      <c r="DE85" s="399"/>
      <c r="DF85" s="399"/>
      <c r="DG85" s="399"/>
      <c r="DH85" s="399"/>
      <c r="DI85" s="399"/>
    </row>
    <row r="86" spans="1:113" x14ac:dyDescent="0.25">
      <c r="A86" s="160"/>
      <c r="B86" s="54"/>
      <c r="C86" s="54"/>
      <c r="D86" s="54"/>
      <c r="E86" s="54"/>
      <c r="F86" s="54"/>
      <c r="G86" s="54"/>
      <c r="H86" s="54"/>
      <c r="I86" s="54"/>
      <c r="J86" s="54"/>
      <c r="K86" s="54"/>
      <c r="L86"/>
      <c r="M86" s="314">
        <f t="shared" ref="M86:M91" si="42">SUM(N86:DJ86)</f>
        <v>0</v>
      </c>
      <c r="N86" s="310"/>
      <c r="O86" s="315"/>
      <c r="P86" s="315"/>
      <c r="Q86" s="315"/>
      <c r="R86" s="315"/>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c r="BP86" s="55"/>
      <c r="BQ86" s="55"/>
      <c r="BR86" s="55"/>
      <c r="BS86" s="55"/>
      <c r="BT86" s="55"/>
      <c r="BU86" s="55"/>
      <c r="BV86" s="55"/>
      <c r="BW86" s="55"/>
      <c r="BX86" s="55"/>
      <c r="BY86" s="55"/>
      <c r="BZ86" s="55"/>
      <c r="CA86" s="55"/>
      <c r="CB86" s="55"/>
      <c r="CC86" s="55"/>
      <c r="CD86" s="55"/>
      <c r="CE86" s="55"/>
      <c r="CF86" s="55"/>
      <c r="CG86" s="55"/>
      <c r="CH86" s="55"/>
      <c r="CI86" s="55"/>
      <c r="CJ86" s="55"/>
      <c r="CK86" s="55"/>
      <c r="CL86" s="55"/>
      <c r="CM86" s="55"/>
      <c r="CN86" s="55"/>
      <c r="CO86" s="55"/>
      <c r="CP86" s="55"/>
      <c r="CQ86" s="55"/>
      <c r="CR86" s="55"/>
      <c r="CS86" s="55"/>
      <c r="CT86" s="55"/>
      <c r="CU86" s="55"/>
      <c r="CV86" s="55"/>
      <c r="CW86" s="55"/>
      <c r="CX86" s="55"/>
      <c r="CY86" s="55"/>
      <c r="CZ86" s="55"/>
      <c r="DA86" s="55"/>
      <c r="DB86" s="55"/>
      <c r="DC86" s="55"/>
      <c r="DD86" s="55"/>
      <c r="DE86" s="55"/>
      <c r="DF86" s="55"/>
      <c r="DG86" s="55"/>
      <c r="DH86" s="55"/>
      <c r="DI86" s="55"/>
    </row>
    <row r="87" spans="1:113" x14ac:dyDescent="0.25">
      <c r="A87" s="152">
        <v>1</v>
      </c>
      <c r="B87" s="215" t="s">
        <v>489</v>
      </c>
      <c r="C87" s="80">
        <v>30000</v>
      </c>
      <c r="D87" s="142">
        <v>7897</v>
      </c>
      <c r="E87" s="60">
        <v>0</v>
      </c>
      <c r="F87" s="60"/>
      <c r="G87" s="166">
        <f t="shared" ref="G87:G90" si="43">+E87+F87</f>
        <v>0</v>
      </c>
      <c r="H87" s="55">
        <f>39-39</f>
        <v>0</v>
      </c>
      <c r="I87" s="56">
        <f t="shared" ref="I87:I90" si="44">+G87-H87</f>
        <v>0</v>
      </c>
      <c r="J87" s="56">
        <f t="shared" ref="J87:J90" si="45">I87*C87</f>
        <v>0</v>
      </c>
      <c r="K87" s="57">
        <f t="shared" ref="K87:K90" si="46">+D87*I87</f>
        <v>0</v>
      </c>
      <c r="L87"/>
      <c r="M87" s="314">
        <f t="shared" si="42"/>
        <v>0</v>
      </c>
      <c r="N87" s="310"/>
      <c r="O87" s="315"/>
      <c r="P87" s="315"/>
      <c r="Q87" s="315"/>
      <c r="R87" s="315"/>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c r="BQ87" s="55"/>
      <c r="BR87" s="55"/>
      <c r="BS87" s="55"/>
      <c r="BT87" s="55"/>
      <c r="BU87" s="55"/>
      <c r="BV87" s="55"/>
      <c r="BW87" s="55"/>
      <c r="BX87" s="55"/>
      <c r="BY87" s="55"/>
      <c r="BZ87" s="55"/>
      <c r="CA87" s="55"/>
      <c r="CB87" s="55"/>
      <c r="CC87" s="55"/>
      <c r="CD87" s="55"/>
      <c r="CE87" s="55"/>
      <c r="CF87" s="55"/>
      <c r="CG87" s="55"/>
      <c r="CH87" s="55"/>
      <c r="CI87" s="55"/>
      <c r="CJ87" s="55"/>
      <c r="CK87" s="55"/>
      <c r="CL87" s="55"/>
      <c r="CM87" s="55"/>
      <c r="CN87" s="55"/>
      <c r="CO87" s="55"/>
      <c r="CP87" s="55"/>
      <c r="CQ87" s="55"/>
      <c r="CR87" s="55"/>
      <c r="CS87" s="55"/>
      <c r="CT87" s="55"/>
      <c r="CU87" s="55"/>
      <c r="CV87" s="55"/>
      <c r="CW87" s="55"/>
      <c r="CX87" s="55"/>
      <c r="CY87" s="55"/>
      <c r="CZ87" s="55"/>
      <c r="DA87" s="55"/>
      <c r="DB87" s="55"/>
      <c r="DC87" s="55"/>
      <c r="DD87" s="55"/>
      <c r="DE87" s="55"/>
      <c r="DF87" s="55"/>
      <c r="DG87" s="55"/>
      <c r="DH87" s="55"/>
      <c r="DI87" s="55"/>
    </row>
    <row r="88" spans="1:113" x14ac:dyDescent="0.25">
      <c r="A88" s="152">
        <v>2</v>
      </c>
      <c r="B88" s="215" t="s">
        <v>740</v>
      </c>
      <c r="C88" s="80">
        <v>100000</v>
      </c>
      <c r="D88" s="142">
        <v>16171</v>
      </c>
      <c r="E88" s="60">
        <v>0</v>
      </c>
      <c r="F88" s="60"/>
      <c r="G88" s="166">
        <f t="shared" si="43"/>
        <v>0</v>
      </c>
      <c r="H88" s="55">
        <f>9-9</f>
        <v>0</v>
      </c>
      <c r="I88" s="56">
        <f t="shared" si="44"/>
        <v>0</v>
      </c>
      <c r="J88" s="56">
        <f t="shared" si="45"/>
        <v>0</v>
      </c>
      <c r="K88" s="57">
        <f t="shared" si="46"/>
        <v>0</v>
      </c>
      <c r="L88"/>
      <c r="M88" s="314">
        <f t="shared" si="42"/>
        <v>0</v>
      </c>
      <c r="N88" s="310"/>
      <c r="O88" s="315"/>
      <c r="P88" s="315"/>
      <c r="Q88" s="315"/>
      <c r="R88" s="315"/>
      <c r="S88" s="55"/>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c r="BM88" s="55"/>
      <c r="BN88" s="55"/>
      <c r="BO88" s="55"/>
      <c r="BP88" s="55"/>
      <c r="BQ88" s="55"/>
      <c r="BR88" s="55"/>
      <c r="BS88" s="55"/>
      <c r="BT88" s="55"/>
      <c r="BU88" s="55"/>
      <c r="BV88" s="55"/>
      <c r="BW88" s="55"/>
      <c r="BX88" s="55"/>
      <c r="BY88" s="55"/>
      <c r="BZ88" s="55"/>
      <c r="CA88" s="55"/>
      <c r="CB88" s="55"/>
      <c r="CC88" s="55"/>
      <c r="CD88" s="55"/>
      <c r="CE88" s="55"/>
      <c r="CF88" s="55"/>
      <c r="CG88" s="55"/>
      <c r="CH88" s="55"/>
      <c r="CI88" s="55"/>
      <c r="CJ88" s="55"/>
      <c r="CK88" s="55"/>
      <c r="CL88" s="55"/>
      <c r="CM88" s="55"/>
      <c r="CN88" s="55"/>
      <c r="CO88" s="55"/>
      <c r="CP88" s="55"/>
      <c r="CQ88" s="55"/>
      <c r="CR88" s="55"/>
      <c r="CS88" s="55"/>
      <c r="CT88" s="55"/>
      <c r="CU88" s="55"/>
      <c r="CV88" s="55"/>
      <c r="CW88" s="55"/>
      <c r="CX88" s="55"/>
      <c r="CY88" s="55"/>
      <c r="CZ88" s="55"/>
      <c r="DA88" s="55"/>
      <c r="DB88" s="55"/>
      <c r="DC88" s="55"/>
      <c r="DD88" s="55"/>
      <c r="DE88" s="55"/>
      <c r="DF88" s="55"/>
      <c r="DG88" s="55"/>
      <c r="DH88" s="55"/>
      <c r="DI88" s="55"/>
    </row>
    <row r="89" spans="1:113" x14ac:dyDescent="0.25">
      <c r="A89" s="152">
        <v>3</v>
      </c>
      <c r="B89" s="215" t="s">
        <v>741</v>
      </c>
      <c r="C89" s="80">
        <v>60000</v>
      </c>
      <c r="D89" s="142">
        <v>16171</v>
      </c>
      <c r="E89" s="60">
        <v>0</v>
      </c>
      <c r="F89" s="60"/>
      <c r="G89" s="166">
        <f t="shared" si="43"/>
        <v>0</v>
      </c>
      <c r="H89" s="55"/>
      <c r="I89" s="56">
        <f t="shared" si="44"/>
        <v>0</v>
      </c>
      <c r="J89" s="56">
        <f t="shared" si="45"/>
        <v>0</v>
      </c>
      <c r="K89" s="57">
        <f t="shared" si="46"/>
        <v>0</v>
      </c>
      <c r="L89"/>
      <c r="M89" s="314">
        <f t="shared" si="42"/>
        <v>0</v>
      </c>
      <c r="N89" s="310"/>
      <c r="O89" s="315"/>
      <c r="P89" s="315"/>
      <c r="Q89" s="315"/>
      <c r="R89" s="315"/>
      <c r="S89" s="55"/>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c r="BM89" s="55"/>
      <c r="BN89" s="55"/>
      <c r="BO89" s="55"/>
      <c r="BP89" s="55"/>
      <c r="BQ89" s="55"/>
      <c r="BR89" s="55"/>
      <c r="BS89" s="55"/>
      <c r="BT89" s="55"/>
      <c r="BU89" s="55"/>
      <c r="BV89" s="55"/>
      <c r="BW89" s="55"/>
      <c r="BX89" s="55"/>
      <c r="BY89" s="55"/>
      <c r="BZ89" s="55"/>
      <c r="CA89" s="55"/>
      <c r="CB89" s="55"/>
      <c r="CC89" s="55"/>
      <c r="CD89" s="55"/>
      <c r="CE89" s="55"/>
      <c r="CF89" s="55"/>
      <c r="CG89" s="55"/>
      <c r="CH89" s="55"/>
      <c r="CI89" s="55"/>
      <c r="CJ89" s="55"/>
      <c r="CK89" s="55"/>
      <c r="CL89" s="55"/>
      <c r="CM89" s="55"/>
      <c r="CN89" s="55"/>
      <c r="CO89" s="55"/>
      <c r="CP89" s="55"/>
      <c r="CQ89" s="55"/>
      <c r="CR89" s="55"/>
      <c r="CS89" s="55"/>
      <c r="CT89" s="55"/>
      <c r="CU89" s="55"/>
      <c r="CV89" s="55"/>
      <c r="CW89" s="55"/>
      <c r="CX89" s="55"/>
      <c r="CY89" s="55"/>
      <c r="CZ89" s="55"/>
      <c r="DA89" s="55"/>
      <c r="DB89" s="55"/>
      <c r="DC89" s="55"/>
      <c r="DD89" s="55"/>
      <c r="DE89" s="55"/>
      <c r="DF89" s="55"/>
      <c r="DG89" s="55"/>
      <c r="DH89" s="55"/>
      <c r="DI89" s="55"/>
    </row>
    <row r="90" spans="1:113" ht="15.75" thickBot="1" x14ac:dyDescent="0.3">
      <c r="A90" s="153">
        <v>4</v>
      </c>
      <c r="B90" s="217" t="s">
        <v>742</v>
      </c>
      <c r="C90" s="82">
        <v>350000</v>
      </c>
      <c r="D90" s="145"/>
      <c r="E90" s="156">
        <v>260</v>
      </c>
      <c r="F90" s="156"/>
      <c r="G90" s="197">
        <f t="shared" si="43"/>
        <v>260</v>
      </c>
      <c r="H90" s="58"/>
      <c r="I90" s="64">
        <f t="shared" si="44"/>
        <v>260</v>
      </c>
      <c r="J90" s="64">
        <f t="shared" si="45"/>
        <v>91000000</v>
      </c>
      <c r="K90" s="65">
        <f t="shared" si="46"/>
        <v>0</v>
      </c>
      <c r="L90"/>
      <c r="M90" s="314">
        <f t="shared" si="42"/>
        <v>0</v>
      </c>
      <c r="N90" s="310"/>
      <c r="O90" s="315"/>
      <c r="P90" s="315"/>
      <c r="Q90" s="315"/>
      <c r="R90" s="315"/>
      <c r="S90" s="55"/>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c r="BM90" s="55"/>
      <c r="BN90" s="55"/>
      <c r="BO90" s="55"/>
      <c r="BP90" s="55"/>
      <c r="BQ90" s="55"/>
      <c r="BR90" s="55"/>
      <c r="BS90" s="55"/>
      <c r="BT90" s="55"/>
      <c r="BU90" s="55"/>
      <c r="BV90" s="55"/>
      <c r="BW90" s="55"/>
      <c r="BX90" s="55"/>
      <c r="BY90" s="55"/>
      <c r="BZ90" s="55"/>
      <c r="CA90" s="55"/>
      <c r="CB90" s="55"/>
      <c r="CC90" s="55"/>
      <c r="CD90" s="55"/>
      <c r="CE90" s="55"/>
      <c r="CF90" s="55"/>
      <c r="CG90" s="55"/>
      <c r="CH90" s="55"/>
      <c r="CI90" s="55"/>
      <c r="CJ90" s="55"/>
      <c r="CK90" s="55"/>
      <c r="CL90" s="55"/>
      <c r="CM90" s="55"/>
      <c r="CN90" s="55"/>
      <c r="CO90" s="55"/>
      <c r="CP90" s="55"/>
      <c r="CQ90" s="55"/>
      <c r="CR90" s="55"/>
      <c r="CS90" s="55"/>
      <c r="CT90" s="55"/>
      <c r="CU90" s="55"/>
      <c r="CV90" s="55"/>
      <c r="CW90" s="55"/>
      <c r="CX90" s="55"/>
      <c r="CY90" s="55"/>
      <c r="CZ90" s="55"/>
      <c r="DA90" s="55"/>
      <c r="DB90" s="55"/>
      <c r="DC90" s="55"/>
      <c r="DD90" s="55"/>
      <c r="DE90" s="55"/>
      <c r="DF90" s="55"/>
      <c r="DG90" s="55"/>
      <c r="DH90" s="55"/>
      <c r="DI90" s="55"/>
    </row>
    <row r="91" spans="1:113" ht="15.75" thickBot="1" x14ac:dyDescent="0.3">
      <c r="A91" s="128"/>
      <c r="B91" s="119" t="s">
        <v>676</v>
      </c>
      <c r="C91" s="36"/>
      <c r="D91" s="36"/>
      <c r="E91" s="36">
        <f>SUM(E87:E90)</f>
        <v>260</v>
      </c>
      <c r="F91" s="36"/>
      <c r="G91" s="36">
        <f>SUM(G87:G90)</f>
        <v>260</v>
      </c>
      <c r="H91" s="29">
        <f>SUM(H87:H90)</f>
        <v>0</v>
      </c>
      <c r="I91" s="36">
        <f>SUM(I87:I90)</f>
        <v>260</v>
      </c>
      <c r="J91" s="29">
        <f>SUM(J87:J90)</f>
        <v>91000000</v>
      </c>
      <c r="K91" s="47">
        <f>SUM(K87:K90)</f>
        <v>0</v>
      </c>
      <c r="L91"/>
      <c r="M91" s="322">
        <f t="shared" si="42"/>
        <v>0</v>
      </c>
      <c r="N91" s="325"/>
      <c r="O91" s="325"/>
      <c r="P91" s="325"/>
      <c r="Q91" s="325"/>
      <c r="R91" s="325"/>
      <c r="S91" s="324"/>
      <c r="T91" s="324"/>
      <c r="U91" s="324"/>
      <c r="V91" s="324"/>
      <c r="W91" s="324"/>
      <c r="X91" s="324"/>
      <c r="Y91" s="324"/>
      <c r="Z91" s="324"/>
      <c r="AA91" s="324"/>
      <c r="AB91" s="324"/>
      <c r="AC91" s="324"/>
      <c r="AD91" s="324"/>
      <c r="AE91" s="324"/>
      <c r="AF91" s="324"/>
      <c r="AG91" s="324"/>
      <c r="AH91" s="324"/>
      <c r="AI91" s="324"/>
      <c r="AJ91" s="324"/>
      <c r="AK91" s="324"/>
      <c r="AL91" s="324"/>
      <c r="AM91" s="324"/>
      <c r="AN91" s="324"/>
      <c r="AO91" s="324"/>
      <c r="AP91" s="324"/>
      <c r="AQ91" s="324"/>
      <c r="AR91" s="324"/>
      <c r="AS91" s="324"/>
      <c r="AT91" s="324"/>
      <c r="AU91" s="324"/>
      <c r="AV91" s="324"/>
      <c r="AW91" s="324"/>
      <c r="AX91" s="324"/>
      <c r="AY91" s="324"/>
      <c r="AZ91" s="324"/>
      <c r="BA91" s="324"/>
      <c r="BB91" s="324"/>
      <c r="BC91" s="324"/>
      <c r="BD91" s="324"/>
      <c r="BE91" s="324"/>
      <c r="BF91" s="324"/>
      <c r="BG91" s="324"/>
      <c r="BH91" s="324"/>
      <c r="BI91" s="324"/>
      <c r="BJ91" s="324"/>
      <c r="BK91" s="324"/>
      <c r="BL91" s="324"/>
      <c r="BM91" s="324"/>
      <c r="BN91" s="324"/>
      <c r="BO91" s="324"/>
      <c r="BP91" s="324"/>
      <c r="BQ91" s="324"/>
      <c r="BR91" s="324"/>
      <c r="BS91" s="324"/>
      <c r="BT91" s="324"/>
      <c r="BU91" s="324"/>
      <c r="BV91" s="324"/>
      <c r="BW91" s="324"/>
      <c r="BX91" s="324"/>
      <c r="BY91" s="324"/>
      <c r="BZ91" s="324"/>
      <c r="CA91" s="324"/>
      <c r="CB91" s="324"/>
      <c r="CC91" s="324"/>
      <c r="CD91" s="324"/>
      <c r="CE91" s="324"/>
      <c r="CF91" s="324"/>
      <c r="CG91" s="324"/>
      <c r="CH91" s="324"/>
      <c r="CI91" s="324"/>
      <c r="CJ91" s="324"/>
      <c r="CK91" s="324"/>
      <c r="CL91" s="324"/>
      <c r="CM91" s="324"/>
      <c r="CN91" s="324"/>
      <c r="CO91" s="324"/>
      <c r="CP91" s="324"/>
      <c r="CQ91" s="324"/>
      <c r="CR91" s="324"/>
      <c r="CS91" s="324"/>
      <c r="CT91" s="324"/>
      <c r="CU91" s="324"/>
      <c r="CV91" s="324"/>
      <c r="CW91" s="324"/>
      <c r="CX91" s="324"/>
      <c r="CY91" s="324"/>
      <c r="CZ91" s="324"/>
      <c r="DA91" s="324"/>
      <c r="DB91" s="324"/>
      <c r="DC91" s="324"/>
      <c r="DD91" s="324"/>
      <c r="DE91" s="324"/>
      <c r="DF91" s="324"/>
      <c r="DG91" s="324"/>
      <c r="DH91" s="324"/>
      <c r="DI91" s="324"/>
    </row>
    <row r="92" spans="1:113" ht="15.75" thickBot="1" x14ac:dyDescent="0.3">
      <c r="B92" s="161"/>
      <c r="C92" s="162"/>
      <c r="D92" s="163"/>
      <c r="E92" s="164"/>
      <c r="F92" s="67"/>
      <c r="G92" s="164"/>
      <c r="H92" s="164"/>
      <c r="I92" s="164"/>
      <c r="J92" s="164"/>
      <c r="K92" s="163"/>
      <c r="L92"/>
      <c r="M92"/>
      <c r="N92"/>
      <c r="O92"/>
      <c r="P92"/>
      <c r="Q92"/>
      <c r="R92"/>
      <c r="S92"/>
      <c r="T92"/>
      <c r="U92"/>
      <c r="V92"/>
      <c r="W92"/>
      <c r="X92"/>
      <c r="Y92"/>
      <c r="Z92"/>
    </row>
    <row r="93" spans="1:113" ht="15.75" thickBot="1" x14ac:dyDescent="0.3">
      <c r="A93" s="407" t="s">
        <v>657</v>
      </c>
      <c r="B93" s="414" t="s">
        <v>708</v>
      </c>
      <c r="C93" s="414" t="s">
        <v>1</v>
      </c>
      <c r="D93" s="415" t="s">
        <v>649</v>
      </c>
      <c r="E93" s="416" t="s">
        <v>19</v>
      </c>
      <c r="F93" s="416"/>
      <c r="G93" s="416"/>
      <c r="H93" s="416"/>
      <c r="I93" s="416"/>
      <c r="J93" s="410" t="s">
        <v>21</v>
      </c>
      <c r="K93" s="417" t="s">
        <v>602</v>
      </c>
      <c r="L93"/>
      <c r="M93" s="400" t="s">
        <v>601</v>
      </c>
      <c r="N93" s="404" t="s">
        <v>924</v>
      </c>
      <c r="O93" s="405"/>
      <c r="P93" s="405"/>
      <c r="Q93" s="405"/>
      <c r="R93" s="405"/>
      <c r="S93" s="405"/>
      <c r="T93" s="405"/>
      <c r="U93" s="405"/>
      <c r="V93" s="405"/>
      <c r="W93" s="405"/>
      <c r="X93" s="405"/>
      <c r="Y93" s="405"/>
      <c r="Z93" s="405"/>
      <c r="AA93" s="405"/>
      <c r="AB93" s="405"/>
      <c r="AC93" s="405"/>
      <c r="AD93" s="405"/>
      <c r="AE93" s="405"/>
      <c r="AF93" s="405"/>
      <c r="AG93" s="405"/>
      <c r="AH93" s="405"/>
      <c r="AI93" s="405"/>
      <c r="AJ93" s="405"/>
      <c r="AK93" s="405"/>
      <c r="AL93" s="405"/>
      <c r="AM93" s="405"/>
      <c r="AN93" s="405"/>
      <c r="AO93" s="405"/>
      <c r="AP93" s="405"/>
      <c r="AQ93" s="405"/>
      <c r="AR93" s="405"/>
      <c r="AS93" s="405"/>
      <c r="AT93" s="405"/>
      <c r="AU93" s="405"/>
      <c r="AV93" s="405"/>
      <c r="AW93" s="405"/>
      <c r="AX93" s="405"/>
      <c r="AY93" s="405"/>
      <c r="AZ93" s="405"/>
      <c r="BA93" s="405"/>
      <c r="BB93" s="405"/>
      <c r="BC93" s="405"/>
      <c r="BD93" s="405"/>
      <c r="BE93" s="405"/>
      <c r="BF93" s="405"/>
      <c r="BG93" s="405"/>
      <c r="BH93" s="405"/>
      <c r="BI93" s="405"/>
      <c r="BJ93" s="405"/>
      <c r="BK93" s="405"/>
      <c r="BL93" s="405"/>
      <c r="BM93" s="405"/>
      <c r="BN93" s="405"/>
      <c r="BO93" s="405"/>
      <c r="BP93" s="405"/>
      <c r="BQ93" s="405"/>
      <c r="BR93" s="405"/>
      <c r="BS93" s="405"/>
      <c r="BT93" s="405"/>
      <c r="BU93" s="405"/>
      <c r="BV93" s="405"/>
      <c r="BW93" s="405"/>
      <c r="BX93" s="405"/>
      <c r="BY93" s="405"/>
      <c r="BZ93" s="405"/>
      <c r="CA93" s="405"/>
      <c r="CB93" s="405"/>
      <c r="CC93" s="405"/>
      <c r="CD93" s="405"/>
      <c r="CE93" s="405"/>
      <c r="CF93" s="405"/>
      <c r="CG93" s="405"/>
      <c r="CH93" s="405"/>
      <c r="CI93" s="405"/>
      <c r="CJ93" s="405"/>
      <c r="CK93" s="405"/>
      <c r="CL93" s="405"/>
      <c r="CM93" s="405"/>
      <c r="CN93" s="405"/>
      <c r="CO93" s="405"/>
      <c r="CP93" s="405"/>
      <c r="CQ93" s="405"/>
      <c r="CR93" s="405"/>
      <c r="CS93" s="405"/>
      <c r="CT93" s="405"/>
      <c r="CU93" s="405"/>
      <c r="CV93" s="405"/>
      <c r="CW93" s="405"/>
      <c r="CX93" s="405"/>
      <c r="CY93" s="405"/>
      <c r="CZ93" s="405"/>
      <c r="DA93" s="405"/>
      <c r="DB93" s="405"/>
      <c r="DC93" s="405"/>
      <c r="DD93" s="405"/>
      <c r="DE93" s="405"/>
      <c r="DF93" s="405"/>
      <c r="DG93" s="405"/>
      <c r="DH93" s="405"/>
      <c r="DI93" s="406"/>
    </row>
    <row r="94" spans="1:113" ht="45.75" thickBot="1" x14ac:dyDescent="0.3">
      <c r="A94" s="408"/>
      <c r="B94" s="414"/>
      <c r="C94" s="414"/>
      <c r="D94" s="415"/>
      <c r="E94" s="68" t="s">
        <v>22</v>
      </c>
      <c r="F94" s="68" t="s">
        <v>600</v>
      </c>
      <c r="G94" s="68" t="s">
        <v>601</v>
      </c>
      <c r="H94" s="68" t="s">
        <v>589</v>
      </c>
      <c r="I94" s="68" t="s">
        <v>601</v>
      </c>
      <c r="J94" s="411"/>
      <c r="K94" s="418"/>
      <c r="L94"/>
      <c r="M94" s="401"/>
      <c r="N94" s="400" t="s">
        <v>925</v>
      </c>
      <c r="O94" s="400" t="s">
        <v>926</v>
      </c>
      <c r="P94" s="400"/>
      <c r="Q94" s="400"/>
      <c r="R94" s="400"/>
      <c r="S94" s="398"/>
      <c r="T94" s="398"/>
      <c r="U94" s="398"/>
      <c r="V94" s="398"/>
      <c r="W94" s="398"/>
      <c r="X94" s="398"/>
      <c r="Y94" s="398"/>
      <c r="Z94" s="398"/>
      <c r="AA94" s="398"/>
      <c r="AB94" s="398"/>
      <c r="AC94" s="398"/>
      <c r="AD94" s="398"/>
      <c r="AE94" s="398"/>
      <c r="AF94" s="398"/>
      <c r="AG94" s="398"/>
      <c r="AH94" s="398"/>
      <c r="AI94" s="398"/>
      <c r="AJ94" s="398"/>
      <c r="AK94" s="398"/>
      <c r="AL94" s="398"/>
      <c r="AM94" s="398"/>
      <c r="AN94" s="398"/>
      <c r="AO94" s="398"/>
      <c r="AP94" s="398"/>
      <c r="AQ94" s="398"/>
      <c r="AR94" s="398"/>
      <c r="AS94" s="398"/>
      <c r="AT94" s="398"/>
      <c r="AU94" s="398"/>
      <c r="AV94" s="398"/>
      <c r="AW94" s="398"/>
      <c r="AX94" s="398"/>
      <c r="AY94" s="398"/>
      <c r="AZ94" s="398"/>
      <c r="BA94" s="398"/>
      <c r="BB94" s="398"/>
      <c r="BC94" s="398"/>
      <c r="BD94" s="398"/>
      <c r="BE94" s="398"/>
      <c r="BF94" s="398"/>
      <c r="BG94" s="398"/>
      <c r="BH94" s="398"/>
      <c r="BI94" s="398"/>
      <c r="BJ94" s="398"/>
      <c r="BK94" s="398"/>
      <c r="BL94" s="398"/>
      <c r="BM94" s="398"/>
      <c r="BN94" s="398"/>
      <c r="BO94" s="398"/>
      <c r="BP94" s="398"/>
      <c r="BQ94" s="398"/>
      <c r="BR94" s="398"/>
      <c r="BS94" s="398"/>
      <c r="BT94" s="398"/>
      <c r="BU94" s="398"/>
      <c r="BV94" s="398"/>
      <c r="BW94" s="398"/>
      <c r="BX94" s="398"/>
      <c r="BY94" s="398"/>
      <c r="BZ94" s="398"/>
      <c r="CA94" s="398"/>
      <c r="CB94" s="398"/>
      <c r="CC94" s="398"/>
      <c r="CD94" s="398"/>
      <c r="CE94" s="398"/>
      <c r="CF94" s="398"/>
      <c r="CG94" s="398"/>
      <c r="CH94" s="398"/>
      <c r="CI94" s="398"/>
      <c r="CJ94" s="398"/>
      <c r="CK94" s="398"/>
      <c r="CL94" s="398"/>
      <c r="CM94" s="398"/>
      <c r="CN94" s="398"/>
      <c r="CO94" s="398"/>
      <c r="CP94" s="398"/>
      <c r="CQ94" s="398"/>
      <c r="CR94" s="398"/>
      <c r="CS94" s="398"/>
      <c r="CT94" s="398"/>
      <c r="CU94" s="398"/>
      <c r="CV94" s="398"/>
      <c r="CW94" s="398"/>
      <c r="CX94" s="398"/>
      <c r="CY94" s="398"/>
      <c r="CZ94" s="398"/>
      <c r="DA94" s="398"/>
      <c r="DB94" s="398"/>
      <c r="DC94" s="398"/>
      <c r="DD94" s="398"/>
      <c r="DE94" s="398"/>
      <c r="DF94" s="398"/>
      <c r="DG94" s="398"/>
      <c r="DH94" s="398"/>
      <c r="DI94" s="398"/>
    </row>
    <row r="95" spans="1:113" ht="15.75" thickBot="1" x14ac:dyDescent="0.3">
      <c r="A95" s="409"/>
      <c r="B95" s="185">
        <v>1</v>
      </c>
      <c r="C95" s="185">
        <v>2</v>
      </c>
      <c r="D95" s="185">
        <v>3</v>
      </c>
      <c r="E95" s="70">
        <v>4</v>
      </c>
      <c r="F95" s="70">
        <f>+E95+1</f>
        <v>5</v>
      </c>
      <c r="G95" s="70" t="s">
        <v>652</v>
      </c>
      <c r="H95" s="70">
        <v>7</v>
      </c>
      <c r="I95" s="71" t="s">
        <v>651</v>
      </c>
      <c r="J95" s="42" t="s">
        <v>650</v>
      </c>
      <c r="K95" s="42" t="s">
        <v>653</v>
      </c>
      <c r="L95"/>
      <c r="M95" s="402"/>
      <c r="N95" s="402"/>
      <c r="O95" s="402"/>
      <c r="P95" s="402"/>
      <c r="Q95" s="402"/>
      <c r="R95" s="402"/>
      <c r="S95" s="399"/>
      <c r="T95" s="399"/>
      <c r="U95" s="399"/>
      <c r="V95" s="399"/>
      <c r="W95" s="399"/>
      <c r="X95" s="399"/>
      <c r="Y95" s="399"/>
      <c r="Z95" s="399"/>
      <c r="AA95" s="399"/>
      <c r="AB95" s="399"/>
      <c r="AC95" s="399"/>
      <c r="AD95" s="399"/>
      <c r="AE95" s="399"/>
      <c r="AF95" s="399"/>
      <c r="AG95" s="399"/>
      <c r="AH95" s="399"/>
      <c r="AI95" s="399"/>
      <c r="AJ95" s="399"/>
      <c r="AK95" s="399"/>
      <c r="AL95" s="399"/>
      <c r="AM95" s="399"/>
      <c r="AN95" s="399"/>
      <c r="AO95" s="399"/>
      <c r="AP95" s="399"/>
      <c r="AQ95" s="399"/>
      <c r="AR95" s="399"/>
      <c r="AS95" s="399"/>
      <c r="AT95" s="399"/>
      <c r="AU95" s="399"/>
      <c r="AV95" s="399"/>
      <c r="AW95" s="399"/>
      <c r="AX95" s="399"/>
      <c r="AY95" s="399"/>
      <c r="AZ95" s="399"/>
      <c r="BA95" s="399"/>
      <c r="BB95" s="399"/>
      <c r="BC95" s="399"/>
      <c r="BD95" s="399"/>
      <c r="BE95" s="399"/>
      <c r="BF95" s="399"/>
      <c r="BG95" s="399"/>
      <c r="BH95" s="399"/>
      <c r="BI95" s="399"/>
      <c r="BJ95" s="399"/>
      <c r="BK95" s="399"/>
      <c r="BL95" s="399"/>
      <c r="BM95" s="399"/>
      <c r="BN95" s="399"/>
      <c r="BO95" s="399"/>
      <c r="BP95" s="399"/>
      <c r="BQ95" s="399"/>
      <c r="BR95" s="399"/>
      <c r="BS95" s="399"/>
      <c r="BT95" s="399"/>
      <c r="BU95" s="399"/>
      <c r="BV95" s="399"/>
      <c r="BW95" s="399"/>
      <c r="BX95" s="399"/>
      <c r="BY95" s="399"/>
      <c r="BZ95" s="399"/>
      <c r="CA95" s="399"/>
      <c r="CB95" s="399"/>
      <c r="CC95" s="399"/>
      <c r="CD95" s="399"/>
      <c r="CE95" s="399"/>
      <c r="CF95" s="399"/>
      <c r="CG95" s="399"/>
      <c r="CH95" s="399"/>
      <c r="CI95" s="399"/>
      <c r="CJ95" s="399"/>
      <c r="CK95" s="399"/>
      <c r="CL95" s="399"/>
      <c r="CM95" s="399"/>
      <c r="CN95" s="399"/>
      <c r="CO95" s="399"/>
      <c r="CP95" s="399"/>
      <c r="CQ95" s="399"/>
      <c r="CR95" s="399"/>
      <c r="CS95" s="399"/>
      <c r="CT95" s="399"/>
      <c r="CU95" s="399"/>
      <c r="CV95" s="399"/>
      <c r="CW95" s="399"/>
      <c r="CX95" s="399"/>
      <c r="CY95" s="399"/>
      <c r="CZ95" s="399"/>
      <c r="DA95" s="399"/>
      <c r="DB95" s="399"/>
      <c r="DC95" s="399"/>
      <c r="DD95" s="399"/>
      <c r="DE95" s="399"/>
      <c r="DF95" s="399"/>
      <c r="DG95" s="399"/>
      <c r="DH95" s="399"/>
      <c r="DI95" s="399"/>
    </row>
    <row r="96" spans="1:113" x14ac:dyDescent="0.25">
      <c r="A96" s="160"/>
      <c r="B96" s="54"/>
      <c r="C96" s="54"/>
      <c r="D96" s="54"/>
      <c r="E96" s="54"/>
      <c r="F96" s="54"/>
      <c r="G96" s="54"/>
      <c r="H96" s="54"/>
      <c r="I96" s="54"/>
      <c r="J96" s="54"/>
      <c r="K96" s="54"/>
      <c r="L96"/>
      <c r="M96" s="314">
        <f t="shared" ref="M96:M99" si="47">SUM(N96:DJ96)</f>
        <v>0</v>
      </c>
      <c r="N96" s="310"/>
      <c r="O96" s="315"/>
      <c r="P96" s="315"/>
      <c r="Q96" s="315"/>
      <c r="R96" s="315"/>
      <c r="S96" s="55"/>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c r="BM96" s="55"/>
      <c r="BN96" s="55"/>
      <c r="BO96" s="55"/>
      <c r="BP96" s="55"/>
      <c r="BQ96" s="55"/>
      <c r="BR96" s="55"/>
      <c r="BS96" s="55"/>
      <c r="BT96" s="55"/>
      <c r="BU96" s="55"/>
      <c r="BV96" s="55"/>
      <c r="BW96" s="55"/>
      <c r="BX96" s="55"/>
      <c r="BY96" s="55"/>
      <c r="BZ96" s="55"/>
      <c r="CA96" s="55"/>
      <c r="CB96" s="55"/>
      <c r="CC96" s="55"/>
      <c r="CD96" s="55"/>
      <c r="CE96" s="55"/>
      <c r="CF96" s="55"/>
      <c r="CG96" s="55"/>
      <c r="CH96" s="55"/>
      <c r="CI96" s="55"/>
      <c r="CJ96" s="55"/>
      <c r="CK96" s="55"/>
      <c r="CL96" s="55"/>
      <c r="CM96" s="55"/>
      <c r="CN96" s="55"/>
      <c r="CO96" s="55"/>
      <c r="CP96" s="55"/>
      <c r="CQ96" s="55"/>
      <c r="CR96" s="55"/>
      <c r="CS96" s="55"/>
      <c r="CT96" s="55"/>
      <c r="CU96" s="55"/>
      <c r="CV96" s="55"/>
      <c r="CW96" s="55"/>
      <c r="CX96" s="55"/>
      <c r="CY96" s="55"/>
      <c r="CZ96" s="55"/>
      <c r="DA96" s="55"/>
      <c r="DB96" s="55"/>
      <c r="DC96" s="55"/>
      <c r="DD96" s="55"/>
      <c r="DE96" s="55"/>
      <c r="DF96" s="55"/>
      <c r="DG96" s="55"/>
      <c r="DH96" s="55"/>
      <c r="DI96" s="55"/>
    </row>
    <row r="97" spans="1:113" x14ac:dyDescent="0.25">
      <c r="A97" s="152">
        <v>1</v>
      </c>
      <c r="B97" s="199" t="s">
        <v>490</v>
      </c>
      <c r="C97" s="173">
        <v>20000</v>
      </c>
      <c r="D97" s="191">
        <v>3753.24</v>
      </c>
      <c r="E97" s="60"/>
      <c r="F97" s="60"/>
      <c r="G97" s="166">
        <f t="shared" ref="G97:G98" si="48">+E97+F97</f>
        <v>0</v>
      </c>
      <c r="H97" s="55"/>
      <c r="I97" s="56">
        <f t="shared" ref="I97:I98" si="49">+G97-H97</f>
        <v>0</v>
      </c>
      <c r="J97" s="56">
        <f t="shared" ref="J97:J98" si="50">I97*C97</f>
        <v>0</v>
      </c>
      <c r="K97" s="57">
        <f t="shared" ref="K97:K98" si="51">+D97*I97</f>
        <v>0</v>
      </c>
      <c r="L97"/>
      <c r="M97" s="314">
        <f t="shared" si="47"/>
        <v>0</v>
      </c>
      <c r="N97" s="310"/>
      <c r="O97" s="315"/>
      <c r="P97" s="315"/>
      <c r="Q97" s="315"/>
      <c r="R97" s="315"/>
      <c r="S97" s="5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c r="BP97" s="55"/>
      <c r="BQ97" s="55"/>
      <c r="BR97" s="55"/>
      <c r="BS97" s="55"/>
      <c r="BT97" s="55"/>
      <c r="BU97" s="55"/>
      <c r="BV97" s="55"/>
      <c r="BW97" s="55"/>
      <c r="BX97" s="55"/>
      <c r="BY97" s="55"/>
      <c r="BZ97" s="55"/>
      <c r="CA97" s="55"/>
      <c r="CB97" s="55"/>
      <c r="CC97" s="55"/>
      <c r="CD97" s="55"/>
      <c r="CE97" s="55"/>
      <c r="CF97" s="55"/>
      <c r="CG97" s="55"/>
      <c r="CH97" s="55"/>
      <c r="CI97" s="55"/>
      <c r="CJ97" s="55"/>
      <c r="CK97" s="55"/>
      <c r="CL97" s="55"/>
      <c r="CM97" s="55"/>
      <c r="CN97" s="55"/>
      <c r="CO97" s="55"/>
      <c r="CP97" s="55"/>
      <c r="CQ97" s="55"/>
      <c r="CR97" s="55"/>
      <c r="CS97" s="55"/>
      <c r="CT97" s="55"/>
      <c r="CU97" s="55"/>
      <c r="CV97" s="55"/>
      <c r="CW97" s="55"/>
      <c r="CX97" s="55"/>
      <c r="CY97" s="55"/>
      <c r="CZ97" s="55"/>
      <c r="DA97" s="55"/>
      <c r="DB97" s="55"/>
      <c r="DC97" s="55"/>
      <c r="DD97" s="55"/>
      <c r="DE97" s="55"/>
      <c r="DF97" s="55"/>
      <c r="DG97" s="55"/>
      <c r="DH97" s="55"/>
      <c r="DI97" s="55"/>
    </row>
    <row r="98" spans="1:113" ht="15.75" thickBot="1" x14ac:dyDescent="0.3">
      <c r="A98" s="153">
        <v>2</v>
      </c>
      <c r="B98" s="226" t="s">
        <v>491</v>
      </c>
      <c r="C98" s="200">
        <v>30000</v>
      </c>
      <c r="D98" s="171">
        <v>9732.9599999999991</v>
      </c>
      <c r="E98" s="156"/>
      <c r="F98" s="156"/>
      <c r="G98" s="197">
        <f t="shared" si="48"/>
        <v>0</v>
      </c>
      <c r="H98" s="58"/>
      <c r="I98" s="64">
        <f t="shared" si="49"/>
        <v>0</v>
      </c>
      <c r="J98" s="64">
        <f t="shared" si="50"/>
        <v>0</v>
      </c>
      <c r="K98" s="65">
        <f t="shared" si="51"/>
        <v>0</v>
      </c>
      <c r="L98"/>
      <c r="M98" s="314">
        <f t="shared" si="47"/>
        <v>0</v>
      </c>
      <c r="N98" s="310"/>
      <c r="O98" s="315"/>
      <c r="P98" s="315"/>
      <c r="Q98" s="315"/>
      <c r="R98" s="315"/>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c r="BP98" s="55"/>
      <c r="BQ98" s="55"/>
      <c r="BR98" s="55"/>
      <c r="BS98" s="55"/>
      <c r="BT98" s="55"/>
      <c r="BU98" s="55"/>
      <c r="BV98" s="55"/>
      <c r="BW98" s="55"/>
      <c r="BX98" s="55"/>
      <c r="BY98" s="55"/>
      <c r="BZ98" s="55"/>
      <c r="CA98" s="55"/>
      <c r="CB98" s="55"/>
      <c r="CC98" s="55"/>
      <c r="CD98" s="55"/>
      <c r="CE98" s="55"/>
      <c r="CF98" s="55"/>
      <c r="CG98" s="55"/>
      <c r="CH98" s="55"/>
      <c r="CI98" s="55"/>
      <c r="CJ98" s="55"/>
      <c r="CK98" s="55"/>
      <c r="CL98" s="55"/>
      <c r="CM98" s="55"/>
      <c r="CN98" s="55"/>
      <c r="CO98" s="55"/>
      <c r="CP98" s="55"/>
      <c r="CQ98" s="55"/>
      <c r="CR98" s="55"/>
      <c r="CS98" s="55"/>
      <c r="CT98" s="55"/>
      <c r="CU98" s="55"/>
      <c r="CV98" s="55"/>
      <c r="CW98" s="55"/>
      <c r="CX98" s="55"/>
      <c r="CY98" s="55"/>
      <c r="CZ98" s="55"/>
      <c r="DA98" s="55"/>
      <c r="DB98" s="55"/>
      <c r="DC98" s="55"/>
      <c r="DD98" s="55"/>
      <c r="DE98" s="55"/>
      <c r="DF98" s="55"/>
      <c r="DG98" s="55"/>
      <c r="DH98" s="55"/>
      <c r="DI98" s="55"/>
    </row>
    <row r="99" spans="1:113" ht="15.75" thickBot="1" x14ac:dyDescent="0.3">
      <c r="A99" s="128"/>
      <c r="B99" s="119" t="s">
        <v>684</v>
      </c>
      <c r="C99" s="36"/>
      <c r="D99" s="36"/>
      <c r="E99" s="29">
        <f>SUM(E97:E98)</f>
        <v>0</v>
      </c>
      <c r="F99" s="29"/>
      <c r="G99" s="29">
        <f>SUM(G97:G98)</f>
        <v>0</v>
      </c>
      <c r="H99" s="29">
        <f>SUM(H97:H98)</f>
        <v>0</v>
      </c>
      <c r="I99" s="29">
        <f>SUM(I97:I98)</f>
        <v>0</v>
      </c>
      <c r="J99" s="29">
        <f t="shared" ref="J99:K99" si="52">SUM(J97:J98)</f>
        <v>0</v>
      </c>
      <c r="K99" s="29">
        <f t="shared" si="52"/>
        <v>0</v>
      </c>
      <c r="L99"/>
      <c r="M99" s="322">
        <f t="shared" si="47"/>
        <v>0</v>
      </c>
      <c r="N99" s="325"/>
      <c r="O99" s="325"/>
      <c r="P99" s="325"/>
      <c r="Q99" s="325"/>
      <c r="R99" s="325"/>
      <c r="S99" s="324"/>
      <c r="T99" s="324"/>
      <c r="U99" s="324"/>
      <c r="V99" s="324"/>
      <c r="W99" s="324"/>
      <c r="X99" s="324"/>
      <c r="Y99" s="324"/>
      <c r="Z99" s="324"/>
      <c r="AA99" s="324"/>
      <c r="AB99" s="324"/>
      <c r="AC99" s="324"/>
      <c r="AD99" s="324"/>
      <c r="AE99" s="324"/>
      <c r="AF99" s="324"/>
      <c r="AG99" s="324"/>
      <c r="AH99" s="324"/>
      <c r="AI99" s="324"/>
      <c r="AJ99" s="324"/>
      <c r="AK99" s="324"/>
      <c r="AL99" s="324"/>
      <c r="AM99" s="324"/>
      <c r="AN99" s="324"/>
      <c r="AO99" s="324"/>
      <c r="AP99" s="324"/>
      <c r="AQ99" s="324"/>
      <c r="AR99" s="324"/>
      <c r="AS99" s="324"/>
      <c r="AT99" s="324"/>
      <c r="AU99" s="324"/>
      <c r="AV99" s="324"/>
      <c r="AW99" s="324"/>
      <c r="AX99" s="324"/>
      <c r="AY99" s="324"/>
      <c r="AZ99" s="324"/>
      <c r="BA99" s="324"/>
      <c r="BB99" s="324"/>
      <c r="BC99" s="324"/>
      <c r="BD99" s="324"/>
      <c r="BE99" s="324"/>
      <c r="BF99" s="324"/>
      <c r="BG99" s="324"/>
      <c r="BH99" s="324"/>
      <c r="BI99" s="324"/>
      <c r="BJ99" s="324"/>
      <c r="BK99" s="324"/>
      <c r="BL99" s="324"/>
      <c r="BM99" s="324"/>
      <c r="BN99" s="324"/>
      <c r="BO99" s="324"/>
      <c r="BP99" s="324"/>
      <c r="BQ99" s="324"/>
      <c r="BR99" s="324"/>
      <c r="BS99" s="324"/>
      <c r="BT99" s="324"/>
      <c r="BU99" s="324"/>
      <c r="BV99" s="324"/>
      <c r="BW99" s="324"/>
      <c r="BX99" s="324"/>
      <c r="BY99" s="324"/>
      <c r="BZ99" s="324"/>
      <c r="CA99" s="324"/>
      <c r="CB99" s="324"/>
      <c r="CC99" s="324"/>
      <c r="CD99" s="324"/>
      <c r="CE99" s="324"/>
      <c r="CF99" s="324"/>
      <c r="CG99" s="324"/>
      <c r="CH99" s="324"/>
      <c r="CI99" s="324"/>
      <c r="CJ99" s="324"/>
      <c r="CK99" s="324"/>
      <c r="CL99" s="324"/>
      <c r="CM99" s="324"/>
      <c r="CN99" s="324"/>
      <c r="CO99" s="324"/>
      <c r="CP99" s="324"/>
      <c r="CQ99" s="324"/>
      <c r="CR99" s="324"/>
      <c r="CS99" s="324"/>
      <c r="CT99" s="324"/>
      <c r="CU99" s="324"/>
      <c r="CV99" s="324"/>
      <c r="CW99" s="324"/>
      <c r="CX99" s="324"/>
      <c r="CY99" s="324"/>
      <c r="CZ99" s="324"/>
      <c r="DA99" s="324"/>
      <c r="DB99" s="324"/>
      <c r="DC99" s="324"/>
      <c r="DD99" s="324"/>
      <c r="DE99" s="324"/>
      <c r="DF99" s="324"/>
      <c r="DG99" s="324"/>
      <c r="DH99" s="324"/>
      <c r="DI99" s="324"/>
    </row>
    <row r="100" spans="1:113" ht="15.75" thickBot="1" x14ac:dyDescent="0.3">
      <c r="B100" s="161"/>
      <c r="C100" s="162"/>
      <c r="D100" s="163"/>
      <c r="E100" s="164"/>
      <c r="F100" s="67"/>
      <c r="G100" s="164"/>
      <c r="H100" s="164"/>
      <c r="I100" s="164"/>
      <c r="J100" s="164"/>
      <c r="K100" s="163"/>
      <c r="L100"/>
      <c r="M100"/>
      <c r="N100"/>
      <c r="O100"/>
      <c r="P100"/>
      <c r="Q100"/>
      <c r="R100"/>
      <c r="S100"/>
      <c r="T100"/>
      <c r="U100"/>
      <c r="V100"/>
      <c r="W100"/>
      <c r="X100"/>
      <c r="Y100"/>
      <c r="Z100"/>
    </row>
    <row r="101" spans="1:113" ht="15.75" thickBot="1" x14ac:dyDescent="0.3">
      <c r="A101" s="407" t="s">
        <v>657</v>
      </c>
      <c r="B101" s="414" t="s">
        <v>708</v>
      </c>
      <c r="C101" s="414" t="s">
        <v>1</v>
      </c>
      <c r="D101" s="415" t="s">
        <v>649</v>
      </c>
      <c r="E101" s="416" t="s">
        <v>19</v>
      </c>
      <c r="F101" s="416"/>
      <c r="G101" s="416"/>
      <c r="H101" s="416"/>
      <c r="I101" s="416"/>
      <c r="J101" s="410" t="s">
        <v>21</v>
      </c>
      <c r="K101" s="417" t="s">
        <v>602</v>
      </c>
      <c r="L101"/>
      <c r="M101" s="400" t="s">
        <v>601</v>
      </c>
      <c r="N101" s="404" t="s">
        <v>924</v>
      </c>
      <c r="O101" s="405"/>
      <c r="P101" s="405"/>
      <c r="Q101" s="405"/>
      <c r="R101" s="405"/>
      <c r="S101" s="405"/>
      <c r="T101" s="405"/>
      <c r="U101" s="405"/>
      <c r="V101" s="405"/>
      <c r="W101" s="405"/>
      <c r="X101" s="405"/>
      <c r="Y101" s="405"/>
      <c r="Z101" s="405"/>
      <c r="AA101" s="405"/>
      <c r="AB101" s="405"/>
      <c r="AC101" s="405"/>
      <c r="AD101" s="405"/>
      <c r="AE101" s="405"/>
      <c r="AF101" s="405"/>
      <c r="AG101" s="405"/>
      <c r="AH101" s="405"/>
      <c r="AI101" s="405"/>
      <c r="AJ101" s="405"/>
      <c r="AK101" s="405"/>
      <c r="AL101" s="405"/>
      <c r="AM101" s="405"/>
      <c r="AN101" s="405"/>
      <c r="AO101" s="405"/>
      <c r="AP101" s="405"/>
      <c r="AQ101" s="405"/>
      <c r="AR101" s="405"/>
      <c r="AS101" s="405"/>
      <c r="AT101" s="405"/>
      <c r="AU101" s="405"/>
      <c r="AV101" s="405"/>
      <c r="AW101" s="405"/>
      <c r="AX101" s="405"/>
      <c r="AY101" s="405"/>
      <c r="AZ101" s="405"/>
      <c r="BA101" s="405"/>
      <c r="BB101" s="405"/>
      <c r="BC101" s="405"/>
      <c r="BD101" s="405"/>
      <c r="BE101" s="405"/>
      <c r="BF101" s="405"/>
      <c r="BG101" s="405"/>
      <c r="BH101" s="405"/>
      <c r="BI101" s="405"/>
      <c r="BJ101" s="405"/>
      <c r="BK101" s="405"/>
      <c r="BL101" s="405"/>
      <c r="BM101" s="405"/>
      <c r="BN101" s="405"/>
      <c r="BO101" s="405"/>
      <c r="BP101" s="405"/>
      <c r="BQ101" s="405"/>
      <c r="BR101" s="405"/>
      <c r="BS101" s="405"/>
      <c r="BT101" s="405"/>
      <c r="BU101" s="405"/>
      <c r="BV101" s="405"/>
      <c r="BW101" s="405"/>
      <c r="BX101" s="405"/>
      <c r="BY101" s="405"/>
      <c r="BZ101" s="405"/>
      <c r="CA101" s="405"/>
      <c r="CB101" s="405"/>
      <c r="CC101" s="405"/>
      <c r="CD101" s="405"/>
      <c r="CE101" s="405"/>
      <c r="CF101" s="405"/>
      <c r="CG101" s="405"/>
      <c r="CH101" s="405"/>
      <c r="CI101" s="405"/>
      <c r="CJ101" s="405"/>
      <c r="CK101" s="405"/>
      <c r="CL101" s="405"/>
      <c r="CM101" s="405"/>
      <c r="CN101" s="405"/>
      <c r="CO101" s="405"/>
      <c r="CP101" s="405"/>
      <c r="CQ101" s="405"/>
      <c r="CR101" s="405"/>
      <c r="CS101" s="405"/>
      <c r="CT101" s="405"/>
      <c r="CU101" s="405"/>
      <c r="CV101" s="405"/>
      <c r="CW101" s="405"/>
      <c r="CX101" s="405"/>
      <c r="CY101" s="405"/>
      <c r="CZ101" s="405"/>
      <c r="DA101" s="405"/>
      <c r="DB101" s="405"/>
      <c r="DC101" s="405"/>
      <c r="DD101" s="405"/>
      <c r="DE101" s="405"/>
      <c r="DF101" s="405"/>
      <c r="DG101" s="405"/>
      <c r="DH101" s="405"/>
      <c r="DI101" s="406"/>
    </row>
    <row r="102" spans="1:113" ht="45.75" thickBot="1" x14ac:dyDescent="0.3">
      <c r="A102" s="408"/>
      <c r="B102" s="414"/>
      <c r="C102" s="414"/>
      <c r="D102" s="415"/>
      <c r="E102" s="68" t="s">
        <v>22</v>
      </c>
      <c r="F102" s="68" t="s">
        <v>600</v>
      </c>
      <c r="G102" s="68" t="s">
        <v>601</v>
      </c>
      <c r="H102" s="68" t="s">
        <v>589</v>
      </c>
      <c r="I102" s="68" t="s">
        <v>601</v>
      </c>
      <c r="J102" s="411"/>
      <c r="K102" s="418"/>
      <c r="L102"/>
      <c r="M102" s="401"/>
      <c r="N102" s="400" t="s">
        <v>925</v>
      </c>
      <c r="O102" s="400" t="s">
        <v>926</v>
      </c>
      <c r="P102" s="400"/>
      <c r="Q102" s="400"/>
      <c r="R102" s="400"/>
      <c r="S102" s="398"/>
      <c r="T102" s="398"/>
      <c r="U102" s="398"/>
      <c r="V102" s="398"/>
      <c r="W102" s="398"/>
      <c r="X102" s="398"/>
      <c r="Y102" s="398"/>
      <c r="Z102" s="398"/>
      <c r="AA102" s="398"/>
      <c r="AB102" s="398"/>
      <c r="AC102" s="398"/>
      <c r="AD102" s="398"/>
      <c r="AE102" s="398"/>
      <c r="AF102" s="398"/>
      <c r="AG102" s="398"/>
      <c r="AH102" s="398"/>
      <c r="AI102" s="398"/>
      <c r="AJ102" s="398"/>
      <c r="AK102" s="398"/>
      <c r="AL102" s="398"/>
      <c r="AM102" s="398"/>
      <c r="AN102" s="398"/>
      <c r="AO102" s="398"/>
      <c r="AP102" s="398"/>
      <c r="AQ102" s="398"/>
      <c r="AR102" s="398"/>
      <c r="AS102" s="398"/>
      <c r="AT102" s="398"/>
      <c r="AU102" s="398"/>
      <c r="AV102" s="398"/>
      <c r="AW102" s="398"/>
      <c r="AX102" s="398"/>
      <c r="AY102" s="398"/>
      <c r="AZ102" s="398"/>
      <c r="BA102" s="398"/>
      <c r="BB102" s="398"/>
      <c r="BC102" s="398"/>
      <c r="BD102" s="398"/>
      <c r="BE102" s="398"/>
      <c r="BF102" s="398"/>
      <c r="BG102" s="398"/>
      <c r="BH102" s="398"/>
      <c r="BI102" s="398"/>
      <c r="BJ102" s="398"/>
      <c r="BK102" s="398"/>
      <c r="BL102" s="398"/>
      <c r="BM102" s="398"/>
      <c r="BN102" s="398"/>
      <c r="BO102" s="398"/>
      <c r="BP102" s="398"/>
      <c r="BQ102" s="398"/>
      <c r="BR102" s="398"/>
      <c r="BS102" s="398"/>
      <c r="BT102" s="398"/>
      <c r="BU102" s="398"/>
      <c r="BV102" s="398"/>
      <c r="BW102" s="398"/>
      <c r="BX102" s="398"/>
      <c r="BY102" s="398"/>
      <c r="BZ102" s="398"/>
      <c r="CA102" s="398"/>
      <c r="CB102" s="398"/>
      <c r="CC102" s="398"/>
      <c r="CD102" s="398"/>
      <c r="CE102" s="398"/>
      <c r="CF102" s="398"/>
      <c r="CG102" s="398"/>
      <c r="CH102" s="398"/>
      <c r="CI102" s="398"/>
      <c r="CJ102" s="398"/>
      <c r="CK102" s="398"/>
      <c r="CL102" s="398"/>
      <c r="CM102" s="398"/>
      <c r="CN102" s="398"/>
      <c r="CO102" s="398"/>
      <c r="CP102" s="398"/>
      <c r="CQ102" s="398"/>
      <c r="CR102" s="398"/>
      <c r="CS102" s="398"/>
      <c r="CT102" s="398"/>
      <c r="CU102" s="398"/>
      <c r="CV102" s="398"/>
      <c r="CW102" s="398"/>
      <c r="CX102" s="398"/>
      <c r="CY102" s="398"/>
      <c r="CZ102" s="398"/>
      <c r="DA102" s="398"/>
      <c r="DB102" s="398"/>
      <c r="DC102" s="398"/>
      <c r="DD102" s="398"/>
      <c r="DE102" s="398"/>
      <c r="DF102" s="398"/>
      <c r="DG102" s="398"/>
      <c r="DH102" s="398"/>
      <c r="DI102" s="398"/>
    </row>
    <row r="103" spans="1:113" ht="15.75" thickBot="1" x14ac:dyDescent="0.3">
      <c r="A103" s="409"/>
      <c r="B103" s="185">
        <v>1</v>
      </c>
      <c r="C103" s="185">
        <v>2</v>
      </c>
      <c r="D103" s="185">
        <v>3</v>
      </c>
      <c r="E103" s="70">
        <v>4</v>
      </c>
      <c r="F103" s="70">
        <f>+E103+1</f>
        <v>5</v>
      </c>
      <c r="G103" s="70" t="s">
        <v>652</v>
      </c>
      <c r="H103" s="70">
        <v>7</v>
      </c>
      <c r="I103" s="71" t="s">
        <v>651</v>
      </c>
      <c r="J103" s="42" t="s">
        <v>650</v>
      </c>
      <c r="K103" s="42" t="s">
        <v>653</v>
      </c>
      <c r="L103"/>
      <c r="M103" s="402"/>
      <c r="N103" s="402"/>
      <c r="O103" s="402"/>
      <c r="P103" s="402"/>
      <c r="Q103" s="402"/>
      <c r="R103" s="402"/>
      <c r="S103" s="399"/>
      <c r="T103" s="399"/>
      <c r="U103" s="399"/>
      <c r="V103" s="399"/>
      <c r="W103" s="399"/>
      <c r="X103" s="399"/>
      <c r="Y103" s="399"/>
      <c r="Z103" s="399"/>
      <c r="AA103" s="399"/>
      <c r="AB103" s="399"/>
      <c r="AC103" s="399"/>
      <c r="AD103" s="399"/>
      <c r="AE103" s="399"/>
      <c r="AF103" s="399"/>
      <c r="AG103" s="399"/>
      <c r="AH103" s="399"/>
      <c r="AI103" s="399"/>
      <c r="AJ103" s="399"/>
      <c r="AK103" s="399"/>
      <c r="AL103" s="399"/>
      <c r="AM103" s="399"/>
      <c r="AN103" s="399"/>
      <c r="AO103" s="399"/>
      <c r="AP103" s="399"/>
      <c r="AQ103" s="399"/>
      <c r="AR103" s="399"/>
      <c r="AS103" s="399"/>
      <c r="AT103" s="399"/>
      <c r="AU103" s="399"/>
      <c r="AV103" s="399"/>
      <c r="AW103" s="399"/>
      <c r="AX103" s="399"/>
      <c r="AY103" s="399"/>
      <c r="AZ103" s="399"/>
      <c r="BA103" s="399"/>
      <c r="BB103" s="399"/>
      <c r="BC103" s="399"/>
      <c r="BD103" s="399"/>
      <c r="BE103" s="399"/>
      <c r="BF103" s="399"/>
      <c r="BG103" s="399"/>
      <c r="BH103" s="399"/>
      <c r="BI103" s="399"/>
      <c r="BJ103" s="399"/>
      <c r="BK103" s="399"/>
      <c r="BL103" s="399"/>
      <c r="BM103" s="399"/>
      <c r="BN103" s="399"/>
      <c r="BO103" s="399"/>
      <c r="BP103" s="399"/>
      <c r="BQ103" s="399"/>
      <c r="BR103" s="399"/>
      <c r="BS103" s="399"/>
      <c r="BT103" s="399"/>
      <c r="BU103" s="399"/>
      <c r="BV103" s="399"/>
      <c r="BW103" s="399"/>
      <c r="BX103" s="399"/>
      <c r="BY103" s="399"/>
      <c r="BZ103" s="399"/>
      <c r="CA103" s="399"/>
      <c r="CB103" s="399"/>
      <c r="CC103" s="399"/>
      <c r="CD103" s="399"/>
      <c r="CE103" s="399"/>
      <c r="CF103" s="399"/>
      <c r="CG103" s="399"/>
      <c r="CH103" s="399"/>
      <c r="CI103" s="399"/>
      <c r="CJ103" s="399"/>
      <c r="CK103" s="399"/>
      <c r="CL103" s="399"/>
      <c r="CM103" s="399"/>
      <c r="CN103" s="399"/>
      <c r="CO103" s="399"/>
      <c r="CP103" s="399"/>
      <c r="CQ103" s="399"/>
      <c r="CR103" s="399"/>
      <c r="CS103" s="399"/>
      <c r="CT103" s="399"/>
      <c r="CU103" s="399"/>
      <c r="CV103" s="399"/>
      <c r="CW103" s="399"/>
      <c r="CX103" s="399"/>
      <c r="CY103" s="399"/>
      <c r="CZ103" s="399"/>
      <c r="DA103" s="399"/>
      <c r="DB103" s="399"/>
      <c r="DC103" s="399"/>
      <c r="DD103" s="399"/>
      <c r="DE103" s="399"/>
      <c r="DF103" s="399"/>
      <c r="DG103" s="399"/>
      <c r="DH103" s="399"/>
      <c r="DI103" s="399"/>
    </row>
    <row r="104" spans="1:113" x14ac:dyDescent="0.25">
      <c r="A104" s="160"/>
      <c r="B104" s="54"/>
      <c r="C104" s="54"/>
      <c r="D104" s="54"/>
      <c r="E104" s="54"/>
      <c r="F104" s="54"/>
      <c r="G104" s="54"/>
      <c r="H104" s="54"/>
      <c r="I104" s="54"/>
      <c r="J104" s="54"/>
      <c r="K104" s="54"/>
      <c r="L104"/>
      <c r="M104" s="314">
        <f t="shared" ref="M104:M110" si="53">SUM(N104:DJ104)</f>
        <v>0</v>
      </c>
      <c r="N104" s="310"/>
      <c r="O104" s="315"/>
      <c r="P104" s="315"/>
      <c r="Q104" s="315"/>
      <c r="R104" s="315"/>
      <c r="S104" s="55"/>
      <c r="T104" s="55"/>
      <c r="U104" s="55"/>
      <c r="V104" s="55"/>
      <c r="W104" s="55"/>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c r="BM104" s="55"/>
      <c r="BN104" s="55"/>
      <c r="BO104" s="55"/>
      <c r="BP104" s="55"/>
      <c r="BQ104" s="55"/>
      <c r="BR104" s="55"/>
      <c r="BS104" s="55"/>
      <c r="BT104" s="55"/>
      <c r="BU104" s="55"/>
      <c r="BV104" s="55"/>
      <c r="BW104" s="55"/>
      <c r="BX104" s="55"/>
      <c r="BY104" s="55"/>
      <c r="BZ104" s="55"/>
      <c r="CA104" s="55"/>
      <c r="CB104" s="55"/>
      <c r="CC104" s="55"/>
      <c r="CD104" s="55"/>
      <c r="CE104" s="55"/>
      <c r="CF104" s="55"/>
      <c r="CG104" s="55"/>
      <c r="CH104" s="55"/>
      <c r="CI104" s="55"/>
      <c r="CJ104" s="55"/>
      <c r="CK104" s="55"/>
      <c r="CL104" s="55"/>
      <c r="CM104" s="55"/>
      <c r="CN104" s="55"/>
      <c r="CO104" s="55"/>
      <c r="CP104" s="55"/>
      <c r="CQ104" s="55"/>
      <c r="CR104" s="55"/>
      <c r="CS104" s="55"/>
      <c r="CT104" s="55"/>
      <c r="CU104" s="55"/>
      <c r="CV104" s="55"/>
      <c r="CW104" s="55"/>
      <c r="CX104" s="55"/>
      <c r="CY104" s="55"/>
      <c r="CZ104" s="55"/>
      <c r="DA104" s="55"/>
      <c r="DB104" s="55"/>
      <c r="DC104" s="55"/>
      <c r="DD104" s="55"/>
      <c r="DE104" s="55"/>
      <c r="DF104" s="55"/>
      <c r="DG104" s="55"/>
      <c r="DH104" s="55"/>
      <c r="DI104" s="55"/>
    </row>
    <row r="105" spans="1:113" x14ac:dyDescent="0.25">
      <c r="A105" s="152">
        <v>1</v>
      </c>
      <c r="B105" s="199" t="s">
        <v>492</v>
      </c>
      <c r="C105" s="173">
        <v>35000</v>
      </c>
      <c r="D105" s="191">
        <v>8071</v>
      </c>
      <c r="E105" s="43">
        <v>0</v>
      </c>
      <c r="F105" s="60"/>
      <c r="G105" s="166">
        <f t="shared" ref="G105:G107" si="54">+E105+F105</f>
        <v>0</v>
      </c>
      <c r="H105" s="55">
        <f>450-450</f>
        <v>0</v>
      </c>
      <c r="I105" s="56">
        <f t="shared" ref="I105:I107" si="55">+G105-H105</f>
        <v>0</v>
      </c>
      <c r="J105" s="56">
        <f t="shared" ref="J105:J107" si="56">I105*C105</f>
        <v>0</v>
      </c>
      <c r="K105" s="57">
        <f t="shared" ref="K105:K107" si="57">+D105*I105</f>
        <v>0</v>
      </c>
      <c r="L105"/>
      <c r="M105" s="314">
        <f t="shared" si="53"/>
        <v>0</v>
      </c>
      <c r="N105" s="310"/>
      <c r="O105" s="315"/>
      <c r="P105" s="315"/>
      <c r="Q105" s="315"/>
      <c r="R105" s="315"/>
      <c r="S105" s="55"/>
      <c r="T105" s="55"/>
      <c r="U105" s="55"/>
      <c r="V105" s="55"/>
      <c r="W105" s="55"/>
      <c r="X105" s="55"/>
      <c r="Y105" s="55"/>
      <c r="Z105" s="55"/>
      <c r="AA105" s="55"/>
      <c r="AB105" s="55"/>
      <c r="AC105" s="55"/>
      <c r="AD105" s="55"/>
      <c r="AE105" s="55"/>
      <c r="AF105" s="55"/>
      <c r="AG105" s="55"/>
      <c r="AH105" s="55"/>
      <c r="AI105" s="55"/>
      <c r="AJ105" s="55"/>
      <c r="AK105" s="55"/>
      <c r="AL105" s="55"/>
      <c r="AM105" s="55"/>
      <c r="AN105" s="55"/>
      <c r="AO105" s="55"/>
      <c r="AP105" s="55"/>
      <c r="AQ105" s="55"/>
      <c r="AR105" s="55"/>
      <c r="AS105" s="55"/>
      <c r="AT105" s="55"/>
      <c r="AU105" s="55"/>
      <c r="AV105" s="55"/>
      <c r="AW105" s="55"/>
      <c r="AX105" s="55"/>
      <c r="AY105" s="55"/>
      <c r="AZ105" s="55"/>
      <c r="BA105" s="55"/>
      <c r="BB105" s="55"/>
      <c r="BC105" s="55"/>
      <c r="BD105" s="55"/>
      <c r="BE105" s="55"/>
      <c r="BF105" s="55"/>
      <c r="BG105" s="55"/>
      <c r="BH105" s="55"/>
      <c r="BI105" s="55"/>
      <c r="BJ105" s="55"/>
      <c r="BK105" s="55"/>
      <c r="BL105" s="55"/>
      <c r="BM105" s="55"/>
      <c r="BN105" s="55"/>
      <c r="BO105" s="55"/>
      <c r="BP105" s="55"/>
      <c r="BQ105" s="55"/>
      <c r="BR105" s="55"/>
      <c r="BS105" s="55"/>
      <c r="BT105" s="55"/>
      <c r="BU105" s="55"/>
      <c r="BV105" s="55"/>
      <c r="BW105" s="55"/>
      <c r="BX105" s="55"/>
      <c r="BY105" s="55"/>
      <c r="BZ105" s="55"/>
      <c r="CA105" s="55"/>
      <c r="CB105" s="55"/>
      <c r="CC105" s="55"/>
      <c r="CD105" s="55"/>
      <c r="CE105" s="55"/>
      <c r="CF105" s="55"/>
      <c r="CG105" s="55"/>
      <c r="CH105" s="55"/>
      <c r="CI105" s="55"/>
      <c r="CJ105" s="55"/>
      <c r="CK105" s="55"/>
      <c r="CL105" s="55"/>
      <c r="CM105" s="55"/>
      <c r="CN105" s="55"/>
      <c r="CO105" s="55"/>
      <c r="CP105" s="55"/>
      <c r="CQ105" s="55"/>
      <c r="CR105" s="55"/>
      <c r="CS105" s="55"/>
      <c r="CT105" s="55"/>
      <c r="CU105" s="55"/>
      <c r="CV105" s="55"/>
      <c r="CW105" s="55"/>
      <c r="CX105" s="55"/>
      <c r="CY105" s="55"/>
      <c r="CZ105" s="55"/>
      <c r="DA105" s="55"/>
      <c r="DB105" s="55"/>
      <c r="DC105" s="55"/>
      <c r="DD105" s="55"/>
      <c r="DE105" s="55"/>
      <c r="DF105" s="55"/>
      <c r="DG105" s="55"/>
      <c r="DH105" s="55"/>
      <c r="DI105" s="55"/>
    </row>
    <row r="106" spans="1:113" x14ac:dyDescent="0.25">
      <c r="A106" s="152">
        <v>2</v>
      </c>
      <c r="B106" s="60" t="s">
        <v>493</v>
      </c>
      <c r="C106" s="43">
        <v>100000</v>
      </c>
      <c r="D106" s="175">
        <v>1925</v>
      </c>
      <c r="E106" s="43">
        <v>505</v>
      </c>
      <c r="F106" s="60"/>
      <c r="G106" s="166">
        <f t="shared" si="54"/>
        <v>505</v>
      </c>
      <c r="H106" s="55"/>
      <c r="I106" s="56">
        <f t="shared" si="55"/>
        <v>505</v>
      </c>
      <c r="J106" s="56">
        <f t="shared" si="56"/>
        <v>50500000</v>
      </c>
      <c r="K106" s="57">
        <f t="shared" si="57"/>
        <v>972125</v>
      </c>
      <c r="L106"/>
      <c r="M106" s="314">
        <f t="shared" si="53"/>
        <v>0</v>
      </c>
      <c r="N106" s="310"/>
      <c r="O106" s="315"/>
      <c r="P106" s="315"/>
      <c r="Q106" s="315"/>
      <c r="R106" s="315"/>
      <c r="S106" s="55"/>
      <c r="T106" s="55"/>
      <c r="U106" s="55"/>
      <c r="V106" s="55"/>
      <c r="W106" s="55"/>
      <c r="X106" s="55"/>
      <c r="Y106" s="55"/>
      <c r="Z106" s="55"/>
      <c r="AA106" s="55"/>
      <c r="AB106" s="55"/>
      <c r="AC106" s="55"/>
      <c r="AD106" s="55"/>
      <c r="AE106" s="55"/>
      <c r="AF106" s="55"/>
      <c r="AG106" s="55"/>
      <c r="AH106" s="55"/>
      <c r="AI106" s="55"/>
      <c r="AJ106" s="55"/>
      <c r="AK106" s="55"/>
      <c r="AL106" s="55"/>
      <c r="AM106" s="55"/>
      <c r="AN106" s="55"/>
      <c r="AO106" s="55"/>
      <c r="AP106" s="55"/>
      <c r="AQ106" s="55"/>
      <c r="AR106" s="55"/>
      <c r="AS106" s="55"/>
      <c r="AT106" s="55"/>
      <c r="AU106" s="55"/>
      <c r="AV106" s="55"/>
      <c r="AW106" s="55"/>
      <c r="AX106" s="55"/>
      <c r="AY106" s="55"/>
      <c r="AZ106" s="55"/>
      <c r="BA106" s="55"/>
      <c r="BB106" s="55"/>
      <c r="BC106" s="55"/>
      <c r="BD106" s="55"/>
      <c r="BE106" s="55"/>
      <c r="BF106" s="55"/>
      <c r="BG106" s="55"/>
      <c r="BH106" s="55"/>
      <c r="BI106" s="55"/>
      <c r="BJ106" s="55"/>
      <c r="BK106" s="55"/>
      <c r="BL106" s="55"/>
      <c r="BM106" s="55"/>
      <c r="BN106" s="55"/>
      <c r="BO106" s="55"/>
      <c r="BP106" s="55"/>
      <c r="BQ106" s="55"/>
      <c r="BR106" s="55"/>
      <c r="BS106" s="55"/>
      <c r="BT106" s="55"/>
      <c r="BU106" s="55"/>
      <c r="BV106" s="55"/>
      <c r="BW106" s="55"/>
      <c r="BX106" s="55"/>
      <c r="BY106" s="55"/>
      <c r="BZ106" s="55"/>
      <c r="CA106" s="55"/>
      <c r="CB106" s="55"/>
      <c r="CC106" s="55"/>
      <c r="CD106" s="55"/>
      <c r="CE106" s="55"/>
      <c r="CF106" s="55"/>
      <c r="CG106" s="55"/>
      <c r="CH106" s="55"/>
      <c r="CI106" s="55"/>
      <c r="CJ106" s="55"/>
      <c r="CK106" s="55"/>
      <c r="CL106" s="55"/>
      <c r="CM106" s="55"/>
      <c r="CN106" s="55"/>
      <c r="CO106" s="55"/>
      <c r="CP106" s="55"/>
      <c r="CQ106" s="55"/>
      <c r="CR106" s="55"/>
      <c r="CS106" s="55"/>
      <c r="CT106" s="55"/>
      <c r="CU106" s="55"/>
      <c r="CV106" s="55"/>
      <c r="CW106" s="55"/>
      <c r="CX106" s="55"/>
      <c r="CY106" s="55"/>
      <c r="CZ106" s="55"/>
      <c r="DA106" s="55"/>
      <c r="DB106" s="55"/>
      <c r="DC106" s="55"/>
      <c r="DD106" s="55"/>
      <c r="DE106" s="55"/>
      <c r="DF106" s="55"/>
      <c r="DG106" s="55"/>
      <c r="DH106" s="55"/>
      <c r="DI106" s="55"/>
    </row>
    <row r="107" spans="1:113" x14ac:dyDescent="0.25">
      <c r="A107" s="152">
        <v>3</v>
      </c>
      <c r="B107" s="121" t="s">
        <v>560</v>
      </c>
      <c r="C107" s="122">
        <v>50000</v>
      </c>
      <c r="D107" s="201">
        <v>10857.7</v>
      </c>
      <c r="E107" s="122">
        <v>0</v>
      </c>
      <c r="F107" s="60"/>
      <c r="G107" s="166">
        <f t="shared" si="54"/>
        <v>0</v>
      </c>
      <c r="H107" s="55">
        <f>330-330</f>
        <v>0</v>
      </c>
      <c r="I107" s="56">
        <f t="shared" si="55"/>
        <v>0</v>
      </c>
      <c r="J107" s="56">
        <f t="shared" si="56"/>
        <v>0</v>
      </c>
      <c r="K107" s="57">
        <f t="shared" si="57"/>
        <v>0</v>
      </c>
      <c r="L107"/>
      <c r="M107" s="314">
        <f t="shared" si="53"/>
        <v>0</v>
      </c>
      <c r="N107" s="310"/>
      <c r="O107" s="315"/>
      <c r="P107" s="315"/>
      <c r="Q107" s="315"/>
      <c r="R107" s="315"/>
      <c r="S107" s="55"/>
      <c r="T107" s="55"/>
      <c r="U107" s="55"/>
      <c r="V107" s="55"/>
      <c r="W107" s="55"/>
      <c r="X107" s="55"/>
      <c r="Y107" s="55"/>
      <c r="Z107" s="55"/>
      <c r="AA107" s="55"/>
      <c r="AB107" s="55"/>
      <c r="AC107" s="55"/>
      <c r="AD107" s="55"/>
      <c r="AE107" s="55"/>
      <c r="AF107" s="55"/>
      <c r="AG107" s="55"/>
      <c r="AH107" s="55"/>
      <c r="AI107" s="55"/>
      <c r="AJ107" s="55"/>
      <c r="AK107" s="55"/>
      <c r="AL107" s="55"/>
      <c r="AM107" s="55"/>
      <c r="AN107" s="55"/>
      <c r="AO107" s="55"/>
      <c r="AP107" s="55"/>
      <c r="AQ107" s="55"/>
      <c r="AR107" s="55"/>
      <c r="AS107" s="55"/>
      <c r="AT107" s="55"/>
      <c r="AU107" s="55"/>
      <c r="AV107" s="55"/>
      <c r="AW107" s="55"/>
      <c r="AX107" s="55"/>
      <c r="AY107" s="55"/>
      <c r="AZ107" s="55"/>
      <c r="BA107" s="55"/>
      <c r="BB107" s="55"/>
      <c r="BC107" s="55"/>
      <c r="BD107" s="55"/>
      <c r="BE107" s="55"/>
      <c r="BF107" s="55"/>
      <c r="BG107" s="55"/>
      <c r="BH107" s="55"/>
      <c r="BI107" s="55"/>
      <c r="BJ107" s="55"/>
      <c r="BK107" s="55"/>
      <c r="BL107" s="55"/>
      <c r="BM107" s="55"/>
      <c r="BN107" s="55"/>
      <c r="BO107" s="55"/>
      <c r="BP107" s="55"/>
      <c r="BQ107" s="55"/>
      <c r="BR107" s="55"/>
      <c r="BS107" s="55"/>
      <c r="BT107" s="55"/>
      <c r="BU107" s="55"/>
      <c r="BV107" s="55"/>
      <c r="BW107" s="55"/>
      <c r="BX107" s="55"/>
      <c r="BY107" s="55"/>
      <c r="BZ107" s="55"/>
      <c r="CA107" s="55"/>
      <c r="CB107" s="55"/>
      <c r="CC107" s="55"/>
      <c r="CD107" s="55"/>
      <c r="CE107" s="55"/>
      <c r="CF107" s="55"/>
      <c r="CG107" s="55"/>
      <c r="CH107" s="55"/>
      <c r="CI107" s="55"/>
      <c r="CJ107" s="55"/>
      <c r="CK107" s="55"/>
      <c r="CL107" s="55"/>
      <c r="CM107" s="55"/>
      <c r="CN107" s="55"/>
      <c r="CO107" s="55"/>
      <c r="CP107" s="55"/>
      <c r="CQ107" s="55"/>
      <c r="CR107" s="55"/>
      <c r="CS107" s="55"/>
      <c r="CT107" s="55"/>
      <c r="CU107" s="55"/>
      <c r="CV107" s="55"/>
      <c r="CW107" s="55"/>
      <c r="CX107" s="55"/>
      <c r="CY107" s="55"/>
      <c r="CZ107" s="55"/>
      <c r="DA107" s="55"/>
      <c r="DB107" s="55"/>
      <c r="DC107" s="55"/>
      <c r="DD107" s="55"/>
      <c r="DE107" s="55"/>
      <c r="DF107" s="55"/>
      <c r="DG107" s="55"/>
      <c r="DH107" s="55"/>
      <c r="DI107" s="55"/>
    </row>
    <row r="108" spans="1:113" x14ac:dyDescent="0.25">
      <c r="A108" s="152">
        <v>4</v>
      </c>
      <c r="B108" s="60" t="s">
        <v>635</v>
      </c>
      <c r="C108" s="43">
        <v>7500</v>
      </c>
      <c r="D108" s="60"/>
      <c r="E108" s="43">
        <v>100</v>
      </c>
      <c r="F108" s="60"/>
      <c r="G108" s="166">
        <f t="shared" ref="G108:G109" si="58">+E108+F108</f>
        <v>100</v>
      </c>
      <c r="H108" s="55"/>
      <c r="I108" s="56">
        <f t="shared" ref="I108:I109" si="59">+G108-H108</f>
        <v>100</v>
      </c>
      <c r="J108" s="56">
        <f t="shared" ref="J108:J109" si="60">I108*C108</f>
        <v>750000</v>
      </c>
      <c r="K108" s="57">
        <f t="shared" ref="K108:K109" si="61">+D108*I108</f>
        <v>0</v>
      </c>
      <c r="L108"/>
      <c r="M108" s="314">
        <f t="shared" si="53"/>
        <v>0</v>
      </c>
      <c r="N108" s="310"/>
      <c r="O108" s="315"/>
      <c r="P108" s="315"/>
      <c r="Q108" s="315"/>
      <c r="R108" s="315"/>
      <c r="S108" s="55"/>
      <c r="T108" s="55"/>
      <c r="U108" s="55"/>
      <c r="V108" s="55"/>
      <c r="W108" s="55"/>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c r="BM108" s="55"/>
      <c r="BN108" s="55"/>
      <c r="BO108" s="55"/>
      <c r="BP108" s="55"/>
      <c r="BQ108" s="55"/>
      <c r="BR108" s="55"/>
      <c r="BS108" s="55"/>
      <c r="BT108" s="55"/>
      <c r="BU108" s="55"/>
      <c r="BV108" s="55"/>
      <c r="BW108" s="55"/>
      <c r="BX108" s="55"/>
      <c r="BY108" s="55"/>
      <c r="BZ108" s="55"/>
      <c r="CA108" s="55"/>
      <c r="CB108" s="55"/>
      <c r="CC108" s="55"/>
      <c r="CD108" s="55"/>
      <c r="CE108" s="55"/>
      <c r="CF108" s="55"/>
      <c r="CG108" s="55"/>
      <c r="CH108" s="55"/>
      <c r="CI108" s="55"/>
      <c r="CJ108" s="55"/>
      <c r="CK108" s="55"/>
      <c r="CL108" s="55"/>
      <c r="CM108" s="55"/>
      <c r="CN108" s="55"/>
      <c r="CO108" s="55"/>
      <c r="CP108" s="55"/>
      <c r="CQ108" s="55"/>
      <c r="CR108" s="55"/>
      <c r="CS108" s="55"/>
      <c r="CT108" s="55"/>
      <c r="CU108" s="55"/>
      <c r="CV108" s="55"/>
      <c r="CW108" s="55"/>
      <c r="CX108" s="55"/>
      <c r="CY108" s="55"/>
      <c r="CZ108" s="55"/>
      <c r="DA108" s="55"/>
      <c r="DB108" s="55"/>
      <c r="DC108" s="55"/>
      <c r="DD108" s="55"/>
      <c r="DE108" s="55"/>
      <c r="DF108" s="55"/>
      <c r="DG108" s="55"/>
      <c r="DH108" s="55"/>
      <c r="DI108" s="55"/>
    </row>
    <row r="109" spans="1:113" ht="15.75" thickBot="1" x14ac:dyDescent="0.3">
      <c r="A109" s="152">
        <v>5</v>
      </c>
      <c r="B109" s="214" t="s">
        <v>850</v>
      </c>
      <c r="C109" s="154">
        <v>130000</v>
      </c>
      <c r="D109" s="183">
        <v>17485</v>
      </c>
      <c r="E109" s="154">
        <v>50</v>
      </c>
      <c r="F109" s="156"/>
      <c r="G109" s="166">
        <f t="shared" si="58"/>
        <v>50</v>
      </c>
      <c r="H109" s="55"/>
      <c r="I109" s="56">
        <f t="shared" si="59"/>
        <v>50</v>
      </c>
      <c r="J109" s="56">
        <f t="shared" si="60"/>
        <v>6500000</v>
      </c>
      <c r="K109" s="57">
        <f t="shared" si="61"/>
        <v>874250</v>
      </c>
      <c r="L109"/>
      <c r="M109" s="314">
        <f t="shared" si="53"/>
        <v>0</v>
      </c>
      <c r="N109" s="310"/>
      <c r="O109" s="315"/>
      <c r="P109" s="315"/>
      <c r="Q109" s="315"/>
      <c r="R109" s="315"/>
      <c r="S109" s="55"/>
      <c r="T109" s="55"/>
      <c r="U109" s="55"/>
      <c r="V109" s="55"/>
      <c r="W109" s="55"/>
      <c r="X109" s="55"/>
      <c r="Y109" s="55"/>
      <c r="Z109" s="55"/>
      <c r="AA109" s="55"/>
      <c r="AB109" s="55"/>
      <c r="AC109" s="55"/>
      <c r="AD109" s="55"/>
      <c r="AE109" s="55"/>
      <c r="AF109" s="55"/>
      <c r="AG109" s="55"/>
      <c r="AH109" s="55"/>
      <c r="AI109" s="55"/>
      <c r="AJ109" s="55"/>
      <c r="AK109" s="55"/>
      <c r="AL109" s="55"/>
      <c r="AM109" s="55"/>
      <c r="AN109" s="55"/>
      <c r="AO109" s="55"/>
      <c r="AP109" s="55"/>
      <c r="AQ109" s="55"/>
      <c r="AR109" s="55"/>
      <c r="AS109" s="55"/>
      <c r="AT109" s="55"/>
      <c r="AU109" s="55"/>
      <c r="AV109" s="55"/>
      <c r="AW109" s="55"/>
      <c r="AX109" s="55"/>
      <c r="AY109" s="55"/>
      <c r="AZ109" s="55"/>
      <c r="BA109" s="55"/>
      <c r="BB109" s="55"/>
      <c r="BC109" s="55"/>
      <c r="BD109" s="55"/>
      <c r="BE109" s="55"/>
      <c r="BF109" s="55"/>
      <c r="BG109" s="55"/>
      <c r="BH109" s="55"/>
      <c r="BI109" s="55"/>
      <c r="BJ109" s="55"/>
      <c r="BK109" s="55"/>
      <c r="BL109" s="55"/>
      <c r="BM109" s="55"/>
      <c r="BN109" s="55"/>
      <c r="BO109" s="55"/>
      <c r="BP109" s="55"/>
      <c r="BQ109" s="55"/>
      <c r="BR109" s="55"/>
      <c r="BS109" s="55"/>
      <c r="BT109" s="55"/>
      <c r="BU109" s="55"/>
      <c r="BV109" s="55"/>
      <c r="BW109" s="55"/>
      <c r="BX109" s="55"/>
      <c r="BY109" s="55"/>
      <c r="BZ109" s="55"/>
      <c r="CA109" s="55"/>
      <c r="CB109" s="55"/>
      <c r="CC109" s="55"/>
      <c r="CD109" s="55"/>
      <c r="CE109" s="55"/>
      <c r="CF109" s="55"/>
      <c r="CG109" s="55"/>
      <c r="CH109" s="55"/>
      <c r="CI109" s="55"/>
      <c r="CJ109" s="55"/>
      <c r="CK109" s="55"/>
      <c r="CL109" s="55"/>
      <c r="CM109" s="55"/>
      <c r="CN109" s="55"/>
      <c r="CO109" s="55"/>
      <c r="CP109" s="55"/>
      <c r="CQ109" s="55"/>
      <c r="CR109" s="55"/>
      <c r="CS109" s="55"/>
      <c r="CT109" s="55"/>
      <c r="CU109" s="55"/>
      <c r="CV109" s="55"/>
      <c r="CW109" s="55"/>
      <c r="CX109" s="55"/>
      <c r="CY109" s="55"/>
      <c r="CZ109" s="55"/>
      <c r="DA109" s="55"/>
      <c r="DB109" s="55"/>
      <c r="DC109" s="55"/>
      <c r="DD109" s="55"/>
      <c r="DE109" s="55"/>
      <c r="DF109" s="55"/>
      <c r="DG109" s="55"/>
      <c r="DH109" s="55"/>
      <c r="DI109" s="55"/>
    </row>
    <row r="110" spans="1:113" ht="15.75" thickBot="1" x14ac:dyDescent="0.3">
      <c r="A110" s="128"/>
      <c r="B110" s="119" t="s">
        <v>719</v>
      </c>
      <c r="C110" s="36"/>
      <c r="D110" s="36"/>
      <c r="E110" s="29">
        <f>SUM(E105:E109)</f>
        <v>655</v>
      </c>
      <c r="F110" s="29">
        <f t="shared" ref="F110:K110" si="62">SUM(F105:F109)</f>
        <v>0</v>
      </c>
      <c r="G110" s="29">
        <f t="shared" si="62"/>
        <v>655</v>
      </c>
      <c r="H110" s="29">
        <f t="shared" si="62"/>
        <v>0</v>
      </c>
      <c r="I110" s="29">
        <f t="shared" si="62"/>
        <v>655</v>
      </c>
      <c r="J110" s="29">
        <f t="shared" si="62"/>
        <v>57750000</v>
      </c>
      <c r="K110" s="172">
        <f t="shared" si="62"/>
        <v>1846375</v>
      </c>
      <c r="L110"/>
      <c r="M110" s="322">
        <f t="shared" si="53"/>
        <v>0</v>
      </c>
      <c r="N110" s="325"/>
      <c r="O110" s="325"/>
      <c r="P110" s="325"/>
      <c r="Q110" s="325"/>
      <c r="R110" s="325"/>
      <c r="S110" s="324"/>
      <c r="T110" s="324"/>
      <c r="U110" s="324"/>
      <c r="V110" s="324"/>
      <c r="W110" s="324"/>
      <c r="X110" s="324"/>
      <c r="Y110" s="324"/>
      <c r="Z110" s="324"/>
      <c r="AA110" s="324"/>
      <c r="AB110" s="324"/>
      <c r="AC110" s="324"/>
      <c r="AD110" s="324"/>
      <c r="AE110" s="324"/>
      <c r="AF110" s="324"/>
      <c r="AG110" s="324"/>
      <c r="AH110" s="324"/>
      <c r="AI110" s="324"/>
      <c r="AJ110" s="324"/>
      <c r="AK110" s="324"/>
      <c r="AL110" s="324"/>
      <c r="AM110" s="324"/>
      <c r="AN110" s="324"/>
      <c r="AO110" s="324"/>
      <c r="AP110" s="324"/>
      <c r="AQ110" s="324"/>
      <c r="AR110" s="324"/>
      <c r="AS110" s="324"/>
      <c r="AT110" s="324"/>
      <c r="AU110" s="324"/>
      <c r="AV110" s="324"/>
      <c r="AW110" s="324"/>
      <c r="AX110" s="324"/>
      <c r="AY110" s="324"/>
      <c r="AZ110" s="324"/>
      <c r="BA110" s="324"/>
      <c r="BB110" s="324"/>
      <c r="BC110" s="324"/>
      <c r="BD110" s="324"/>
      <c r="BE110" s="324"/>
      <c r="BF110" s="324"/>
      <c r="BG110" s="324"/>
      <c r="BH110" s="324"/>
      <c r="BI110" s="324"/>
      <c r="BJ110" s="324"/>
      <c r="BK110" s="324"/>
      <c r="BL110" s="324"/>
      <c r="BM110" s="324"/>
      <c r="BN110" s="324"/>
      <c r="BO110" s="324"/>
      <c r="BP110" s="324"/>
      <c r="BQ110" s="324"/>
      <c r="BR110" s="324"/>
      <c r="BS110" s="324"/>
      <c r="BT110" s="324"/>
      <c r="BU110" s="324"/>
      <c r="BV110" s="324"/>
      <c r="BW110" s="324"/>
      <c r="BX110" s="324"/>
      <c r="BY110" s="324"/>
      <c r="BZ110" s="324"/>
      <c r="CA110" s="324"/>
      <c r="CB110" s="324"/>
      <c r="CC110" s="324"/>
      <c r="CD110" s="324"/>
      <c r="CE110" s="324"/>
      <c r="CF110" s="324"/>
      <c r="CG110" s="324"/>
      <c r="CH110" s="324"/>
      <c r="CI110" s="324"/>
      <c r="CJ110" s="324"/>
      <c r="CK110" s="324"/>
      <c r="CL110" s="324"/>
      <c r="CM110" s="324"/>
      <c r="CN110" s="324"/>
      <c r="CO110" s="324"/>
      <c r="CP110" s="324"/>
      <c r="CQ110" s="324"/>
      <c r="CR110" s="324"/>
      <c r="CS110" s="324"/>
      <c r="CT110" s="324"/>
      <c r="CU110" s="324"/>
      <c r="CV110" s="324"/>
      <c r="CW110" s="324"/>
      <c r="CX110" s="324"/>
      <c r="CY110" s="324"/>
      <c r="CZ110" s="324"/>
      <c r="DA110" s="324"/>
      <c r="DB110" s="324"/>
      <c r="DC110" s="324"/>
      <c r="DD110" s="324"/>
      <c r="DE110" s="324"/>
      <c r="DF110" s="324"/>
      <c r="DG110" s="324"/>
      <c r="DH110" s="324"/>
      <c r="DI110" s="324"/>
    </row>
    <row r="111" spans="1:113" ht="15.75" thickBot="1" x14ac:dyDescent="0.3">
      <c r="B111" s="161"/>
      <c r="C111" s="162"/>
      <c r="D111" s="163"/>
      <c r="E111" s="164"/>
      <c r="F111" s="67"/>
      <c r="G111" s="164"/>
      <c r="H111" s="164"/>
      <c r="I111" s="164"/>
      <c r="J111" s="164"/>
      <c r="K111" s="163"/>
      <c r="L111"/>
      <c r="M111"/>
      <c r="N111"/>
      <c r="O111"/>
      <c r="P111"/>
      <c r="Q111"/>
      <c r="R111"/>
      <c r="S111"/>
      <c r="T111"/>
      <c r="U111"/>
      <c r="V111"/>
      <c r="W111"/>
      <c r="X111"/>
      <c r="Y111"/>
      <c r="Z111"/>
    </row>
    <row r="112" spans="1:113" ht="15.75" thickBot="1" x14ac:dyDescent="0.3">
      <c r="A112" s="407" t="s">
        <v>657</v>
      </c>
      <c r="B112" s="414" t="s">
        <v>708</v>
      </c>
      <c r="C112" s="414" t="s">
        <v>1</v>
      </c>
      <c r="D112" s="415" t="s">
        <v>649</v>
      </c>
      <c r="E112" s="416" t="s">
        <v>19</v>
      </c>
      <c r="F112" s="416"/>
      <c r="G112" s="416"/>
      <c r="H112" s="416"/>
      <c r="I112" s="416"/>
      <c r="J112" s="410" t="s">
        <v>21</v>
      </c>
      <c r="K112" s="417" t="s">
        <v>602</v>
      </c>
      <c r="L112"/>
      <c r="M112" s="400" t="s">
        <v>601</v>
      </c>
      <c r="N112" s="404" t="s">
        <v>924</v>
      </c>
      <c r="O112" s="405"/>
      <c r="P112" s="405"/>
      <c r="Q112" s="405"/>
      <c r="R112" s="405"/>
      <c r="S112" s="405"/>
      <c r="T112" s="405"/>
      <c r="U112" s="405"/>
      <c r="V112" s="405"/>
      <c r="W112" s="405"/>
      <c r="X112" s="405"/>
      <c r="Y112" s="405"/>
      <c r="Z112" s="405"/>
      <c r="AA112" s="405"/>
      <c r="AB112" s="405"/>
      <c r="AC112" s="405"/>
      <c r="AD112" s="405"/>
      <c r="AE112" s="405"/>
      <c r="AF112" s="405"/>
      <c r="AG112" s="405"/>
      <c r="AH112" s="405"/>
      <c r="AI112" s="405"/>
      <c r="AJ112" s="405"/>
      <c r="AK112" s="405"/>
      <c r="AL112" s="405"/>
      <c r="AM112" s="405"/>
      <c r="AN112" s="405"/>
      <c r="AO112" s="405"/>
      <c r="AP112" s="405"/>
      <c r="AQ112" s="405"/>
      <c r="AR112" s="405"/>
      <c r="AS112" s="405"/>
      <c r="AT112" s="405"/>
      <c r="AU112" s="405"/>
      <c r="AV112" s="405"/>
      <c r="AW112" s="405"/>
      <c r="AX112" s="405"/>
      <c r="AY112" s="405"/>
      <c r="AZ112" s="405"/>
      <c r="BA112" s="405"/>
      <c r="BB112" s="405"/>
      <c r="BC112" s="405"/>
      <c r="BD112" s="405"/>
      <c r="BE112" s="405"/>
      <c r="BF112" s="405"/>
      <c r="BG112" s="405"/>
      <c r="BH112" s="405"/>
      <c r="BI112" s="405"/>
      <c r="BJ112" s="405"/>
      <c r="BK112" s="405"/>
      <c r="BL112" s="405"/>
      <c r="BM112" s="405"/>
      <c r="BN112" s="405"/>
      <c r="BO112" s="405"/>
      <c r="BP112" s="405"/>
      <c r="BQ112" s="405"/>
      <c r="BR112" s="405"/>
      <c r="BS112" s="405"/>
      <c r="BT112" s="405"/>
      <c r="BU112" s="405"/>
      <c r="BV112" s="405"/>
      <c r="BW112" s="405"/>
      <c r="BX112" s="405"/>
      <c r="BY112" s="405"/>
      <c r="BZ112" s="405"/>
      <c r="CA112" s="405"/>
      <c r="CB112" s="405"/>
      <c r="CC112" s="405"/>
      <c r="CD112" s="405"/>
      <c r="CE112" s="405"/>
      <c r="CF112" s="405"/>
      <c r="CG112" s="405"/>
      <c r="CH112" s="405"/>
      <c r="CI112" s="405"/>
      <c r="CJ112" s="405"/>
      <c r="CK112" s="405"/>
      <c r="CL112" s="405"/>
      <c r="CM112" s="405"/>
      <c r="CN112" s="405"/>
      <c r="CO112" s="405"/>
      <c r="CP112" s="405"/>
      <c r="CQ112" s="405"/>
      <c r="CR112" s="405"/>
      <c r="CS112" s="405"/>
      <c r="CT112" s="405"/>
      <c r="CU112" s="405"/>
      <c r="CV112" s="405"/>
      <c r="CW112" s="405"/>
      <c r="CX112" s="405"/>
      <c r="CY112" s="405"/>
      <c r="CZ112" s="405"/>
      <c r="DA112" s="405"/>
      <c r="DB112" s="405"/>
      <c r="DC112" s="405"/>
      <c r="DD112" s="405"/>
      <c r="DE112" s="405"/>
      <c r="DF112" s="405"/>
      <c r="DG112" s="405"/>
      <c r="DH112" s="405"/>
      <c r="DI112" s="406"/>
    </row>
    <row r="113" spans="1:113" ht="45.75" thickBot="1" x14ac:dyDescent="0.3">
      <c r="A113" s="408"/>
      <c r="B113" s="414"/>
      <c r="C113" s="414"/>
      <c r="D113" s="415"/>
      <c r="E113" s="68" t="s">
        <v>22</v>
      </c>
      <c r="F113" s="68" t="s">
        <v>600</v>
      </c>
      <c r="G113" s="68" t="s">
        <v>601</v>
      </c>
      <c r="H113" s="68" t="s">
        <v>589</v>
      </c>
      <c r="I113" s="68" t="s">
        <v>601</v>
      </c>
      <c r="J113" s="411"/>
      <c r="K113" s="418"/>
      <c r="L113"/>
      <c r="M113" s="401"/>
      <c r="N113" s="400" t="s">
        <v>925</v>
      </c>
      <c r="O113" s="400" t="s">
        <v>926</v>
      </c>
      <c r="P113" s="400"/>
      <c r="Q113" s="400"/>
      <c r="R113" s="400"/>
      <c r="S113" s="398"/>
      <c r="T113" s="398"/>
      <c r="U113" s="398"/>
      <c r="V113" s="398"/>
      <c r="W113" s="398"/>
      <c r="X113" s="398"/>
      <c r="Y113" s="398"/>
      <c r="Z113" s="398"/>
      <c r="AA113" s="398"/>
      <c r="AB113" s="398"/>
      <c r="AC113" s="398"/>
      <c r="AD113" s="398"/>
      <c r="AE113" s="398"/>
      <c r="AF113" s="398"/>
      <c r="AG113" s="398"/>
      <c r="AH113" s="398"/>
      <c r="AI113" s="398"/>
      <c r="AJ113" s="398"/>
      <c r="AK113" s="398"/>
      <c r="AL113" s="398"/>
      <c r="AM113" s="398"/>
      <c r="AN113" s="398"/>
      <c r="AO113" s="398"/>
      <c r="AP113" s="398"/>
      <c r="AQ113" s="398"/>
      <c r="AR113" s="398"/>
      <c r="AS113" s="398"/>
      <c r="AT113" s="398"/>
      <c r="AU113" s="398"/>
      <c r="AV113" s="398"/>
      <c r="AW113" s="398"/>
      <c r="AX113" s="398"/>
      <c r="AY113" s="398"/>
      <c r="AZ113" s="398"/>
      <c r="BA113" s="398"/>
      <c r="BB113" s="398"/>
      <c r="BC113" s="398"/>
      <c r="BD113" s="398"/>
      <c r="BE113" s="398"/>
      <c r="BF113" s="398"/>
      <c r="BG113" s="398"/>
      <c r="BH113" s="398"/>
      <c r="BI113" s="398"/>
      <c r="BJ113" s="398"/>
      <c r="BK113" s="398"/>
      <c r="BL113" s="398"/>
      <c r="BM113" s="398"/>
      <c r="BN113" s="398"/>
      <c r="BO113" s="398"/>
      <c r="BP113" s="398"/>
      <c r="BQ113" s="398"/>
      <c r="BR113" s="398"/>
      <c r="BS113" s="398"/>
      <c r="BT113" s="398"/>
      <c r="BU113" s="398"/>
      <c r="BV113" s="398"/>
      <c r="BW113" s="398"/>
      <c r="BX113" s="398"/>
      <c r="BY113" s="398"/>
      <c r="BZ113" s="398"/>
      <c r="CA113" s="398"/>
      <c r="CB113" s="398"/>
      <c r="CC113" s="398"/>
      <c r="CD113" s="398"/>
      <c r="CE113" s="398"/>
      <c r="CF113" s="398"/>
      <c r="CG113" s="398"/>
      <c r="CH113" s="398"/>
      <c r="CI113" s="398"/>
      <c r="CJ113" s="398"/>
      <c r="CK113" s="398"/>
      <c r="CL113" s="398"/>
      <c r="CM113" s="398"/>
      <c r="CN113" s="398"/>
      <c r="CO113" s="398"/>
      <c r="CP113" s="398"/>
      <c r="CQ113" s="398"/>
      <c r="CR113" s="398"/>
      <c r="CS113" s="398"/>
      <c r="CT113" s="398"/>
      <c r="CU113" s="398"/>
      <c r="CV113" s="398"/>
      <c r="CW113" s="398"/>
      <c r="CX113" s="398"/>
      <c r="CY113" s="398"/>
      <c r="CZ113" s="398"/>
      <c r="DA113" s="398"/>
      <c r="DB113" s="398"/>
      <c r="DC113" s="398"/>
      <c r="DD113" s="398"/>
      <c r="DE113" s="398"/>
      <c r="DF113" s="398"/>
      <c r="DG113" s="398"/>
      <c r="DH113" s="398"/>
      <c r="DI113" s="398"/>
    </row>
    <row r="114" spans="1:113" ht="15.75" thickBot="1" x14ac:dyDescent="0.3">
      <c r="A114" s="409"/>
      <c r="B114" s="185">
        <v>1</v>
      </c>
      <c r="C114" s="185">
        <v>2</v>
      </c>
      <c r="D114" s="185">
        <v>3</v>
      </c>
      <c r="E114" s="70">
        <v>4</v>
      </c>
      <c r="F114" s="70">
        <f>+E114+1</f>
        <v>5</v>
      </c>
      <c r="G114" s="70" t="s">
        <v>652</v>
      </c>
      <c r="H114" s="70">
        <v>7</v>
      </c>
      <c r="I114" s="71" t="s">
        <v>651</v>
      </c>
      <c r="J114" s="42" t="s">
        <v>650</v>
      </c>
      <c r="K114" s="42" t="s">
        <v>653</v>
      </c>
      <c r="L114"/>
      <c r="M114" s="402"/>
      <c r="N114" s="402"/>
      <c r="O114" s="402"/>
      <c r="P114" s="402"/>
      <c r="Q114" s="402"/>
      <c r="R114" s="402"/>
      <c r="S114" s="399"/>
      <c r="T114" s="399"/>
      <c r="U114" s="399"/>
      <c r="V114" s="399"/>
      <c r="W114" s="399"/>
      <c r="X114" s="399"/>
      <c r="Y114" s="399"/>
      <c r="Z114" s="399"/>
      <c r="AA114" s="399"/>
      <c r="AB114" s="399"/>
      <c r="AC114" s="399"/>
      <c r="AD114" s="399"/>
      <c r="AE114" s="399"/>
      <c r="AF114" s="399"/>
      <c r="AG114" s="399"/>
      <c r="AH114" s="399"/>
      <c r="AI114" s="399"/>
      <c r="AJ114" s="399"/>
      <c r="AK114" s="399"/>
      <c r="AL114" s="399"/>
      <c r="AM114" s="399"/>
      <c r="AN114" s="399"/>
      <c r="AO114" s="399"/>
      <c r="AP114" s="399"/>
      <c r="AQ114" s="399"/>
      <c r="AR114" s="399"/>
      <c r="AS114" s="399"/>
      <c r="AT114" s="399"/>
      <c r="AU114" s="399"/>
      <c r="AV114" s="399"/>
      <c r="AW114" s="399"/>
      <c r="AX114" s="399"/>
      <c r="AY114" s="399"/>
      <c r="AZ114" s="399"/>
      <c r="BA114" s="399"/>
      <c r="BB114" s="399"/>
      <c r="BC114" s="399"/>
      <c r="BD114" s="399"/>
      <c r="BE114" s="399"/>
      <c r="BF114" s="399"/>
      <c r="BG114" s="399"/>
      <c r="BH114" s="399"/>
      <c r="BI114" s="399"/>
      <c r="BJ114" s="399"/>
      <c r="BK114" s="399"/>
      <c r="BL114" s="399"/>
      <c r="BM114" s="399"/>
      <c r="BN114" s="399"/>
      <c r="BO114" s="399"/>
      <c r="BP114" s="399"/>
      <c r="BQ114" s="399"/>
      <c r="BR114" s="399"/>
      <c r="BS114" s="399"/>
      <c r="BT114" s="399"/>
      <c r="BU114" s="399"/>
      <c r="BV114" s="399"/>
      <c r="BW114" s="399"/>
      <c r="BX114" s="399"/>
      <c r="BY114" s="399"/>
      <c r="BZ114" s="399"/>
      <c r="CA114" s="399"/>
      <c r="CB114" s="399"/>
      <c r="CC114" s="399"/>
      <c r="CD114" s="399"/>
      <c r="CE114" s="399"/>
      <c r="CF114" s="399"/>
      <c r="CG114" s="399"/>
      <c r="CH114" s="399"/>
      <c r="CI114" s="399"/>
      <c r="CJ114" s="399"/>
      <c r="CK114" s="399"/>
      <c r="CL114" s="399"/>
      <c r="CM114" s="399"/>
      <c r="CN114" s="399"/>
      <c r="CO114" s="399"/>
      <c r="CP114" s="399"/>
      <c r="CQ114" s="399"/>
      <c r="CR114" s="399"/>
      <c r="CS114" s="399"/>
      <c r="CT114" s="399"/>
      <c r="CU114" s="399"/>
      <c r="CV114" s="399"/>
      <c r="CW114" s="399"/>
      <c r="CX114" s="399"/>
      <c r="CY114" s="399"/>
      <c r="CZ114" s="399"/>
      <c r="DA114" s="399"/>
      <c r="DB114" s="399"/>
      <c r="DC114" s="399"/>
      <c r="DD114" s="399"/>
      <c r="DE114" s="399"/>
      <c r="DF114" s="399"/>
      <c r="DG114" s="399"/>
      <c r="DH114" s="399"/>
      <c r="DI114" s="399"/>
    </row>
    <row r="115" spans="1:113" x14ac:dyDescent="0.25">
      <c r="A115" s="160"/>
      <c r="B115" s="54"/>
      <c r="C115" s="54"/>
      <c r="D115" s="54"/>
      <c r="E115" s="54"/>
      <c r="F115" s="54"/>
      <c r="G115" s="54"/>
      <c r="H115" s="54"/>
      <c r="I115" s="54"/>
      <c r="J115" s="54"/>
      <c r="K115" s="54"/>
      <c r="L115"/>
      <c r="M115" s="314">
        <f t="shared" ref="M115:M118" si="63">SUM(N115:DJ115)</f>
        <v>0</v>
      </c>
      <c r="N115" s="310"/>
      <c r="O115" s="315"/>
      <c r="P115" s="315"/>
      <c r="Q115" s="315"/>
      <c r="R115" s="315"/>
      <c r="S115" s="55"/>
      <c r="T115" s="55"/>
      <c r="U115" s="55"/>
      <c r="V115" s="55"/>
      <c r="W115" s="55"/>
      <c r="X115" s="55"/>
      <c r="Y115" s="55"/>
      <c r="Z115" s="55"/>
      <c r="AA115" s="55"/>
      <c r="AB115" s="55"/>
      <c r="AC115" s="55"/>
      <c r="AD115" s="55"/>
      <c r="AE115" s="55"/>
      <c r="AF115" s="55"/>
      <c r="AG115" s="55"/>
      <c r="AH115" s="55"/>
      <c r="AI115" s="55"/>
      <c r="AJ115" s="55"/>
      <c r="AK115" s="55"/>
      <c r="AL115" s="55"/>
      <c r="AM115" s="55"/>
      <c r="AN115" s="55"/>
      <c r="AO115" s="55"/>
      <c r="AP115" s="55"/>
      <c r="AQ115" s="55"/>
      <c r="AR115" s="55"/>
      <c r="AS115" s="55"/>
      <c r="AT115" s="55"/>
      <c r="AU115" s="55"/>
      <c r="AV115" s="55"/>
      <c r="AW115" s="55"/>
      <c r="AX115" s="55"/>
      <c r="AY115" s="55"/>
      <c r="AZ115" s="55"/>
      <c r="BA115" s="55"/>
      <c r="BB115" s="55"/>
      <c r="BC115" s="55"/>
      <c r="BD115" s="55"/>
      <c r="BE115" s="55"/>
      <c r="BF115" s="55"/>
      <c r="BG115" s="55"/>
      <c r="BH115" s="55"/>
      <c r="BI115" s="55"/>
      <c r="BJ115" s="55"/>
      <c r="BK115" s="55"/>
      <c r="BL115" s="55"/>
      <c r="BM115" s="55"/>
      <c r="BN115" s="55"/>
      <c r="BO115" s="55"/>
      <c r="BP115" s="55"/>
      <c r="BQ115" s="55"/>
      <c r="BR115" s="55"/>
      <c r="BS115" s="55"/>
      <c r="BT115" s="55"/>
      <c r="BU115" s="55"/>
      <c r="BV115" s="55"/>
      <c r="BW115" s="55"/>
      <c r="BX115" s="55"/>
      <c r="BY115" s="55"/>
      <c r="BZ115" s="55"/>
      <c r="CA115" s="55"/>
      <c r="CB115" s="55"/>
      <c r="CC115" s="55"/>
      <c r="CD115" s="55"/>
      <c r="CE115" s="55"/>
      <c r="CF115" s="55"/>
      <c r="CG115" s="55"/>
      <c r="CH115" s="55"/>
      <c r="CI115" s="55"/>
      <c r="CJ115" s="55"/>
      <c r="CK115" s="55"/>
      <c r="CL115" s="55"/>
      <c r="CM115" s="55"/>
      <c r="CN115" s="55"/>
      <c r="CO115" s="55"/>
      <c r="CP115" s="55"/>
      <c r="CQ115" s="55"/>
      <c r="CR115" s="55"/>
      <c r="CS115" s="55"/>
      <c r="CT115" s="55"/>
      <c r="CU115" s="55"/>
      <c r="CV115" s="55"/>
      <c r="CW115" s="55"/>
      <c r="CX115" s="55"/>
      <c r="CY115" s="55"/>
      <c r="CZ115" s="55"/>
      <c r="DA115" s="55"/>
      <c r="DB115" s="55"/>
      <c r="DC115" s="55"/>
      <c r="DD115" s="55"/>
      <c r="DE115" s="55"/>
      <c r="DF115" s="55"/>
      <c r="DG115" s="55"/>
      <c r="DH115" s="55"/>
      <c r="DI115" s="55"/>
    </row>
    <row r="116" spans="1:113" x14ac:dyDescent="0.25">
      <c r="A116" s="152">
        <v>1</v>
      </c>
      <c r="B116" s="60" t="s">
        <v>598</v>
      </c>
      <c r="C116" s="43">
        <v>60000</v>
      </c>
      <c r="D116" s="175">
        <v>7150</v>
      </c>
      <c r="E116" s="43">
        <v>0</v>
      </c>
      <c r="F116" s="59"/>
      <c r="G116" s="166">
        <f t="shared" ref="G116:G117" si="64">+E116+F116</f>
        <v>0</v>
      </c>
      <c r="H116" s="139">
        <f>1000-1000</f>
        <v>0</v>
      </c>
      <c r="I116" s="56">
        <f t="shared" ref="I116:I117" si="65">+G116-H116</f>
        <v>0</v>
      </c>
      <c r="J116" s="56">
        <f t="shared" ref="J116:J117" si="66">I116*C116</f>
        <v>0</v>
      </c>
      <c r="K116" s="57">
        <f t="shared" ref="K116:K117" si="67">+D116*I116</f>
        <v>0</v>
      </c>
      <c r="L116"/>
      <c r="M116" s="314">
        <f t="shared" si="63"/>
        <v>0</v>
      </c>
      <c r="N116" s="310"/>
      <c r="O116" s="315"/>
      <c r="P116" s="315"/>
      <c r="Q116" s="315"/>
      <c r="R116" s="315"/>
      <c r="S116" s="55"/>
      <c r="T116" s="55"/>
      <c r="U116" s="55"/>
      <c r="V116" s="55"/>
      <c r="W116" s="55"/>
      <c r="X116" s="55"/>
      <c r="Y116" s="55"/>
      <c r="Z116" s="55"/>
      <c r="AA116" s="55"/>
      <c r="AB116" s="55"/>
      <c r="AC116" s="55"/>
      <c r="AD116" s="55"/>
      <c r="AE116" s="55"/>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55"/>
      <c r="BB116" s="55"/>
      <c r="BC116" s="55"/>
      <c r="BD116" s="55"/>
      <c r="BE116" s="55"/>
      <c r="BF116" s="55"/>
      <c r="BG116" s="55"/>
      <c r="BH116" s="55"/>
      <c r="BI116" s="55"/>
      <c r="BJ116" s="55"/>
      <c r="BK116" s="55"/>
      <c r="BL116" s="55"/>
      <c r="BM116" s="55"/>
      <c r="BN116" s="55"/>
      <c r="BO116" s="55"/>
      <c r="BP116" s="55"/>
      <c r="BQ116" s="55"/>
      <c r="BR116" s="55"/>
      <c r="BS116" s="55"/>
      <c r="BT116" s="55"/>
      <c r="BU116" s="55"/>
      <c r="BV116" s="55"/>
      <c r="BW116" s="55"/>
      <c r="BX116" s="55"/>
      <c r="BY116" s="55"/>
      <c r="BZ116" s="55"/>
      <c r="CA116" s="55"/>
      <c r="CB116" s="55"/>
      <c r="CC116" s="55"/>
      <c r="CD116" s="55"/>
      <c r="CE116" s="55"/>
      <c r="CF116" s="55"/>
      <c r="CG116" s="55"/>
      <c r="CH116" s="55"/>
      <c r="CI116" s="55"/>
      <c r="CJ116" s="55"/>
      <c r="CK116" s="55"/>
      <c r="CL116" s="55"/>
      <c r="CM116" s="55"/>
      <c r="CN116" s="55"/>
      <c r="CO116" s="55"/>
      <c r="CP116" s="55"/>
      <c r="CQ116" s="55"/>
      <c r="CR116" s="55"/>
      <c r="CS116" s="55"/>
      <c r="CT116" s="55"/>
      <c r="CU116" s="55"/>
      <c r="CV116" s="55"/>
      <c r="CW116" s="55"/>
      <c r="CX116" s="55"/>
      <c r="CY116" s="55"/>
      <c r="CZ116" s="55"/>
      <c r="DA116" s="55"/>
      <c r="DB116" s="55"/>
      <c r="DC116" s="55"/>
      <c r="DD116" s="55"/>
      <c r="DE116" s="55"/>
      <c r="DF116" s="55"/>
      <c r="DG116" s="55"/>
      <c r="DH116" s="55"/>
      <c r="DI116" s="55"/>
    </row>
    <row r="117" spans="1:113" ht="15.75" thickBot="1" x14ac:dyDescent="0.3">
      <c r="A117" s="153">
        <v>2</v>
      </c>
      <c r="B117" s="156" t="s">
        <v>624</v>
      </c>
      <c r="C117" s="154">
        <v>8000</v>
      </c>
      <c r="D117" s="192">
        <v>4989.0200000000004</v>
      </c>
      <c r="E117" s="154">
        <v>174</v>
      </c>
      <c r="F117" s="156"/>
      <c r="G117" s="197">
        <f t="shared" si="64"/>
        <v>174</v>
      </c>
      <c r="H117" s="58"/>
      <c r="I117" s="64">
        <f t="shared" si="65"/>
        <v>174</v>
      </c>
      <c r="J117" s="64">
        <f t="shared" si="66"/>
        <v>1392000</v>
      </c>
      <c r="K117" s="65">
        <f t="shared" si="67"/>
        <v>868089.4800000001</v>
      </c>
      <c r="L117"/>
      <c r="M117" s="314">
        <f t="shared" si="63"/>
        <v>0</v>
      </c>
      <c r="N117" s="310"/>
      <c r="O117" s="315"/>
      <c r="P117" s="315"/>
      <c r="Q117" s="315"/>
      <c r="R117" s="315"/>
      <c r="S117" s="55"/>
      <c r="T117" s="55"/>
      <c r="U117" s="55"/>
      <c r="V117" s="55"/>
      <c r="W117" s="55"/>
      <c r="X117" s="55"/>
      <c r="Y117" s="55"/>
      <c r="Z117" s="55"/>
      <c r="AA117" s="55"/>
      <c r="AB117" s="55"/>
      <c r="AC117" s="55"/>
      <c r="AD117" s="55"/>
      <c r="AE117" s="55"/>
      <c r="AF117" s="55"/>
      <c r="AG117" s="55"/>
      <c r="AH117" s="55"/>
      <c r="AI117" s="55"/>
      <c r="AJ117" s="55"/>
      <c r="AK117" s="55"/>
      <c r="AL117" s="55"/>
      <c r="AM117" s="55"/>
      <c r="AN117" s="55"/>
      <c r="AO117" s="55"/>
      <c r="AP117" s="55"/>
      <c r="AQ117" s="55"/>
      <c r="AR117" s="55"/>
      <c r="AS117" s="55"/>
      <c r="AT117" s="55"/>
      <c r="AU117" s="55"/>
      <c r="AV117" s="55"/>
      <c r="AW117" s="55"/>
      <c r="AX117" s="55"/>
      <c r="AY117" s="55"/>
      <c r="AZ117" s="55"/>
      <c r="BA117" s="55"/>
      <c r="BB117" s="55"/>
      <c r="BC117" s="55"/>
      <c r="BD117" s="55"/>
      <c r="BE117" s="55"/>
      <c r="BF117" s="55"/>
      <c r="BG117" s="55"/>
      <c r="BH117" s="55"/>
      <c r="BI117" s="55"/>
      <c r="BJ117" s="55"/>
      <c r="BK117" s="55"/>
      <c r="BL117" s="55"/>
      <c r="BM117" s="55"/>
      <c r="BN117" s="55"/>
      <c r="BO117" s="55"/>
      <c r="BP117" s="55"/>
      <c r="BQ117" s="55"/>
      <c r="BR117" s="55"/>
      <c r="BS117" s="55"/>
      <c r="BT117" s="55"/>
      <c r="BU117" s="55"/>
      <c r="BV117" s="55"/>
      <c r="BW117" s="55"/>
      <c r="BX117" s="55"/>
      <c r="BY117" s="55"/>
      <c r="BZ117" s="55"/>
      <c r="CA117" s="55"/>
      <c r="CB117" s="55"/>
      <c r="CC117" s="55"/>
      <c r="CD117" s="55"/>
      <c r="CE117" s="55"/>
      <c r="CF117" s="55"/>
      <c r="CG117" s="55"/>
      <c r="CH117" s="55"/>
      <c r="CI117" s="55"/>
      <c r="CJ117" s="55"/>
      <c r="CK117" s="55"/>
      <c r="CL117" s="55"/>
      <c r="CM117" s="55"/>
      <c r="CN117" s="55"/>
      <c r="CO117" s="55"/>
      <c r="CP117" s="55"/>
      <c r="CQ117" s="55"/>
      <c r="CR117" s="55"/>
      <c r="CS117" s="55"/>
      <c r="CT117" s="55"/>
      <c r="CU117" s="55"/>
      <c r="CV117" s="55"/>
      <c r="CW117" s="55"/>
      <c r="CX117" s="55"/>
      <c r="CY117" s="55"/>
      <c r="CZ117" s="55"/>
      <c r="DA117" s="55"/>
      <c r="DB117" s="55"/>
      <c r="DC117" s="55"/>
      <c r="DD117" s="55"/>
      <c r="DE117" s="55"/>
      <c r="DF117" s="55"/>
      <c r="DG117" s="55"/>
      <c r="DH117" s="55"/>
      <c r="DI117" s="55"/>
    </row>
    <row r="118" spans="1:113" ht="15.75" thickBot="1" x14ac:dyDescent="0.3">
      <c r="A118" s="128"/>
      <c r="B118" s="119" t="s">
        <v>688</v>
      </c>
      <c r="C118" s="36"/>
      <c r="D118" s="36"/>
      <c r="E118" s="29">
        <f>SUM(E116:E117)</f>
        <v>174</v>
      </c>
      <c r="F118" s="29">
        <f t="shared" ref="F118:K118" si="68">SUM(F116:F117)</f>
        <v>0</v>
      </c>
      <c r="G118" s="29">
        <f t="shared" si="68"/>
        <v>174</v>
      </c>
      <c r="H118" s="29">
        <f t="shared" si="68"/>
        <v>0</v>
      </c>
      <c r="I118" s="29">
        <f t="shared" si="68"/>
        <v>174</v>
      </c>
      <c r="J118" s="29">
        <f t="shared" si="68"/>
        <v>1392000</v>
      </c>
      <c r="K118" s="47">
        <f t="shared" si="68"/>
        <v>868089.4800000001</v>
      </c>
      <c r="L118"/>
      <c r="M118" s="322">
        <f t="shared" si="63"/>
        <v>0</v>
      </c>
      <c r="N118" s="325"/>
      <c r="O118" s="325"/>
      <c r="P118" s="325"/>
      <c r="Q118" s="325"/>
      <c r="R118" s="325"/>
      <c r="S118" s="324"/>
      <c r="T118" s="324"/>
      <c r="U118" s="324"/>
      <c r="V118" s="324"/>
      <c r="W118" s="324"/>
      <c r="X118" s="324"/>
      <c r="Y118" s="324"/>
      <c r="Z118" s="324"/>
      <c r="AA118" s="324"/>
      <c r="AB118" s="324"/>
      <c r="AC118" s="324"/>
      <c r="AD118" s="324"/>
      <c r="AE118" s="324"/>
      <c r="AF118" s="324"/>
      <c r="AG118" s="324"/>
      <c r="AH118" s="324"/>
      <c r="AI118" s="324"/>
      <c r="AJ118" s="324"/>
      <c r="AK118" s="324"/>
      <c r="AL118" s="324"/>
      <c r="AM118" s="324"/>
      <c r="AN118" s="324"/>
      <c r="AO118" s="324"/>
      <c r="AP118" s="324"/>
      <c r="AQ118" s="324"/>
      <c r="AR118" s="324"/>
      <c r="AS118" s="324"/>
      <c r="AT118" s="324"/>
      <c r="AU118" s="324"/>
      <c r="AV118" s="324"/>
      <c r="AW118" s="324"/>
      <c r="AX118" s="324"/>
      <c r="AY118" s="324"/>
      <c r="AZ118" s="324"/>
      <c r="BA118" s="324"/>
      <c r="BB118" s="324"/>
      <c r="BC118" s="324"/>
      <c r="BD118" s="324"/>
      <c r="BE118" s="324"/>
      <c r="BF118" s="324"/>
      <c r="BG118" s="324"/>
      <c r="BH118" s="324"/>
      <c r="BI118" s="324"/>
      <c r="BJ118" s="324"/>
      <c r="BK118" s="324"/>
      <c r="BL118" s="324"/>
      <c r="BM118" s="324"/>
      <c r="BN118" s="324"/>
      <c r="BO118" s="324"/>
      <c r="BP118" s="324"/>
      <c r="BQ118" s="324"/>
      <c r="BR118" s="324"/>
      <c r="BS118" s="324"/>
      <c r="BT118" s="324"/>
      <c r="BU118" s="324"/>
      <c r="BV118" s="324"/>
      <c r="BW118" s="324"/>
      <c r="BX118" s="324"/>
      <c r="BY118" s="324"/>
      <c r="BZ118" s="324"/>
      <c r="CA118" s="324"/>
      <c r="CB118" s="324"/>
      <c r="CC118" s="324"/>
      <c r="CD118" s="324"/>
      <c r="CE118" s="324"/>
      <c r="CF118" s="324"/>
      <c r="CG118" s="324"/>
      <c r="CH118" s="324"/>
      <c r="CI118" s="324"/>
      <c r="CJ118" s="324"/>
      <c r="CK118" s="324"/>
      <c r="CL118" s="324"/>
      <c r="CM118" s="324"/>
      <c r="CN118" s="324"/>
      <c r="CO118" s="324"/>
      <c r="CP118" s="324"/>
      <c r="CQ118" s="324"/>
      <c r="CR118" s="324"/>
      <c r="CS118" s="324"/>
      <c r="CT118" s="324"/>
      <c r="CU118" s="324"/>
      <c r="CV118" s="324"/>
      <c r="CW118" s="324"/>
      <c r="CX118" s="324"/>
      <c r="CY118" s="324"/>
      <c r="CZ118" s="324"/>
      <c r="DA118" s="324"/>
      <c r="DB118" s="324"/>
      <c r="DC118" s="324"/>
      <c r="DD118" s="324"/>
      <c r="DE118" s="324"/>
      <c r="DF118" s="324"/>
      <c r="DG118" s="324"/>
      <c r="DH118" s="324"/>
      <c r="DI118" s="324"/>
    </row>
    <row r="119" spans="1:113" ht="15.75" thickBot="1" x14ac:dyDescent="0.3">
      <c r="L119"/>
      <c r="M119"/>
      <c r="N119"/>
      <c r="O119"/>
      <c r="P119"/>
      <c r="Q119"/>
      <c r="R119"/>
      <c r="S119"/>
      <c r="T119"/>
      <c r="U119"/>
      <c r="V119"/>
      <c r="W119"/>
      <c r="X119"/>
      <c r="Y119"/>
      <c r="Z119"/>
    </row>
    <row r="120" spans="1:113" ht="15.75" thickBot="1" x14ac:dyDescent="0.3">
      <c r="A120" s="407" t="s">
        <v>657</v>
      </c>
      <c r="B120" s="414" t="s">
        <v>708</v>
      </c>
      <c r="C120" s="414" t="s">
        <v>1</v>
      </c>
      <c r="D120" s="415" t="s">
        <v>649</v>
      </c>
      <c r="E120" s="416" t="s">
        <v>19</v>
      </c>
      <c r="F120" s="416"/>
      <c r="G120" s="416"/>
      <c r="H120" s="416"/>
      <c r="I120" s="416"/>
      <c r="J120" s="410" t="s">
        <v>21</v>
      </c>
      <c r="K120" s="417" t="s">
        <v>602</v>
      </c>
      <c r="L120"/>
      <c r="M120" s="400" t="s">
        <v>601</v>
      </c>
      <c r="N120" s="404" t="s">
        <v>924</v>
      </c>
      <c r="O120" s="405"/>
      <c r="P120" s="405"/>
      <c r="Q120" s="405"/>
      <c r="R120" s="405"/>
      <c r="S120" s="405"/>
      <c r="T120" s="405"/>
      <c r="U120" s="405"/>
      <c r="V120" s="405"/>
      <c r="W120" s="405"/>
      <c r="X120" s="405"/>
      <c r="Y120" s="405"/>
      <c r="Z120" s="405"/>
      <c r="AA120" s="405"/>
      <c r="AB120" s="405"/>
      <c r="AC120" s="405"/>
      <c r="AD120" s="405"/>
      <c r="AE120" s="405"/>
      <c r="AF120" s="405"/>
      <c r="AG120" s="405"/>
      <c r="AH120" s="405"/>
      <c r="AI120" s="405"/>
      <c r="AJ120" s="405"/>
      <c r="AK120" s="405"/>
      <c r="AL120" s="405"/>
      <c r="AM120" s="405"/>
      <c r="AN120" s="405"/>
      <c r="AO120" s="405"/>
      <c r="AP120" s="405"/>
      <c r="AQ120" s="405"/>
      <c r="AR120" s="405"/>
      <c r="AS120" s="405"/>
      <c r="AT120" s="405"/>
      <c r="AU120" s="405"/>
      <c r="AV120" s="405"/>
      <c r="AW120" s="405"/>
      <c r="AX120" s="405"/>
      <c r="AY120" s="405"/>
      <c r="AZ120" s="405"/>
      <c r="BA120" s="405"/>
      <c r="BB120" s="405"/>
      <c r="BC120" s="405"/>
      <c r="BD120" s="405"/>
      <c r="BE120" s="405"/>
      <c r="BF120" s="405"/>
      <c r="BG120" s="405"/>
      <c r="BH120" s="405"/>
      <c r="BI120" s="405"/>
      <c r="BJ120" s="405"/>
      <c r="BK120" s="405"/>
      <c r="BL120" s="405"/>
      <c r="BM120" s="405"/>
      <c r="BN120" s="405"/>
      <c r="BO120" s="405"/>
      <c r="BP120" s="405"/>
      <c r="BQ120" s="405"/>
      <c r="BR120" s="405"/>
      <c r="BS120" s="405"/>
      <c r="BT120" s="405"/>
      <c r="BU120" s="405"/>
      <c r="BV120" s="405"/>
      <c r="BW120" s="405"/>
      <c r="BX120" s="405"/>
      <c r="BY120" s="405"/>
      <c r="BZ120" s="405"/>
      <c r="CA120" s="405"/>
      <c r="CB120" s="405"/>
      <c r="CC120" s="405"/>
      <c r="CD120" s="405"/>
      <c r="CE120" s="405"/>
      <c r="CF120" s="405"/>
      <c r="CG120" s="405"/>
      <c r="CH120" s="405"/>
      <c r="CI120" s="405"/>
      <c r="CJ120" s="405"/>
      <c r="CK120" s="405"/>
      <c r="CL120" s="405"/>
      <c r="CM120" s="405"/>
      <c r="CN120" s="405"/>
      <c r="CO120" s="405"/>
      <c r="CP120" s="405"/>
      <c r="CQ120" s="405"/>
      <c r="CR120" s="405"/>
      <c r="CS120" s="405"/>
      <c r="CT120" s="405"/>
      <c r="CU120" s="405"/>
      <c r="CV120" s="405"/>
      <c r="CW120" s="405"/>
      <c r="CX120" s="405"/>
      <c r="CY120" s="405"/>
      <c r="CZ120" s="405"/>
      <c r="DA120" s="405"/>
      <c r="DB120" s="405"/>
      <c r="DC120" s="405"/>
      <c r="DD120" s="405"/>
      <c r="DE120" s="405"/>
      <c r="DF120" s="405"/>
      <c r="DG120" s="405"/>
      <c r="DH120" s="405"/>
      <c r="DI120" s="406"/>
    </row>
    <row r="121" spans="1:113" ht="45.75" thickBot="1" x14ac:dyDescent="0.3">
      <c r="A121" s="408"/>
      <c r="B121" s="414"/>
      <c r="C121" s="414"/>
      <c r="D121" s="415"/>
      <c r="E121" s="68" t="s">
        <v>22</v>
      </c>
      <c r="F121" s="68" t="s">
        <v>600</v>
      </c>
      <c r="G121" s="68" t="s">
        <v>601</v>
      </c>
      <c r="H121" s="68" t="s">
        <v>589</v>
      </c>
      <c r="I121" s="68" t="s">
        <v>601</v>
      </c>
      <c r="J121" s="411"/>
      <c r="K121" s="418"/>
      <c r="L121"/>
      <c r="M121" s="401"/>
      <c r="N121" s="400" t="s">
        <v>925</v>
      </c>
      <c r="O121" s="400" t="s">
        <v>926</v>
      </c>
      <c r="P121" s="400"/>
      <c r="Q121" s="400"/>
      <c r="R121" s="400"/>
      <c r="S121" s="398"/>
      <c r="T121" s="398"/>
      <c r="U121" s="398"/>
      <c r="V121" s="398"/>
      <c r="W121" s="398"/>
      <c r="X121" s="398"/>
      <c r="Y121" s="398"/>
      <c r="Z121" s="398"/>
      <c r="AA121" s="398"/>
      <c r="AB121" s="398"/>
      <c r="AC121" s="398"/>
      <c r="AD121" s="398"/>
      <c r="AE121" s="398"/>
      <c r="AF121" s="398"/>
      <c r="AG121" s="398"/>
      <c r="AH121" s="398"/>
      <c r="AI121" s="398"/>
      <c r="AJ121" s="398"/>
      <c r="AK121" s="398"/>
      <c r="AL121" s="398"/>
      <c r="AM121" s="398"/>
      <c r="AN121" s="398"/>
      <c r="AO121" s="398"/>
      <c r="AP121" s="398"/>
      <c r="AQ121" s="398"/>
      <c r="AR121" s="398"/>
      <c r="AS121" s="398"/>
      <c r="AT121" s="398"/>
      <c r="AU121" s="398"/>
      <c r="AV121" s="398"/>
      <c r="AW121" s="398"/>
      <c r="AX121" s="398"/>
      <c r="AY121" s="398"/>
      <c r="AZ121" s="398"/>
      <c r="BA121" s="398"/>
      <c r="BB121" s="398"/>
      <c r="BC121" s="398"/>
      <c r="BD121" s="398"/>
      <c r="BE121" s="398"/>
      <c r="BF121" s="398"/>
      <c r="BG121" s="398"/>
      <c r="BH121" s="398"/>
      <c r="BI121" s="398"/>
      <c r="BJ121" s="398"/>
      <c r="BK121" s="398"/>
      <c r="BL121" s="398"/>
      <c r="BM121" s="398"/>
      <c r="BN121" s="398"/>
      <c r="BO121" s="398"/>
      <c r="BP121" s="398"/>
      <c r="BQ121" s="398"/>
      <c r="BR121" s="398"/>
      <c r="BS121" s="398"/>
      <c r="BT121" s="398"/>
      <c r="BU121" s="398"/>
      <c r="BV121" s="398"/>
      <c r="BW121" s="398"/>
      <c r="BX121" s="398"/>
      <c r="BY121" s="398"/>
      <c r="BZ121" s="398"/>
      <c r="CA121" s="398"/>
      <c r="CB121" s="398"/>
      <c r="CC121" s="398"/>
      <c r="CD121" s="398"/>
      <c r="CE121" s="398"/>
      <c r="CF121" s="398"/>
      <c r="CG121" s="398"/>
      <c r="CH121" s="398"/>
      <c r="CI121" s="398"/>
      <c r="CJ121" s="398"/>
      <c r="CK121" s="398"/>
      <c r="CL121" s="398"/>
      <c r="CM121" s="398"/>
      <c r="CN121" s="398"/>
      <c r="CO121" s="398"/>
      <c r="CP121" s="398"/>
      <c r="CQ121" s="398"/>
      <c r="CR121" s="398"/>
      <c r="CS121" s="398"/>
      <c r="CT121" s="398"/>
      <c r="CU121" s="398"/>
      <c r="CV121" s="398"/>
      <c r="CW121" s="398"/>
      <c r="CX121" s="398"/>
      <c r="CY121" s="398"/>
      <c r="CZ121" s="398"/>
      <c r="DA121" s="398"/>
      <c r="DB121" s="398"/>
      <c r="DC121" s="398"/>
      <c r="DD121" s="398"/>
      <c r="DE121" s="398"/>
      <c r="DF121" s="398"/>
      <c r="DG121" s="398"/>
      <c r="DH121" s="398"/>
      <c r="DI121" s="398"/>
    </row>
    <row r="122" spans="1:113" ht="15.75" thickBot="1" x14ac:dyDescent="0.3">
      <c r="A122" s="409"/>
      <c r="B122" s="211">
        <v>1</v>
      </c>
      <c r="C122" s="211">
        <v>2</v>
      </c>
      <c r="D122" s="211">
        <v>3</v>
      </c>
      <c r="E122" s="70">
        <v>4</v>
      </c>
      <c r="F122" s="70">
        <f>+E122+1</f>
        <v>5</v>
      </c>
      <c r="G122" s="70" t="s">
        <v>652</v>
      </c>
      <c r="H122" s="70">
        <v>7</v>
      </c>
      <c r="I122" s="71" t="s">
        <v>651</v>
      </c>
      <c r="J122" s="42" t="s">
        <v>650</v>
      </c>
      <c r="K122" s="42" t="s">
        <v>653</v>
      </c>
      <c r="L122"/>
      <c r="M122" s="402"/>
      <c r="N122" s="402"/>
      <c r="O122" s="402"/>
      <c r="P122" s="402"/>
      <c r="Q122" s="402"/>
      <c r="R122" s="402"/>
      <c r="S122" s="399"/>
      <c r="T122" s="399"/>
      <c r="U122" s="399"/>
      <c r="V122" s="399"/>
      <c r="W122" s="399"/>
      <c r="X122" s="399"/>
      <c r="Y122" s="399"/>
      <c r="Z122" s="399"/>
      <c r="AA122" s="399"/>
      <c r="AB122" s="399"/>
      <c r="AC122" s="399"/>
      <c r="AD122" s="399"/>
      <c r="AE122" s="399"/>
      <c r="AF122" s="399"/>
      <c r="AG122" s="399"/>
      <c r="AH122" s="399"/>
      <c r="AI122" s="399"/>
      <c r="AJ122" s="399"/>
      <c r="AK122" s="399"/>
      <c r="AL122" s="399"/>
      <c r="AM122" s="399"/>
      <c r="AN122" s="399"/>
      <c r="AO122" s="399"/>
      <c r="AP122" s="399"/>
      <c r="AQ122" s="399"/>
      <c r="AR122" s="399"/>
      <c r="AS122" s="399"/>
      <c r="AT122" s="399"/>
      <c r="AU122" s="399"/>
      <c r="AV122" s="399"/>
      <c r="AW122" s="399"/>
      <c r="AX122" s="399"/>
      <c r="AY122" s="399"/>
      <c r="AZ122" s="399"/>
      <c r="BA122" s="399"/>
      <c r="BB122" s="399"/>
      <c r="BC122" s="399"/>
      <c r="BD122" s="399"/>
      <c r="BE122" s="399"/>
      <c r="BF122" s="399"/>
      <c r="BG122" s="399"/>
      <c r="BH122" s="399"/>
      <c r="BI122" s="399"/>
      <c r="BJ122" s="399"/>
      <c r="BK122" s="399"/>
      <c r="BL122" s="399"/>
      <c r="BM122" s="399"/>
      <c r="BN122" s="399"/>
      <c r="BO122" s="399"/>
      <c r="BP122" s="399"/>
      <c r="BQ122" s="399"/>
      <c r="BR122" s="399"/>
      <c r="BS122" s="399"/>
      <c r="BT122" s="399"/>
      <c r="BU122" s="399"/>
      <c r="BV122" s="399"/>
      <c r="BW122" s="399"/>
      <c r="BX122" s="399"/>
      <c r="BY122" s="399"/>
      <c r="BZ122" s="399"/>
      <c r="CA122" s="399"/>
      <c r="CB122" s="399"/>
      <c r="CC122" s="399"/>
      <c r="CD122" s="399"/>
      <c r="CE122" s="399"/>
      <c r="CF122" s="399"/>
      <c r="CG122" s="399"/>
      <c r="CH122" s="399"/>
      <c r="CI122" s="399"/>
      <c r="CJ122" s="399"/>
      <c r="CK122" s="399"/>
      <c r="CL122" s="399"/>
      <c r="CM122" s="399"/>
      <c r="CN122" s="399"/>
      <c r="CO122" s="399"/>
      <c r="CP122" s="399"/>
      <c r="CQ122" s="399"/>
      <c r="CR122" s="399"/>
      <c r="CS122" s="399"/>
      <c r="CT122" s="399"/>
      <c r="CU122" s="399"/>
      <c r="CV122" s="399"/>
      <c r="CW122" s="399"/>
      <c r="CX122" s="399"/>
      <c r="CY122" s="399"/>
      <c r="CZ122" s="399"/>
      <c r="DA122" s="399"/>
      <c r="DB122" s="399"/>
      <c r="DC122" s="399"/>
      <c r="DD122" s="399"/>
      <c r="DE122" s="399"/>
      <c r="DF122" s="399"/>
      <c r="DG122" s="399"/>
      <c r="DH122" s="399"/>
      <c r="DI122" s="399"/>
    </row>
    <row r="123" spans="1:113" x14ac:dyDescent="0.25">
      <c r="A123" s="160"/>
      <c r="B123" s="54"/>
      <c r="C123" s="54"/>
      <c r="D123" s="54"/>
      <c r="E123" s="54"/>
      <c r="F123" s="54"/>
      <c r="G123" s="54"/>
      <c r="H123" s="54"/>
      <c r="I123" s="54"/>
      <c r="J123" s="54"/>
      <c r="K123" s="54"/>
      <c r="L123"/>
      <c r="M123" s="314">
        <f t="shared" ref="M123:M138" si="69">SUM(N123:DJ123)</f>
        <v>0</v>
      </c>
      <c r="N123" s="310"/>
      <c r="O123" s="315"/>
      <c r="P123" s="315"/>
      <c r="Q123" s="315"/>
      <c r="R123" s="315"/>
      <c r="S123" s="55"/>
      <c r="T123" s="55"/>
      <c r="U123" s="55"/>
      <c r="V123" s="55"/>
      <c r="W123" s="55"/>
      <c r="X123" s="55"/>
      <c r="Y123" s="55"/>
      <c r="Z123" s="55"/>
      <c r="AA123" s="55"/>
      <c r="AB123" s="55"/>
      <c r="AC123" s="55"/>
      <c r="AD123" s="55"/>
      <c r="AE123" s="55"/>
      <c r="AF123" s="55"/>
      <c r="AG123" s="55"/>
      <c r="AH123" s="55"/>
      <c r="AI123" s="55"/>
      <c r="AJ123" s="55"/>
      <c r="AK123" s="55"/>
      <c r="AL123" s="55"/>
      <c r="AM123" s="55"/>
      <c r="AN123" s="55"/>
      <c r="AO123" s="55"/>
      <c r="AP123" s="55"/>
      <c r="AQ123" s="55"/>
      <c r="AR123" s="55"/>
      <c r="AS123" s="55"/>
      <c r="AT123" s="55"/>
      <c r="AU123" s="55"/>
      <c r="AV123" s="55"/>
      <c r="AW123" s="55"/>
      <c r="AX123" s="55"/>
      <c r="AY123" s="55"/>
      <c r="AZ123" s="55"/>
      <c r="BA123" s="55"/>
      <c r="BB123" s="55"/>
      <c r="BC123" s="55"/>
      <c r="BD123" s="55"/>
      <c r="BE123" s="55"/>
      <c r="BF123" s="55"/>
      <c r="BG123" s="55"/>
      <c r="BH123" s="55"/>
      <c r="BI123" s="55"/>
      <c r="BJ123" s="55"/>
      <c r="BK123" s="55"/>
      <c r="BL123" s="55"/>
      <c r="BM123" s="55"/>
      <c r="BN123" s="55"/>
      <c r="BO123" s="55"/>
      <c r="BP123" s="55"/>
      <c r="BQ123" s="55"/>
      <c r="BR123" s="55"/>
      <c r="BS123" s="55"/>
      <c r="BT123" s="55"/>
      <c r="BU123" s="55"/>
      <c r="BV123" s="55"/>
      <c r="BW123" s="55"/>
      <c r="BX123" s="55"/>
      <c r="BY123" s="55"/>
      <c r="BZ123" s="55"/>
      <c r="CA123" s="55"/>
      <c r="CB123" s="55"/>
      <c r="CC123" s="55"/>
      <c r="CD123" s="55"/>
      <c r="CE123" s="55"/>
      <c r="CF123" s="55"/>
      <c r="CG123" s="55"/>
      <c r="CH123" s="55"/>
      <c r="CI123" s="55"/>
      <c r="CJ123" s="55"/>
      <c r="CK123" s="55"/>
      <c r="CL123" s="55"/>
      <c r="CM123" s="55"/>
      <c r="CN123" s="55"/>
      <c r="CO123" s="55"/>
      <c r="CP123" s="55"/>
      <c r="CQ123" s="55"/>
      <c r="CR123" s="55"/>
      <c r="CS123" s="55"/>
      <c r="CT123" s="55"/>
      <c r="CU123" s="55"/>
      <c r="CV123" s="55"/>
      <c r="CW123" s="55"/>
      <c r="CX123" s="55"/>
      <c r="CY123" s="55"/>
      <c r="CZ123" s="55"/>
      <c r="DA123" s="55"/>
      <c r="DB123" s="55"/>
      <c r="DC123" s="55"/>
      <c r="DD123" s="55"/>
      <c r="DE123" s="55"/>
      <c r="DF123" s="55"/>
      <c r="DG123" s="55"/>
      <c r="DH123" s="55"/>
      <c r="DI123" s="55"/>
    </row>
    <row r="124" spans="1:113" x14ac:dyDescent="0.25">
      <c r="A124" s="152">
        <v>1</v>
      </c>
      <c r="B124" s="213" t="s">
        <v>798</v>
      </c>
      <c r="C124" s="43">
        <v>7500</v>
      </c>
      <c r="D124" s="175">
        <v>6764.25</v>
      </c>
      <c r="E124" s="43">
        <v>0</v>
      </c>
      <c r="F124" s="60"/>
      <c r="G124" s="166">
        <f t="shared" ref="G124:G127" si="70">+E124+F124</f>
        <v>0</v>
      </c>
      <c r="H124" s="55"/>
      <c r="I124" s="56">
        <f t="shared" ref="I124:I127" si="71">+G124-H124</f>
        <v>0</v>
      </c>
      <c r="J124" s="56">
        <f t="shared" ref="J124:J127" si="72">I124*C124</f>
        <v>0</v>
      </c>
      <c r="K124" s="57">
        <f t="shared" ref="K124:K127" si="73">+D124*I124</f>
        <v>0</v>
      </c>
      <c r="L124"/>
      <c r="M124" s="314">
        <f t="shared" si="69"/>
        <v>0</v>
      </c>
      <c r="N124" s="310"/>
      <c r="O124" s="315"/>
      <c r="P124" s="315"/>
      <c r="Q124" s="315"/>
      <c r="R124" s="315"/>
      <c r="S124" s="55"/>
      <c r="T124" s="55"/>
      <c r="U124" s="55"/>
      <c r="V124" s="55"/>
      <c r="W124" s="55"/>
      <c r="X124" s="55"/>
      <c r="Y124" s="55"/>
      <c r="Z124" s="55"/>
      <c r="AA124" s="55"/>
      <c r="AB124" s="55"/>
      <c r="AC124" s="55"/>
      <c r="AD124" s="55"/>
      <c r="AE124" s="55"/>
      <c r="AF124" s="55"/>
      <c r="AG124" s="55"/>
      <c r="AH124" s="55"/>
      <c r="AI124" s="55"/>
      <c r="AJ124" s="55"/>
      <c r="AK124" s="55"/>
      <c r="AL124" s="55"/>
      <c r="AM124" s="55"/>
      <c r="AN124" s="55"/>
      <c r="AO124" s="55"/>
      <c r="AP124" s="55"/>
      <c r="AQ124" s="55"/>
      <c r="AR124" s="55"/>
      <c r="AS124" s="55"/>
      <c r="AT124" s="55"/>
      <c r="AU124" s="55"/>
      <c r="AV124" s="55"/>
      <c r="AW124" s="55"/>
      <c r="AX124" s="55"/>
      <c r="AY124" s="55"/>
      <c r="AZ124" s="55"/>
      <c r="BA124" s="55"/>
      <c r="BB124" s="55"/>
      <c r="BC124" s="55"/>
      <c r="BD124" s="55"/>
      <c r="BE124" s="55"/>
      <c r="BF124" s="55"/>
      <c r="BG124" s="55"/>
      <c r="BH124" s="55"/>
      <c r="BI124" s="55"/>
      <c r="BJ124" s="55"/>
      <c r="BK124" s="55"/>
      <c r="BL124" s="55"/>
      <c r="BM124" s="55"/>
      <c r="BN124" s="55"/>
      <c r="BO124" s="55"/>
      <c r="BP124" s="55"/>
      <c r="BQ124" s="55"/>
      <c r="BR124" s="55"/>
      <c r="BS124" s="55"/>
      <c r="BT124" s="55"/>
      <c r="BU124" s="55"/>
      <c r="BV124" s="55"/>
      <c r="BW124" s="55"/>
      <c r="BX124" s="55"/>
      <c r="BY124" s="55"/>
      <c r="BZ124" s="55"/>
      <c r="CA124" s="55"/>
      <c r="CB124" s="55"/>
      <c r="CC124" s="55"/>
      <c r="CD124" s="55"/>
      <c r="CE124" s="55"/>
      <c r="CF124" s="55"/>
      <c r="CG124" s="55"/>
      <c r="CH124" s="55"/>
      <c r="CI124" s="55"/>
      <c r="CJ124" s="55"/>
      <c r="CK124" s="55"/>
      <c r="CL124" s="55"/>
      <c r="CM124" s="55"/>
      <c r="CN124" s="55"/>
      <c r="CO124" s="55"/>
      <c r="CP124" s="55"/>
      <c r="CQ124" s="55"/>
      <c r="CR124" s="55"/>
      <c r="CS124" s="55"/>
      <c r="CT124" s="55"/>
      <c r="CU124" s="55"/>
      <c r="CV124" s="55"/>
      <c r="CW124" s="55"/>
      <c r="CX124" s="55"/>
      <c r="CY124" s="55"/>
      <c r="CZ124" s="55"/>
      <c r="DA124" s="55"/>
      <c r="DB124" s="55"/>
      <c r="DC124" s="55"/>
      <c r="DD124" s="55"/>
      <c r="DE124" s="55"/>
      <c r="DF124" s="55"/>
      <c r="DG124" s="55"/>
      <c r="DH124" s="55"/>
      <c r="DI124" s="55"/>
    </row>
    <row r="125" spans="1:113" x14ac:dyDescent="0.25">
      <c r="A125" s="170">
        <v>2</v>
      </c>
      <c r="B125" s="213" t="s">
        <v>797</v>
      </c>
      <c r="C125" s="43">
        <v>100000</v>
      </c>
      <c r="D125" s="201"/>
      <c r="E125" s="122">
        <v>0</v>
      </c>
      <c r="F125" s="121"/>
      <c r="G125" s="166">
        <f t="shared" ref="G125:G126" si="74">+E125+F125</f>
        <v>0</v>
      </c>
      <c r="H125" s="55"/>
      <c r="I125" s="56">
        <f t="shared" ref="I125:I126" si="75">+G125-H125</f>
        <v>0</v>
      </c>
      <c r="J125" s="56">
        <f t="shared" ref="J125:J126" si="76">I125*C125</f>
        <v>0</v>
      </c>
      <c r="K125" s="57">
        <f t="shared" ref="K125:K126" si="77">+D125*I125</f>
        <v>0</v>
      </c>
      <c r="L125"/>
      <c r="M125" s="314">
        <f t="shared" si="69"/>
        <v>0</v>
      </c>
      <c r="N125" s="310"/>
      <c r="O125" s="315"/>
      <c r="P125" s="315"/>
      <c r="Q125" s="315"/>
      <c r="R125" s="315"/>
      <c r="S125" s="55"/>
      <c r="T125" s="55"/>
      <c r="U125" s="55"/>
      <c r="V125" s="55"/>
      <c r="W125" s="55"/>
      <c r="X125" s="55"/>
      <c r="Y125" s="55"/>
      <c r="Z125" s="55"/>
      <c r="AA125" s="55"/>
      <c r="AB125" s="55"/>
      <c r="AC125" s="55"/>
      <c r="AD125" s="55"/>
      <c r="AE125" s="55"/>
      <c r="AF125" s="55"/>
      <c r="AG125" s="55"/>
      <c r="AH125" s="55"/>
      <c r="AI125" s="55"/>
      <c r="AJ125" s="55"/>
      <c r="AK125" s="55"/>
      <c r="AL125" s="55"/>
      <c r="AM125" s="55"/>
      <c r="AN125" s="55"/>
      <c r="AO125" s="55"/>
      <c r="AP125" s="55"/>
      <c r="AQ125" s="55"/>
      <c r="AR125" s="55"/>
      <c r="AS125" s="55"/>
      <c r="AT125" s="55"/>
      <c r="AU125" s="55"/>
      <c r="AV125" s="55"/>
      <c r="AW125" s="55"/>
      <c r="AX125" s="55"/>
      <c r="AY125" s="55"/>
      <c r="AZ125" s="55"/>
      <c r="BA125" s="55"/>
      <c r="BB125" s="55"/>
      <c r="BC125" s="55"/>
      <c r="BD125" s="55"/>
      <c r="BE125" s="55"/>
      <c r="BF125" s="55"/>
      <c r="BG125" s="55"/>
      <c r="BH125" s="55"/>
      <c r="BI125" s="55"/>
      <c r="BJ125" s="55"/>
      <c r="BK125" s="55"/>
      <c r="BL125" s="55"/>
      <c r="BM125" s="55"/>
      <c r="BN125" s="55"/>
      <c r="BO125" s="55"/>
      <c r="BP125" s="55"/>
      <c r="BQ125" s="55"/>
      <c r="BR125" s="55"/>
      <c r="BS125" s="55"/>
      <c r="BT125" s="55"/>
      <c r="BU125" s="55"/>
      <c r="BV125" s="55"/>
      <c r="BW125" s="55"/>
      <c r="BX125" s="55"/>
      <c r="BY125" s="55"/>
      <c r="BZ125" s="55"/>
      <c r="CA125" s="55"/>
      <c r="CB125" s="55"/>
      <c r="CC125" s="55"/>
      <c r="CD125" s="55"/>
      <c r="CE125" s="55"/>
      <c r="CF125" s="55"/>
      <c r="CG125" s="55"/>
      <c r="CH125" s="55"/>
      <c r="CI125" s="55"/>
      <c r="CJ125" s="55"/>
      <c r="CK125" s="55"/>
      <c r="CL125" s="55"/>
      <c r="CM125" s="55"/>
      <c r="CN125" s="55"/>
      <c r="CO125" s="55"/>
      <c r="CP125" s="55"/>
      <c r="CQ125" s="55"/>
      <c r="CR125" s="55"/>
      <c r="CS125" s="55"/>
      <c r="CT125" s="55"/>
      <c r="CU125" s="55"/>
      <c r="CV125" s="55"/>
      <c r="CW125" s="55"/>
      <c r="CX125" s="55"/>
      <c r="CY125" s="55"/>
      <c r="CZ125" s="55"/>
      <c r="DA125" s="55"/>
      <c r="DB125" s="55"/>
      <c r="DC125" s="55"/>
      <c r="DD125" s="55"/>
      <c r="DE125" s="55"/>
      <c r="DF125" s="55"/>
      <c r="DG125" s="55"/>
      <c r="DH125" s="55"/>
      <c r="DI125" s="55"/>
    </row>
    <row r="126" spans="1:113" x14ac:dyDescent="0.25">
      <c r="A126" s="152">
        <v>3</v>
      </c>
      <c r="B126" s="231" t="s">
        <v>799</v>
      </c>
      <c r="C126" s="122">
        <v>40000</v>
      </c>
      <c r="D126" s="201"/>
      <c r="E126" s="122">
        <v>0</v>
      </c>
      <c r="F126" s="121"/>
      <c r="G126" s="166">
        <f t="shared" si="74"/>
        <v>0</v>
      </c>
      <c r="H126" s="55"/>
      <c r="I126" s="56">
        <f t="shared" si="75"/>
        <v>0</v>
      </c>
      <c r="J126" s="56">
        <f t="shared" si="76"/>
        <v>0</v>
      </c>
      <c r="K126" s="57">
        <f t="shared" si="77"/>
        <v>0</v>
      </c>
      <c r="L126"/>
      <c r="M126" s="314">
        <f t="shared" si="69"/>
        <v>0</v>
      </c>
      <c r="N126" s="310"/>
      <c r="O126" s="315"/>
      <c r="P126" s="315"/>
      <c r="Q126" s="315"/>
      <c r="R126" s="315"/>
      <c r="S126" s="55"/>
      <c r="T126" s="55"/>
      <c r="U126" s="55"/>
      <c r="V126" s="55"/>
      <c r="W126" s="55"/>
      <c r="X126" s="55"/>
      <c r="Y126" s="55"/>
      <c r="Z126" s="55"/>
      <c r="AA126" s="55"/>
      <c r="AB126" s="55"/>
      <c r="AC126" s="55"/>
      <c r="AD126" s="55"/>
      <c r="AE126" s="55"/>
      <c r="AF126" s="55"/>
      <c r="AG126" s="55"/>
      <c r="AH126" s="55"/>
      <c r="AI126" s="55"/>
      <c r="AJ126" s="55"/>
      <c r="AK126" s="55"/>
      <c r="AL126" s="55"/>
      <c r="AM126" s="55"/>
      <c r="AN126" s="55"/>
      <c r="AO126" s="55"/>
      <c r="AP126" s="55"/>
      <c r="AQ126" s="55"/>
      <c r="AR126" s="55"/>
      <c r="AS126" s="55"/>
      <c r="AT126" s="55"/>
      <c r="AU126" s="55"/>
      <c r="AV126" s="55"/>
      <c r="AW126" s="55"/>
      <c r="AX126" s="55"/>
      <c r="AY126" s="55"/>
      <c r="AZ126" s="55"/>
      <c r="BA126" s="55"/>
      <c r="BB126" s="55"/>
      <c r="BC126" s="55"/>
      <c r="BD126" s="55"/>
      <c r="BE126" s="55"/>
      <c r="BF126" s="55"/>
      <c r="BG126" s="55"/>
      <c r="BH126" s="55"/>
      <c r="BI126" s="55"/>
      <c r="BJ126" s="55"/>
      <c r="BK126" s="55"/>
      <c r="BL126" s="55"/>
      <c r="BM126" s="55"/>
      <c r="BN126" s="55"/>
      <c r="BO126" s="55"/>
      <c r="BP126" s="55"/>
      <c r="BQ126" s="55"/>
      <c r="BR126" s="55"/>
      <c r="BS126" s="55"/>
      <c r="BT126" s="55"/>
      <c r="BU126" s="55"/>
      <c r="BV126" s="55"/>
      <c r="BW126" s="55"/>
      <c r="BX126" s="55"/>
      <c r="BY126" s="55"/>
      <c r="BZ126" s="55"/>
      <c r="CA126" s="55"/>
      <c r="CB126" s="55"/>
      <c r="CC126" s="55"/>
      <c r="CD126" s="55"/>
      <c r="CE126" s="55"/>
      <c r="CF126" s="55"/>
      <c r="CG126" s="55"/>
      <c r="CH126" s="55"/>
      <c r="CI126" s="55"/>
      <c r="CJ126" s="55"/>
      <c r="CK126" s="55"/>
      <c r="CL126" s="55"/>
      <c r="CM126" s="55"/>
      <c r="CN126" s="55"/>
      <c r="CO126" s="55"/>
      <c r="CP126" s="55"/>
      <c r="CQ126" s="55"/>
      <c r="CR126" s="55"/>
      <c r="CS126" s="55"/>
      <c r="CT126" s="55"/>
      <c r="CU126" s="55"/>
      <c r="CV126" s="55"/>
      <c r="CW126" s="55"/>
      <c r="CX126" s="55"/>
      <c r="CY126" s="55"/>
      <c r="CZ126" s="55"/>
      <c r="DA126" s="55"/>
      <c r="DB126" s="55"/>
      <c r="DC126" s="55"/>
      <c r="DD126" s="55"/>
      <c r="DE126" s="55"/>
      <c r="DF126" s="55"/>
      <c r="DG126" s="55"/>
      <c r="DH126" s="55"/>
      <c r="DI126" s="55"/>
    </row>
    <row r="127" spans="1:113" x14ac:dyDescent="0.25">
      <c r="A127" s="170">
        <v>4</v>
      </c>
      <c r="B127" s="231" t="s">
        <v>801</v>
      </c>
      <c r="C127" s="122">
        <v>80000</v>
      </c>
      <c r="D127" s="201">
        <v>0</v>
      </c>
      <c r="E127" s="122">
        <v>0</v>
      </c>
      <c r="F127" s="121"/>
      <c r="G127" s="194">
        <f t="shared" si="70"/>
        <v>0</v>
      </c>
      <c r="H127" s="108"/>
      <c r="I127" s="109">
        <f t="shared" si="71"/>
        <v>0</v>
      </c>
      <c r="J127" s="109">
        <f t="shared" si="72"/>
        <v>0</v>
      </c>
      <c r="K127" s="110">
        <f t="shared" si="73"/>
        <v>0</v>
      </c>
      <c r="L127"/>
      <c r="M127" s="314">
        <f t="shared" si="69"/>
        <v>0</v>
      </c>
      <c r="N127" s="310"/>
      <c r="O127" s="315"/>
      <c r="P127" s="315"/>
      <c r="Q127" s="315"/>
      <c r="R127" s="315"/>
      <c r="S127" s="55"/>
      <c r="T127" s="55"/>
      <c r="U127" s="55"/>
      <c r="V127" s="55"/>
      <c r="W127" s="55"/>
      <c r="X127" s="55"/>
      <c r="Y127" s="55"/>
      <c r="Z127" s="55"/>
      <c r="AA127" s="55"/>
      <c r="AB127" s="55"/>
      <c r="AC127" s="55"/>
      <c r="AD127" s="55"/>
      <c r="AE127" s="55"/>
      <c r="AF127" s="55"/>
      <c r="AG127" s="55"/>
      <c r="AH127" s="55"/>
      <c r="AI127" s="55"/>
      <c r="AJ127" s="55"/>
      <c r="AK127" s="55"/>
      <c r="AL127" s="55"/>
      <c r="AM127" s="55"/>
      <c r="AN127" s="55"/>
      <c r="AO127" s="55"/>
      <c r="AP127" s="55"/>
      <c r="AQ127" s="55"/>
      <c r="AR127" s="55"/>
      <c r="AS127" s="55"/>
      <c r="AT127" s="55"/>
      <c r="AU127" s="55"/>
      <c r="AV127" s="55"/>
      <c r="AW127" s="55"/>
      <c r="AX127" s="55"/>
      <c r="AY127" s="55"/>
      <c r="AZ127" s="55"/>
      <c r="BA127" s="55"/>
      <c r="BB127" s="55"/>
      <c r="BC127" s="55"/>
      <c r="BD127" s="55"/>
      <c r="BE127" s="55"/>
      <c r="BF127" s="55"/>
      <c r="BG127" s="55"/>
      <c r="BH127" s="55"/>
      <c r="BI127" s="55"/>
      <c r="BJ127" s="55"/>
      <c r="BK127" s="55"/>
      <c r="BL127" s="55"/>
      <c r="BM127" s="55"/>
      <c r="BN127" s="55"/>
      <c r="BO127" s="55"/>
      <c r="BP127" s="55"/>
      <c r="BQ127" s="55"/>
      <c r="BR127" s="55"/>
      <c r="BS127" s="55"/>
      <c r="BT127" s="55"/>
      <c r="BU127" s="55"/>
      <c r="BV127" s="55"/>
      <c r="BW127" s="55"/>
      <c r="BX127" s="55"/>
      <c r="BY127" s="55"/>
      <c r="BZ127" s="55"/>
      <c r="CA127" s="55"/>
      <c r="CB127" s="55"/>
      <c r="CC127" s="55"/>
      <c r="CD127" s="55"/>
      <c r="CE127" s="55"/>
      <c r="CF127" s="55"/>
      <c r="CG127" s="55"/>
      <c r="CH127" s="55"/>
      <c r="CI127" s="55"/>
      <c r="CJ127" s="55"/>
      <c r="CK127" s="55"/>
      <c r="CL127" s="55"/>
      <c r="CM127" s="55"/>
      <c r="CN127" s="55"/>
      <c r="CO127" s="55"/>
      <c r="CP127" s="55"/>
      <c r="CQ127" s="55"/>
      <c r="CR127" s="55"/>
      <c r="CS127" s="55"/>
      <c r="CT127" s="55"/>
      <c r="CU127" s="55"/>
      <c r="CV127" s="55"/>
      <c r="CW127" s="55"/>
      <c r="CX127" s="55"/>
      <c r="CY127" s="55"/>
      <c r="CZ127" s="55"/>
      <c r="DA127" s="55"/>
      <c r="DB127" s="55"/>
      <c r="DC127" s="55"/>
      <c r="DD127" s="55"/>
      <c r="DE127" s="55"/>
      <c r="DF127" s="55"/>
      <c r="DG127" s="55"/>
      <c r="DH127" s="55"/>
      <c r="DI127" s="55"/>
    </row>
    <row r="128" spans="1:113" x14ac:dyDescent="0.25">
      <c r="A128" s="152">
        <v>5</v>
      </c>
      <c r="B128" s="213" t="s">
        <v>805</v>
      </c>
      <c r="C128" s="43">
        <v>100000</v>
      </c>
      <c r="D128" s="175"/>
      <c r="E128" s="43"/>
      <c r="F128" s="60"/>
      <c r="G128" s="166"/>
      <c r="H128" s="55"/>
      <c r="I128" s="56"/>
      <c r="J128" s="56"/>
      <c r="K128" s="57"/>
      <c r="L128"/>
      <c r="M128" s="314">
        <f t="shared" si="69"/>
        <v>0</v>
      </c>
      <c r="N128" s="310"/>
      <c r="O128" s="315"/>
      <c r="P128" s="315"/>
      <c r="Q128" s="315"/>
      <c r="R128" s="315"/>
      <c r="S128" s="55"/>
      <c r="T128" s="55"/>
      <c r="U128" s="55"/>
      <c r="V128" s="55"/>
      <c r="W128" s="55"/>
      <c r="X128" s="55"/>
      <c r="Y128" s="55"/>
      <c r="Z128" s="55"/>
      <c r="AA128" s="55"/>
      <c r="AB128" s="55"/>
      <c r="AC128" s="55"/>
      <c r="AD128" s="55"/>
      <c r="AE128" s="55"/>
      <c r="AF128" s="55"/>
      <c r="AG128" s="55"/>
      <c r="AH128" s="55"/>
      <c r="AI128" s="55"/>
      <c r="AJ128" s="55"/>
      <c r="AK128" s="55"/>
      <c r="AL128" s="55"/>
      <c r="AM128" s="55"/>
      <c r="AN128" s="55"/>
      <c r="AO128" s="55"/>
      <c r="AP128" s="55"/>
      <c r="AQ128" s="55"/>
      <c r="AR128" s="55"/>
      <c r="AS128" s="55"/>
      <c r="AT128" s="55"/>
      <c r="AU128" s="55"/>
      <c r="AV128" s="55"/>
      <c r="AW128" s="55"/>
      <c r="AX128" s="55"/>
      <c r="AY128" s="55"/>
      <c r="AZ128" s="55"/>
      <c r="BA128" s="55"/>
      <c r="BB128" s="55"/>
      <c r="BC128" s="55"/>
      <c r="BD128" s="55"/>
      <c r="BE128" s="55"/>
      <c r="BF128" s="55"/>
      <c r="BG128" s="55"/>
      <c r="BH128" s="55"/>
      <c r="BI128" s="55"/>
      <c r="BJ128" s="55"/>
      <c r="BK128" s="55"/>
      <c r="BL128" s="55"/>
      <c r="BM128" s="55"/>
      <c r="BN128" s="55"/>
      <c r="BO128" s="55"/>
      <c r="BP128" s="55"/>
      <c r="BQ128" s="55"/>
      <c r="BR128" s="55"/>
      <c r="BS128" s="55"/>
      <c r="BT128" s="55"/>
      <c r="BU128" s="55"/>
      <c r="BV128" s="55"/>
      <c r="BW128" s="55"/>
      <c r="BX128" s="55"/>
      <c r="BY128" s="55"/>
      <c r="BZ128" s="55"/>
      <c r="CA128" s="55"/>
      <c r="CB128" s="55"/>
      <c r="CC128" s="55"/>
      <c r="CD128" s="55"/>
      <c r="CE128" s="55"/>
      <c r="CF128" s="55"/>
      <c r="CG128" s="55"/>
      <c r="CH128" s="55"/>
      <c r="CI128" s="55"/>
      <c r="CJ128" s="55"/>
      <c r="CK128" s="55"/>
      <c r="CL128" s="55"/>
      <c r="CM128" s="55"/>
      <c r="CN128" s="55"/>
      <c r="CO128" s="55"/>
      <c r="CP128" s="55"/>
      <c r="CQ128" s="55"/>
      <c r="CR128" s="55"/>
      <c r="CS128" s="55"/>
      <c r="CT128" s="55"/>
      <c r="CU128" s="55"/>
      <c r="CV128" s="55"/>
      <c r="CW128" s="55"/>
      <c r="CX128" s="55"/>
      <c r="CY128" s="55"/>
      <c r="CZ128" s="55"/>
      <c r="DA128" s="55"/>
      <c r="DB128" s="55"/>
      <c r="DC128" s="55"/>
      <c r="DD128" s="55"/>
      <c r="DE128" s="55"/>
      <c r="DF128" s="55"/>
      <c r="DG128" s="55"/>
      <c r="DH128" s="55"/>
      <c r="DI128" s="55"/>
    </row>
    <row r="129" spans="1:113" x14ac:dyDescent="0.25">
      <c r="A129" s="170">
        <v>6</v>
      </c>
      <c r="B129" s="213" t="s">
        <v>818</v>
      </c>
      <c r="C129" s="43">
        <v>20000</v>
      </c>
      <c r="D129" s="175">
        <v>1629</v>
      </c>
      <c r="E129" s="43">
        <v>0</v>
      </c>
      <c r="F129" s="59">
        <f>2000-2000</f>
        <v>0</v>
      </c>
      <c r="G129" s="249">
        <f t="shared" ref="G129:G136" si="78">+E129+F129</f>
        <v>0</v>
      </c>
      <c r="H129" s="250">
        <f>1000+100-1100+50-50</f>
        <v>0</v>
      </c>
      <c r="I129" s="109">
        <f t="shared" ref="I129:I131" si="79">+G129-H129</f>
        <v>0</v>
      </c>
      <c r="J129" s="109">
        <f t="shared" ref="J129:J131" si="80">I129*C129</f>
        <v>0</v>
      </c>
      <c r="K129" s="110">
        <f t="shared" ref="K129:K131" si="81">+D129*I129</f>
        <v>0</v>
      </c>
      <c r="L129"/>
      <c r="M129" s="314">
        <f t="shared" si="69"/>
        <v>0</v>
      </c>
      <c r="N129" s="310"/>
      <c r="O129" s="315"/>
      <c r="P129" s="315"/>
      <c r="Q129" s="315"/>
      <c r="R129" s="315"/>
      <c r="S129" s="55"/>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c r="AT129" s="55"/>
      <c r="AU129" s="55"/>
      <c r="AV129" s="55"/>
      <c r="AW129" s="55"/>
      <c r="AX129" s="55"/>
      <c r="AY129" s="55"/>
      <c r="AZ129" s="55"/>
      <c r="BA129" s="55"/>
      <c r="BB129" s="55"/>
      <c r="BC129" s="55"/>
      <c r="BD129" s="55"/>
      <c r="BE129" s="55"/>
      <c r="BF129" s="55"/>
      <c r="BG129" s="55"/>
      <c r="BH129" s="55"/>
      <c r="BI129" s="55"/>
      <c r="BJ129" s="55"/>
      <c r="BK129" s="55"/>
      <c r="BL129" s="55"/>
      <c r="BM129" s="55"/>
      <c r="BN129" s="55"/>
      <c r="BO129" s="55"/>
      <c r="BP129" s="55"/>
      <c r="BQ129" s="55"/>
      <c r="BR129" s="55"/>
      <c r="BS129" s="55"/>
      <c r="BT129" s="55"/>
      <c r="BU129" s="55"/>
      <c r="BV129" s="55"/>
      <c r="BW129" s="55"/>
      <c r="BX129" s="55"/>
      <c r="BY129" s="55"/>
      <c r="BZ129" s="55"/>
      <c r="CA129" s="55"/>
      <c r="CB129" s="55"/>
      <c r="CC129" s="55"/>
      <c r="CD129" s="55"/>
      <c r="CE129" s="55"/>
      <c r="CF129" s="55"/>
      <c r="CG129" s="55"/>
      <c r="CH129" s="55"/>
      <c r="CI129" s="55"/>
      <c r="CJ129" s="55"/>
      <c r="CK129" s="55"/>
      <c r="CL129" s="55"/>
      <c r="CM129" s="55"/>
      <c r="CN129" s="55"/>
      <c r="CO129" s="55"/>
      <c r="CP129" s="55"/>
      <c r="CQ129" s="55"/>
      <c r="CR129" s="55"/>
      <c r="CS129" s="55"/>
      <c r="CT129" s="55"/>
      <c r="CU129" s="55"/>
      <c r="CV129" s="55"/>
      <c r="CW129" s="55"/>
      <c r="CX129" s="55"/>
      <c r="CY129" s="55"/>
      <c r="CZ129" s="55"/>
      <c r="DA129" s="55"/>
      <c r="DB129" s="55"/>
      <c r="DC129" s="55"/>
      <c r="DD129" s="55"/>
      <c r="DE129" s="55"/>
      <c r="DF129" s="55"/>
      <c r="DG129" s="55"/>
      <c r="DH129" s="55"/>
      <c r="DI129" s="55"/>
    </row>
    <row r="130" spans="1:113" x14ac:dyDescent="0.25">
      <c r="A130" s="152">
        <v>7</v>
      </c>
      <c r="B130" s="213" t="s">
        <v>819</v>
      </c>
      <c r="C130" s="43">
        <v>64000</v>
      </c>
      <c r="D130" s="175">
        <v>27632</v>
      </c>
      <c r="E130" s="43">
        <v>0</v>
      </c>
      <c r="F130" s="59">
        <f>2000-2000</f>
        <v>0</v>
      </c>
      <c r="G130" s="249">
        <f t="shared" si="78"/>
        <v>0</v>
      </c>
      <c r="H130" s="169">
        <f>2000-2000</f>
        <v>0</v>
      </c>
      <c r="I130" s="109">
        <f t="shared" si="79"/>
        <v>0</v>
      </c>
      <c r="J130" s="109">
        <f t="shared" si="80"/>
        <v>0</v>
      </c>
      <c r="K130" s="110">
        <f t="shared" si="81"/>
        <v>0</v>
      </c>
      <c r="L130"/>
      <c r="M130" s="314">
        <f t="shared" si="69"/>
        <v>0</v>
      </c>
      <c r="N130" s="310"/>
      <c r="O130" s="315"/>
      <c r="P130" s="315"/>
      <c r="Q130" s="315"/>
      <c r="R130" s="315"/>
      <c r="S130" s="55"/>
      <c r="T130" s="55"/>
      <c r="U130" s="55"/>
      <c r="V130" s="55"/>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c r="BM130" s="55"/>
      <c r="BN130" s="55"/>
      <c r="BO130" s="55"/>
      <c r="BP130" s="55"/>
      <c r="BQ130" s="55"/>
      <c r="BR130" s="55"/>
      <c r="BS130" s="55"/>
      <c r="BT130" s="55"/>
      <c r="BU130" s="55"/>
      <c r="BV130" s="55"/>
      <c r="BW130" s="55"/>
      <c r="BX130" s="55"/>
      <c r="BY130" s="55"/>
      <c r="BZ130" s="55"/>
      <c r="CA130" s="55"/>
      <c r="CB130" s="55"/>
      <c r="CC130" s="55"/>
      <c r="CD130" s="55"/>
      <c r="CE130" s="55"/>
      <c r="CF130" s="55"/>
      <c r="CG130" s="55"/>
      <c r="CH130" s="55"/>
      <c r="CI130" s="55"/>
      <c r="CJ130" s="55"/>
      <c r="CK130" s="55"/>
      <c r="CL130" s="55"/>
      <c r="CM130" s="55"/>
      <c r="CN130" s="55"/>
      <c r="CO130" s="55"/>
      <c r="CP130" s="55"/>
      <c r="CQ130" s="55"/>
      <c r="CR130" s="55"/>
      <c r="CS130" s="55"/>
      <c r="CT130" s="55"/>
      <c r="CU130" s="55"/>
      <c r="CV130" s="55"/>
      <c r="CW130" s="55"/>
      <c r="CX130" s="55"/>
      <c r="CY130" s="55"/>
      <c r="CZ130" s="55"/>
      <c r="DA130" s="55"/>
      <c r="DB130" s="55"/>
      <c r="DC130" s="55"/>
      <c r="DD130" s="55"/>
      <c r="DE130" s="55"/>
      <c r="DF130" s="55"/>
      <c r="DG130" s="55"/>
      <c r="DH130" s="55"/>
      <c r="DI130" s="55"/>
    </row>
    <row r="131" spans="1:113" x14ac:dyDescent="0.25">
      <c r="A131" s="170">
        <v>8</v>
      </c>
      <c r="B131" s="213" t="s">
        <v>820</v>
      </c>
      <c r="C131" s="43">
        <v>35000</v>
      </c>
      <c r="D131" s="175">
        <v>1474</v>
      </c>
      <c r="E131" s="43">
        <v>0</v>
      </c>
      <c r="F131" s="59">
        <f>500-500</f>
        <v>0</v>
      </c>
      <c r="G131" s="249">
        <f t="shared" si="78"/>
        <v>0</v>
      </c>
      <c r="H131" s="169">
        <f>500-500</f>
        <v>0</v>
      </c>
      <c r="I131" s="109">
        <f t="shared" si="79"/>
        <v>0</v>
      </c>
      <c r="J131" s="109">
        <f t="shared" si="80"/>
        <v>0</v>
      </c>
      <c r="K131" s="110">
        <f t="shared" si="81"/>
        <v>0</v>
      </c>
      <c r="L131"/>
      <c r="M131" s="314">
        <f t="shared" si="69"/>
        <v>0</v>
      </c>
      <c r="N131" s="310"/>
      <c r="O131" s="315"/>
      <c r="P131" s="315"/>
      <c r="Q131" s="315"/>
      <c r="R131" s="315"/>
      <c r="S131" s="55"/>
      <c r="T131" s="55"/>
      <c r="U131" s="55"/>
      <c r="V131" s="55"/>
      <c r="W131" s="55"/>
      <c r="X131" s="55"/>
      <c r="Y131" s="55"/>
      <c r="Z131" s="55"/>
      <c r="AA131" s="55"/>
      <c r="AB131" s="55"/>
      <c r="AC131" s="55"/>
      <c r="AD131" s="55"/>
      <c r="AE131" s="55"/>
      <c r="AF131" s="55"/>
      <c r="AG131" s="55"/>
      <c r="AH131" s="55"/>
      <c r="AI131" s="55"/>
      <c r="AJ131" s="55"/>
      <c r="AK131" s="55"/>
      <c r="AL131" s="55"/>
      <c r="AM131" s="55"/>
      <c r="AN131" s="55"/>
      <c r="AO131" s="55"/>
      <c r="AP131" s="55"/>
      <c r="AQ131" s="55"/>
      <c r="AR131" s="55"/>
      <c r="AS131" s="55"/>
      <c r="AT131" s="55"/>
      <c r="AU131" s="55"/>
      <c r="AV131" s="55"/>
      <c r="AW131" s="55"/>
      <c r="AX131" s="55"/>
      <c r="AY131" s="55"/>
      <c r="AZ131" s="55"/>
      <c r="BA131" s="55"/>
      <c r="BB131" s="55"/>
      <c r="BC131" s="55"/>
      <c r="BD131" s="55"/>
      <c r="BE131" s="55"/>
      <c r="BF131" s="55"/>
      <c r="BG131" s="55"/>
      <c r="BH131" s="55"/>
      <c r="BI131" s="55"/>
      <c r="BJ131" s="55"/>
      <c r="BK131" s="55"/>
      <c r="BL131" s="55"/>
      <c r="BM131" s="55"/>
      <c r="BN131" s="55"/>
      <c r="BO131" s="55"/>
      <c r="BP131" s="55"/>
      <c r="BQ131" s="55"/>
      <c r="BR131" s="55"/>
      <c r="BS131" s="55"/>
      <c r="BT131" s="55"/>
      <c r="BU131" s="55"/>
      <c r="BV131" s="55"/>
      <c r="BW131" s="55"/>
      <c r="BX131" s="55"/>
      <c r="BY131" s="55"/>
      <c r="BZ131" s="55"/>
      <c r="CA131" s="55"/>
      <c r="CB131" s="55"/>
      <c r="CC131" s="55"/>
      <c r="CD131" s="55"/>
      <c r="CE131" s="55"/>
      <c r="CF131" s="55"/>
      <c r="CG131" s="55"/>
      <c r="CH131" s="55"/>
      <c r="CI131" s="55"/>
      <c r="CJ131" s="55"/>
      <c r="CK131" s="55"/>
      <c r="CL131" s="55"/>
      <c r="CM131" s="55"/>
      <c r="CN131" s="55"/>
      <c r="CO131" s="55"/>
      <c r="CP131" s="55"/>
      <c r="CQ131" s="55"/>
      <c r="CR131" s="55"/>
      <c r="CS131" s="55"/>
      <c r="CT131" s="55"/>
      <c r="CU131" s="55"/>
      <c r="CV131" s="55"/>
      <c r="CW131" s="55"/>
      <c r="CX131" s="55"/>
      <c r="CY131" s="55"/>
      <c r="CZ131" s="55"/>
      <c r="DA131" s="55"/>
      <c r="DB131" s="55"/>
      <c r="DC131" s="55"/>
      <c r="DD131" s="55"/>
      <c r="DE131" s="55"/>
      <c r="DF131" s="55"/>
      <c r="DG131" s="55"/>
      <c r="DH131" s="55"/>
      <c r="DI131" s="55"/>
    </row>
    <row r="132" spans="1:113" x14ac:dyDescent="0.25">
      <c r="A132" s="170">
        <v>9</v>
      </c>
      <c r="B132" s="231" t="s">
        <v>823</v>
      </c>
      <c r="C132" s="122">
        <v>64000</v>
      </c>
      <c r="D132" s="175">
        <v>23782</v>
      </c>
      <c r="E132" s="122">
        <v>750</v>
      </c>
      <c r="F132" s="251">
        <f>2000-2000+3000-3000</f>
        <v>0</v>
      </c>
      <c r="G132" s="249">
        <f t="shared" si="78"/>
        <v>750</v>
      </c>
      <c r="H132" s="169">
        <f>199+2150+100-2449+50</f>
        <v>50</v>
      </c>
      <c r="I132" s="109">
        <f t="shared" ref="I132" si="82">+G132-H132</f>
        <v>700</v>
      </c>
      <c r="J132" s="109">
        <f t="shared" ref="J132" si="83">I132*C132</f>
        <v>44800000</v>
      </c>
      <c r="K132" s="110">
        <f t="shared" ref="K132" si="84">+D132*I132</f>
        <v>16647400</v>
      </c>
      <c r="L132"/>
      <c r="M132" s="314">
        <f t="shared" si="69"/>
        <v>0</v>
      </c>
      <c r="N132" s="310"/>
      <c r="O132" s="315"/>
      <c r="P132" s="315"/>
      <c r="Q132" s="315"/>
      <c r="R132" s="315"/>
      <c r="S132" s="55"/>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c r="AP132" s="55"/>
      <c r="AQ132" s="55"/>
      <c r="AR132" s="55"/>
      <c r="AS132" s="55"/>
      <c r="AT132" s="55"/>
      <c r="AU132" s="55"/>
      <c r="AV132" s="55"/>
      <c r="AW132" s="55"/>
      <c r="AX132" s="55"/>
      <c r="AY132" s="55"/>
      <c r="AZ132" s="55"/>
      <c r="BA132" s="55"/>
      <c r="BB132" s="55"/>
      <c r="BC132" s="55"/>
      <c r="BD132" s="55"/>
      <c r="BE132" s="55"/>
      <c r="BF132" s="55"/>
      <c r="BG132" s="55"/>
      <c r="BH132" s="55"/>
      <c r="BI132" s="55"/>
      <c r="BJ132" s="55"/>
      <c r="BK132" s="55"/>
      <c r="BL132" s="55"/>
      <c r="BM132" s="55"/>
      <c r="BN132" s="55"/>
      <c r="BO132" s="55"/>
      <c r="BP132" s="55"/>
      <c r="BQ132" s="55"/>
      <c r="BR132" s="55"/>
      <c r="BS132" s="55"/>
      <c r="BT132" s="55"/>
      <c r="BU132" s="55"/>
      <c r="BV132" s="55"/>
      <c r="BW132" s="55"/>
      <c r="BX132" s="55"/>
      <c r="BY132" s="55"/>
      <c r="BZ132" s="55"/>
      <c r="CA132" s="55"/>
      <c r="CB132" s="55"/>
      <c r="CC132" s="55"/>
      <c r="CD132" s="55"/>
      <c r="CE132" s="55"/>
      <c r="CF132" s="55"/>
      <c r="CG132" s="55"/>
      <c r="CH132" s="55"/>
      <c r="CI132" s="55"/>
      <c r="CJ132" s="55"/>
      <c r="CK132" s="55"/>
      <c r="CL132" s="55"/>
      <c r="CM132" s="55"/>
      <c r="CN132" s="55"/>
      <c r="CO132" s="55"/>
      <c r="CP132" s="55"/>
      <c r="CQ132" s="55"/>
      <c r="CR132" s="55"/>
      <c r="CS132" s="55"/>
      <c r="CT132" s="55"/>
      <c r="CU132" s="55"/>
      <c r="CV132" s="55"/>
      <c r="CW132" s="55"/>
      <c r="CX132" s="55"/>
      <c r="CY132" s="55"/>
      <c r="CZ132" s="55"/>
      <c r="DA132" s="55"/>
      <c r="DB132" s="55"/>
      <c r="DC132" s="55"/>
      <c r="DD132" s="55"/>
      <c r="DE132" s="55"/>
      <c r="DF132" s="55"/>
      <c r="DG132" s="55"/>
      <c r="DH132" s="55"/>
      <c r="DI132" s="55"/>
    </row>
    <row r="133" spans="1:113" x14ac:dyDescent="0.25">
      <c r="A133" s="152">
        <v>10</v>
      </c>
      <c r="B133" s="213" t="s">
        <v>825</v>
      </c>
      <c r="C133" s="43">
        <v>100000</v>
      </c>
      <c r="D133" s="266">
        <v>40400</v>
      </c>
      <c r="E133" s="43">
        <v>0</v>
      </c>
      <c r="F133" s="244">
        <f>450-450</f>
        <v>0</v>
      </c>
      <c r="G133" s="249">
        <f t="shared" si="78"/>
        <v>0</v>
      </c>
      <c r="H133" s="139">
        <f>200+250-450</f>
        <v>0</v>
      </c>
      <c r="I133" s="109">
        <f t="shared" ref="I133:I136" si="85">+G133-H133</f>
        <v>0</v>
      </c>
      <c r="J133" s="109">
        <f t="shared" ref="J133:J136" si="86">I133*C133</f>
        <v>0</v>
      </c>
      <c r="K133" s="110">
        <f t="shared" ref="K133:K136" si="87">+D133*I133</f>
        <v>0</v>
      </c>
      <c r="L133"/>
      <c r="M133" s="314">
        <f t="shared" si="69"/>
        <v>0</v>
      </c>
      <c r="N133" s="310"/>
      <c r="O133" s="315"/>
      <c r="P133" s="315"/>
      <c r="Q133" s="315"/>
      <c r="R133" s="315"/>
      <c r="S133" s="55"/>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c r="AT133" s="55"/>
      <c r="AU133" s="55"/>
      <c r="AV133" s="55"/>
      <c r="AW133" s="55"/>
      <c r="AX133" s="55"/>
      <c r="AY133" s="55"/>
      <c r="AZ133" s="55"/>
      <c r="BA133" s="55"/>
      <c r="BB133" s="55"/>
      <c r="BC133" s="55"/>
      <c r="BD133" s="55"/>
      <c r="BE133" s="55"/>
      <c r="BF133" s="55"/>
      <c r="BG133" s="55"/>
      <c r="BH133" s="55"/>
      <c r="BI133" s="55"/>
      <c r="BJ133" s="55"/>
      <c r="BK133" s="55"/>
      <c r="BL133" s="55"/>
      <c r="BM133" s="55"/>
      <c r="BN133" s="55"/>
      <c r="BO133" s="55"/>
      <c r="BP133" s="55"/>
      <c r="BQ133" s="55"/>
      <c r="BR133" s="55"/>
      <c r="BS133" s="55"/>
      <c r="BT133" s="55"/>
      <c r="BU133" s="55"/>
      <c r="BV133" s="55"/>
      <c r="BW133" s="55"/>
      <c r="BX133" s="55"/>
      <c r="BY133" s="55"/>
      <c r="BZ133" s="55"/>
      <c r="CA133" s="55"/>
      <c r="CB133" s="55"/>
      <c r="CC133" s="55"/>
      <c r="CD133" s="55"/>
      <c r="CE133" s="55"/>
      <c r="CF133" s="55"/>
      <c r="CG133" s="55"/>
      <c r="CH133" s="55"/>
      <c r="CI133" s="55"/>
      <c r="CJ133" s="55"/>
      <c r="CK133" s="55"/>
      <c r="CL133" s="55"/>
      <c r="CM133" s="55"/>
      <c r="CN133" s="55"/>
      <c r="CO133" s="55"/>
      <c r="CP133" s="55"/>
      <c r="CQ133" s="55"/>
      <c r="CR133" s="55"/>
      <c r="CS133" s="55"/>
      <c r="CT133" s="55"/>
      <c r="CU133" s="55"/>
      <c r="CV133" s="55"/>
      <c r="CW133" s="55"/>
      <c r="CX133" s="55"/>
      <c r="CY133" s="55"/>
      <c r="CZ133" s="55"/>
      <c r="DA133" s="55"/>
      <c r="DB133" s="55"/>
      <c r="DC133" s="55"/>
      <c r="DD133" s="55"/>
      <c r="DE133" s="55"/>
      <c r="DF133" s="55"/>
      <c r="DG133" s="55"/>
      <c r="DH133" s="55"/>
      <c r="DI133" s="55"/>
    </row>
    <row r="134" spans="1:113" x14ac:dyDescent="0.25">
      <c r="A134" s="152">
        <v>11</v>
      </c>
      <c r="B134" s="213" t="s">
        <v>830</v>
      </c>
      <c r="C134" s="43">
        <v>70000</v>
      </c>
      <c r="D134" s="266">
        <v>24007.5</v>
      </c>
      <c r="E134" s="43">
        <v>0</v>
      </c>
      <c r="F134" s="244">
        <f>100-100</f>
        <v>0</v>
      </c>
      <c r="G134" s="249">
        <f t="shared" si="78"/>
        <v>0</v>
      </c>
      <c r="H134" s="139">
        <f>100-100</f>
        <v>0</v>
      </c>
      <c r="I134" s="109">
        <f t="shared" si="85"/>
        <v>0</v>
      </c>
      <c r="J134" s="109">
        <f t="shared" si="86"/>
        <v>0</v>
      </c>
      <c r="K134" s="110">
        <f t="shared" si="87"/>
        <v>0</v>
      </c>
      <c r="L134"/>
      <c r="M134" s="314">
        <f t="shared" si="69"/>
        <v>0</v>
      </c>
      <c r="N134" s="310"/>
      <c r="O134" s="315"/>
      <c r="P134" s="315"/>
      <c r="Q134" s="315"/>
      <c r="R134" s="315"/>
      <c r="S134" s="55"/>
      <c r="T134" s="55"/>
      <c r="U134" s="55"/>
      <c r="V134" s="55"/>
      <c r="W134" s="55"/>
      <c r="X134" s="55"/>
      <c r="Y134" s="55"/>
      <c r="Z134" s="55"/>
      <c r="AA134" s="55"/>
      <c r="AB134" s="55"/>
      <c r="AC134" s="55"/>
      <c r="AD134" s="55"/>
      <c r="AE134" s="55"/>
      <c r="AF134" s="55"/>
      <c r="AG134" s="55"/>
      <c r="AH134" s="55"/>
      <c r="AI134" s="55"/>
      <c r="AJ134" s="55"/>
      <c r="AK134" s="55"/>
      <c r="AL134" s="55"/>
      <c r="AM134" s="55"/>
      <c r="AN134" s="55"/>
      <c r="AO134" s="55"/>
      <c r="AP134" s="55"/>
      <c r="AQ134" s="55"/>
      <c r="AR134" s="55"/>
      <c r="AS134" s="55"/>
      <c r="AT134" s="55"/>
      <c r="AU134" s="55"/>
      <c r="AV134" s="55"/>
      <c r="AW134" s="55"/>
      <c r="AX134" s="55"/>
      <c r="AY134" s="55"/>
      <c r="AZ134" s="55"/>
      <c r="BA134" s="55"/>
      <c r="BB134" s="55"/>
      <c r="BC134" s="55"/>
      <c r="BD134" s="55"/>
      <c r="BE134" s="55"/>
      <c r="BF134" s="55"/>
      <c r="BG134" s="55"/>
      <c r="BH134" s="55"/>
      <c r="BI134" s="55"/>
      <c r="BJ134" s="55"/>
      <c r="BK134" s="55"/>
      <c r="BL134" s="55"/>
      <c r="BM134" s="55"/>
      <c r="BN134" s="55"/>
      <c r="BO134" s="55"/>
      <c r="BP134" s="55"/>
      <c r="BQ134" s="55"/>
      <c r="BR134" s="55"/>
      <c r="BS134" s="55"/>
      <c r="BT134" s="55"/>
      <c r="BU134" s="55"/>
      <c r="BV134" s="55"/>
      <c r="BW134" s="55"/>
      <c r="BX134" s="55"/>
      <c r="BY134" s="55"/>
      <c r="BZ134" s="55"/>
      <c r="CA134" s="55"/>
      <c r="CB134" s="55"/>
      <c r="CC134" s="55"/>
      <c r="CD134" s="55"/>
      <c r="CE134" s="55"/>
      <c r="CF134" s="55"/>
      <c r="CG134" s="55"/>
      <c r="CH134" s="55"/>
      <c r="CI134" s="55"/>
      <c r="CJ134" s="55"/>
      <c r="CK134" s="55"/>
      <c r="CL134" s="55"/>
      <c r="CM134" s="55"/>
      <c r="CN134" s="55"/>
      <c r="CO134" s="55"/>
      <c r="CP134" s="55"/>
      <c r="CQ134" s="55"/>
      <c r="CR134" s="55"/>
      <c r="CS134" s="55"/>
      <c r="CT134" s="55"/>
      <c r="CU134" s="55"/>
      <c r="CV134" s="55"/>
      <c r="CW134" s="55"/>
      <c r="CX134" s="55"/>
      <c r="CY134" s="55"/>
      <c r="CZ134" s="55"/>
      <c r="DA134" s="55"/>
      <c r="DB134" s="55"/>
      <c r="DC134" s="55"/>
      <c r="DD134" s="55"/>
      <c r="DE134" s="55"/>
      <c r="DF134" s="55"/>
      <c r="DG134" s="55"/>
      <c r="DH134" s="55"/>
      <c r="DI134" s="55"/>
    </row>
    <row r="135" spans="1:113" x14ac:dyDescent="0.25">
      <c r="A135" s="152">
        <v>12</v>
      </c>
      <c r="B135" s="213" t="s">
        <v>842</v>
      </c>
      <c r="C135" s="43">
        <v>100000</v>
      </c>
      <c r="D135" s="175"/>
      <c r="E135" s="43">
        <v>0</v>
      </c>
      <c r="F135" s="213">
        <f>861-861</f>
        <v>0</v>
      </c>
      <c r="G135" s="194">
        <f t="shared" si="78"/>
        <v>0</v>
      </c>
      <c r="H135" s="55">
        <f>861-861</f>
        <v>0</v>
      </c>
      <c r="I135" s="109">
        <f t="shared" si="85"/>
        <v>0</v>
      </c>
      <c r="J135" s="109">
        <f t="shared" si="86"/>
        <v>0</v>
      </c>
      <c r="K135" s="110">
        <f t="shared" si="87"/>
        <v>0</v>
      </c>
      <c r="L135"/>
      <c r="M135" s="314">
        <f t="shared" si="69"/>
        <v>0</v>
      </c>
      <c r="N135" s="310"/>
      <c r="O135" s="315"/>
      <c r="P135" s="315"/>
      <c r="Q135" s="315"/>
      <c r="R135" s="315"/>
      <c r="S135" s="55"/>
      <c r="T135" s="55"/>
      <c r="U135" s="55"/>
      <c r="V135" s="55"/>
      <c r="W135" s="55"/>
      <c r="X135" s="55"/>
      <c r="Y135" s="55"/>
      <c r="Z135" s="55"/>
      <c r="AA135" s="55"/>
      <c r="AB135" s="55"/>
      <c r="AC135" s="55"/>
      <c r="AD135" s="55"/>
      <c r="AE135" s="55"/>
      <c r="AF135" s="55"/>
      <c r="AG135" s="55"/>
      <c r="AH135" s="55"/>
      <c r="AI135" s="55"/>
      <c r="AJ135" s="55"/>
      <c r="AK135" s="55"/>
      <c r="AL135" s="55"/>
      <c r="AM135" s="55"/>
      <c r="AN135" s="55"/>
      <c r="AO135" s="55"/>
      <c r="AP135" s="55"/>
      <c r="AQ135" s="55"/>
      <c r="AR135" s="55"/>
      <c r="AS135" s="55"/>
      <c r="AT135" s="55"/>
      <c r="AU135" s="55"/>
      <c r="AV135" s="55"/>
      <c r="AW135" s="55"/>
      <c r="AX135" s="55"/>
      <c r="AY135" s="55"/>
      <c r="AZ135" s="55"/>
      <c r="BA135" s="55"/>
      <c r="BB135" s="55"/>
      <c r="BC135" s="55"/>
      <c r="BD135" s="55"/>
      <c r="BE135" s="55"/>
      <c r="BF135" s="55"/>
      <c r="BG135" s="55"/>
      <c r="BH135" s="55"/>
      <c r="BI135" s="55"/>
      <c r="BJ135" s="55"/>
      <c r="BK135" s="55"/>
      <c r="BL135" s="55"/>
      <c r="BM135" s="55"/>
      <c r="BN135" s="55"/>
      <c r="BO135" s="55"/>
      <c r="BP135" s="55"/>
      <c r="BQ135" s="55"/>
      <c r="BR135" s="55"/>
      <c r="BS135" s="55"/>
      <c r="BT135" s="55"/>
      <c r="BU135" s="55"/>
      <c r="BV135" s="55"/>
      <c r="BW135" s="55"/>
      <c r="BX135" s="55"/>
      <c r="BY135" s="55"/>
      <c r="BZ135" s="55"/>
      <c r="CA135" s="55"/>
      <c r="CB135" s="55"/>
      <c r="CC135" s="55"/>
      <c r="CD135" s="55"/>
      <c r="CE135" s="55"/>
      <c r="CF135" s="55"/>
      <c r="CG135" s="55"/>
      <c r="CH135" s="55"/>
      <c r="CI135" s="55"/>
      <c r="CJ135" s="55"/>
      <c r="CK135" s="55"/>
      <c r="CL135" s="55"/>
      <c r="CM135" s="55"/>
      <c r="CN135" s="55"/>
      <c r="CO135" s="55"/>
      <c r="CP135" s="55"/>
      <c r="CQ135" s="55"/>
      <c r="CR135" s="55"/>
      <c r="CS135" s="55"/>
      <c r="CT135" s="55"/>
      <c r="CU135" s="55"/>
      <c r="CV135" s="55"/>
      <c r="CW135" s="55"/>
      <c r="CX135" s="55"/>
      <c r="CY135" s="55"/>
      <c r="CZ135" s="55"/>
      <c r="DA135" s="55"/>
      <c r="DB135" s="55"/>
      <c r="DC135" s="55"/>
      <c r="DD135" s="55"/>
      <c r="DE135" s="55"/>
      <c r="DF135" s="55"/>
      <c r="DG135" s="55"/>
      <c r="DH135" s="55"/>
      <c r="DI135" s="55"/>
    </row>
    <row r="136" spans="1:113" x14ac:dyDescent="0.25">
      <c r="A136" s="152">
        <v>13</v>
      </c>
      <c r="B136" s="213" t="s">
        <v>864</v>
      </c>
      <c r="C136" s="43">
        <v>50000</v>
      </c>
      <c r="D136" s="175">
        <v>13007.5</v>
      </c>
      <c r="E136" s="43">
        <v>0</v>
      </c>
      <c r="F136" s="213">
        <f>1500-1500</f>
        <v>0</v>
      </c>
      <c r="G136" s="194">
        <f t="shared" si="78"/>
        <v>0</v>
      </c>
      <c r="H136" s="55">
        <f>1500-1500</f>
        <v>0</v>
      </c>
      <c r="I136" s="109">
        <f t="shared" si="85"/>
        <v>0</v>
      </c>
      <c r="J136" s="109">
        <f t="shared" si="86"/>
        <v>0</v>
      </c>
      <c r="K136" s="110">
        <f t="shared" si="87"/>
        <v>0</v>
      </c>
      <c r="L136"/>
      <c r="M136" s="314">
        <f t="shared" si="69"/>
        <v>0</v>
      </c>
      <c r="N136" s="310"/>
      <c r="O136" s="315"/>
      <c r="P136" s="315"/>
      <c r="Q136" s="315"/>
      <c r="R136" s="315"/>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c r="BM136" s="55"/>
      <c r="BN136" s="55"/>
      <c r="BO136" s="55"/>
      <c r="BP136" s="55"/>
      <c r="BQ136" s="55"/>
      <c r="BR136" s="55"/>
      <c r="BS136" s="55"/>
      <c r="BT136" s="55"/>
      <c r="BU136" s="55"/>
      <c r="BV136" s="55"/>
      <c r="BW136" s="55"/>
      <c r="BX136" s="55"/>
      <c r="BY136" s="55"/>
      <c r="BZ136" s="55"/>
      <c r="CA136" s="55"/>
      <c r="CB136" s="55"/>
      <c r="CC136" s="55"/>
      <c r="CD136" s="55"/>
      <c r="CE136" s="55"/>
      <c r="CF136" s="55"/>
      <c r="CG136" s="55"/>
      <c r="CH136" s="55"/>
      <c r="CI136" s="55"/>
      <c r="CJ136" s="55"/>
      <c r="CK136" s="55"/>
      <c r="CL136" s="55"/>
      <c r="CM136" s="55"/>
      <c r="CN136" s="55"/>
      <c r="CO136" s="55"/>
      <c r="CP136" s="55"/>
      <c r="CQ136" s="55"/>
      <c r="CR136" s="55"/>
      <c r="CS136" s="55"/>
      <c r="CT136" s="55"/>
      <c r="CU136" s="55"/>
      <c r="CV136" s="55"/>
      <c r="CW136" s="55"/>
      <c r="CX136" s="55"/>
      <c r="CY136" s="55"/>
      <c r="CZ136" s="55"/>
      <c r="DA136" s="55"/>
      <c r="DB136" s="55"/>
      <c r="DC136" s="55"/>
      <c r="DD136" s="55"/>
      <c r="DE136" s="55"/>
      <c r="DF136" s="55"/>
      <c r="DG136" s="55"/>
      <c r="DH136" s="55"/>
      <c r="DI136" s="55"/>
    </row>
    <row r="137" spans="1:113" ht="15.75" thickBot="1" x14ac:dyDescent="0.3">
      <c r="A137" s="153"/>
      <c r="B137" s="214"/>
      <c r="C137" s="154"/>
      <c r="D137" s="192"/>
      <c r="E137" s="154"/>
      <c r="F137" s="214"/>
      <c r="G137" s="197"/>
      <c r="H137" s="58"/>
      <c r="I137" s="64"/>
      <c r="J137" s="64"/>
      <c r="K137" s="65"/>
      <c r="L137"/>
      <c r="M137" s="314">
        <f t="shared" si="69"/>
        <v>0</v>
      </c>
      <c r="N137" s="310"/>
      <c r="O137" s="315"/>
      <c r="P137" s="315"/>
      <c r="Q137" s="315"/>
      <c r="R137" s="315"/>
      <c r="S137" s="55"/>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c r="AT137" s="55"/>
      <c r="AU137" s="55"/>
      <c r="AV137" s="55"/>
      <c r="AW137" s="55"/>
      <c r="AX137" s="55"/>
      <c r="AY137" s="55"/>
      <c r="AZ137" s="55"/>
      <c r="BA137" s="55"/>
      <c r="BB137" s="55"/>
      <c r="BC137" s="55"/>
      <c r="BD137" s="55"/>
      <c r="BE137" s="55"/>
      <c r="BF137" s="55"/>
      <c r="BG137" s="55"/>
      <c r="BH137" s="55"/>
      <c r="BI137" s="55"/>
      <c r="BJ137" s="55"/>
      <c r="BK137" s="55"/>
      <c r="BL137" s="55"/>
      <c r="BM137" s="55"/>
      <c r="BN137" s="55"/>
      <c r="BO137" s="55"/>
      <c r="BP137" s="55"/>
      <c r="BQ137" s="55"/>
      <c r="BR137" s="55"/>
      <c r="BS137" s="55"/>
      <c r="BT137" s="55"/>
      <c r="BU137" s="55"/>
      <c r="BV137" s="55"/>
      <c r="BW137" s="55"/>
      <c r="BX137" s="55"/>
      <c r="BY137" s="55"/>
      <c r="BZ137" s="55"/>
      <c r="CA137" s="55"/>
      <c r="CB137" s="55"/>
      <c r="CC137" s="55"/>
      <c r="CD137" s="55"/>
      <c r="CE137" s="55"/>
      <c r="CF137" s="55"/>
      <c r="CG137" s="55"/>
      <c r="CH137" s="55"/>
      <c r="CI137" s="55"/>
      <c r="CJ137" s="55"/>
      <c r="CK137" s="55"/>
      <c r="CL137" s="55"/>
      <c r="CM137" s="55"/>
      <c r="CN137" s="55"/>
      <c r="CO137" s="55"/>
      <c r="CP137" s="55"/>
      <c r="CQ137" s="55"/>
      <c r="CR137" s="55"/>
      <c r="CS137" s="55"/>
      <c r="CT137" s="55"/>
      <c r="CU137" s="55"/>
      <c r="CV137" s="55"/>
      <c r="CW137" s="55"/>
      <c r="CX137" s="55"/>
      <c r="CY137" s="55"/>
      <c r="CZ137" s="55"/>
      <c r="DA137" s="55"/>
      <c r="DB137" s="55"/>
      <c r="DC137" s="55"/>
      <c r="DD137" s="55"/>
      <c r="DE137" s="55"/>
      <c r="DF137" s="55"/>
      <c r="DG137" s="55"/>
      <c r="DH137" s="55"/>
      <c r="DI137" s="55"/>
    </row>
    <row r="138" spans="1:113" ht="15.75" thickBot="1" x14ac:dyDescent="0.3">
      <c r="A138" s="128"/>
      <c r="B138" s="119" t="s">
        <v>730</v>
      </c>
      <c r="C138" s="36"/>
      <c r="D138" s="36"/>
      <c r="E138" s="29">
        <f t="shared" ref="E138:K138" si="88">SUM(E124:E137)</f>
        <v>750</v>
      </c>
      <c r="F138" s="29">
        <f t="shared" si="88"/>
        <v>0</v>
      </c>
      <c r="G138" s="29">
        <f t="shared" si="88"/>
        <v>750</v>
      </c>
      <c r="H138" s="29">
        <f t="shared" si="88"/>
        <v>50</v>
      </c>
      <c r="I138" s="29">
        <f t="shared" si="88"/>
        <v>700</v>
      </c>
      <c r="J138" s="29">
        <f t="shared" si="88"/>
        <v>44800000</v>
      </c>
      <c r="K138" s="47">
        <f t="shared" si="88"/>
        <v>16647400</v>
      </c>
      <c r="L138"/>
      <c r="M138" s="322">
        <f t="shared" si="69"/>
        <v>0</v>
      </c>
      <c r="N138" s="325"/>
      <c r="O138" s="325"/>
      <c r="P138" s="325"/>
      <c r="Q138" s="325"/>
      <c r="R138" s="325"/>
      <c r="S138" s="324"/>
      <c r="T138" s="324"/>
      <c r="U138" s="324"/>
      <c r="V138" s="324"/>
      <c r="W138" s="324"/>
      <c r="X138" s="324"/>
      <c r="Y138" s="324"/>
      <c r="Z138" s="324"/>
      <c r="AA138" s="324"/>
      <c r="AB138" s="324"/>
      <c r="AC138" s="324"/>
      <c r="AD138" s="324"/>
      <c r="AE138" s="324"/>
      <c r="AF138" s="324"/>
      <c r="AG138" s="324"/>
      <c r="AH138" s="324"/>
      <c r="AI138" s="324"/>
      <c r="AJ138" s="324"/>
      <c r="AK138" s="324"/>
      <c r="AL138" s="324"/>
      <c r="AM138" s="324"/>
      <c r="AN138" s="324"/>
      <c r="AO138" s="324"/>
      <c r="AP138" s="324"/>
      <c r="AQ138" s="324"/>
      <c r="AR138" s="324"/>
      <c r="AS138" s="324"/>
      <c r="AT138" s="324"/>
      <c r="AU138" s="324"/>
      <c r="AV138" s="324"/>
      <c r="AW138" s="324"/>
      <c r="AX138" s="324"/>
      <c r="AY138" s="324"/>
      <c r="AZ138" s="324"/>
      <c r="BA138" s="324"/>
      <c r="BB138" s="324"/>
      <c r="BC138" s="324"/>
      <c r="BD138" s="324"/>
      <c r="BE138" s="324"/>
      <c r="BF138" s="324"/>
      <c r="BG138" s="324"/>
      <c r="BH138" s="324"/>
      <c r="BI138" s="324"/>
      <c r="BJ138" s="324"/>
      <c r="BK138" s="324"/>
      <c r="BL138" s="324"/>
      <c r="BM138" s="324"/>
      <c r="BN138" s="324"/>
      <c r="BO138" s="324"/>
      <c r="BP138" s="324"/>
      <c r="BQ138" s="324"/>
      <c r="BR138" s="324"/>
      <c r="BS138" s="324"/>
      <c r="BT138" s="324"/>
      <c r="BU138" s="324"/>
      <c r="BV138" s="324"/>
      <c r="BW138" s="324"/>
      <c r="BX138" s="324"/>
      <c r="BY138" s="324"/>
      <c r="BZ138" s="324"/>
      <c r="CA138" s="324"/>
      <c r="CB138" s="324"/>
      <c r="CC138" s="324"/>
      <c r="CD138" s="324"/>
      <c r="CE138" s="324"/>
      <c r="CF138" s="324"/>
      <c r="CG138" s="324"/>
      <c r="CH138" s="324"/>
      <c r="CI138" s="324"/>
      <c r="CJ138" s="324"/>
      <c r="CK138" s="324"/>
      <c r="CL138" s="324"/>
      <c r="CM138" s="324"/>
      <c r="CN138" s="324"/>
      <c r="CO138" s="324"/>
      <c r="CP138" s="324"/>
      <c r="CQ138" s="324"/>
      <c r="CR138" s="324"/>
      <c r="CS138" s="324"/>
      <c r="CT138" s="324"/>
      <c r="CU138" s="324"/>
      <c r="CV138" s="324"/>
      <c r="CW138" s="324"/>
      <c r="CX138" s="324"/>
      <c r="CY138" s="324"/>
      <c r="CZ138" s="324"/>
      <c r="DA138" s="324"/>
      <c r="DB138" s="324"/>
      <c r="DC138" s="324"/>
      <c r="DD138" s="324"/>
      <c r="DE138" s="324"/>
      <c r="DF138" s="324"/>
      <c r="DG138" s="324"/>
      <c r="DH138" s="324"/>
      <c r="DI138" s="324"/>
    </row>
    <row r="139" spans="1:113" ht="15.75" thickBot="1" x14ac:dyDescent="0.3">
      <c r="L139"/>
      <c r="M139"/>
      <c r="N139"/>
      <c r="O139"/>
      <c r="P139"/>
      <c r="Q139"/>
      <c r="R139"/>
      <c r="S139"/>
      <c r="T139"/>
      <c r="U139"/>
      <c r="V139"/>
      <c r="W139"/>
      <c r="X139"/>
      <c r="Y139"/>
      <c r="Z139"/>
    </row>
    <row r="140" spans="1:113" ht="15.75" thickBot="1" x14ac:dyDescent="0.3">
      <c r="A140" s="407" t="s">
        <v>657</v>
      </c>
      <c r="B140" s="414" t="s">
        <v>708</v>
      </c>
      <c r="C140" s="414" t="s">
        <v>1</v>
      </c>
      <c r="D140" s="415" t="s">
        <v>649</v>
      </c>
      <c r="E140" s="416" t="s">
        <v>19</v>
      </c>
      <c r="F140" s="416"/>
      <c r="G140" s="416"/>
      <c r="H140" s="416"/>
      <c r="I140" s="416"/>
      <c r="J140" s="410" t="s">
        <v>21</v>
      </c>
      <c r="K140" s="417" t="s">
        <v>602</v>
      </c>
      <c r="L140"/>
      <c r="M140" s="400" t="s">
        <v>601</v>
      </c>
      <c r="N140" s="404" t="s">
        <v>924</v>
      </c>
      <c r="O140" s="405"/>
      <c r="P140" s="405"/>
      <c r="Q140" s="405"/>
      <c r="R140" s="405"/>
      <c r="S140" s="405"/>
      <c r="T140" s="405"/>
      <c r="U140" s="405"/>
      <c r="V140" s="405"/>
      <c r="W140" s="405"/>
      <c r="X140" s="405"/>
      <c r="Y140" s="405"/>
      <c r="Z140" s="405"/>
      <c r="AA140" s="405"/>
      <c r="AB140" s="405"/>
      <c r="AC140" s="405"/>
      <c r="AD140" s="405"/>
      <c r="AE140" s="405"/>
      <c r="AF140" s="405"/>
      <c r="AG140" s="405"/>
      <c r="AH140" s="405"/>
      <c r="AI140" s="405"/>
      <c r="AJ140" s="405"/>
      <c r="AK140" s="405"/>
      <c r="AL140" s="405"/>
      <c r="AM140" s="405"/>
      <c r="AN140" s="405"/>
      <c r="AO140" s="405"/>
      <c r="AP140" s="405"/>
      <c r="AQ140" s="405"/>
      <c r="AR140" s="405"/>
      <c r="AS140" s="405"/>
      <c r="AT140" s="405"/>
      <c r="AU140" s="405"/>
      <c r="AV140" s="405"/>
      <c r="AW140" s="405"/>
      <c r="AX140" s="405"/>
      <c r="AY140" s="405"/>
      <c r="AZ140" s="405"/>
      <c r="BA140" s="405"/>
      <c r="BB140" s="405"/>
      <c r="BC140" s="405"/>
      <c r="BD140" s="405"/>
      <c r="BE140" s="405"/>
      <c r="BF140" s="405"/>
      <c r="BG140" s="405"/>
      <c r="BH140" s="405"/>
      <c r="BI140" s="405"/>
      <c r="BJ140" s="405"/>
      <c r="BK140" s="405"/>
      <c r="BL140" s="405"/>
      <c r="BM140" s="405"/>
      <c r="BN140" s="405"/>
      <c r="BO140" s="405"/>
      <c r="BP140" s="405"/>
      <c r="BQ140" s="405"/>
      <c r="BR140" s="405"/>
      <c r="BS140" s="405"/>
      <c r="BT140" s="405"/>
      <c r="BU140" s="405"/>
      <c r="BV140" s="405"/>
      <c r="BW140" s="405"/>
      <c r="BX140" s="405"/>
      <c r="BY140" s="405"/>
      <c r="BZ140" s="405"/>
      <c r="CA140" s="405"/>
      <c r="CB140" s="405"/>
      <c r="CC140" s="405"/>
      <c r="CD140" s="405"/>
      <c r="CE140" s="405"/>
      <c r="CF140" s="405"/>
      <c r="CG140" s="405"/>
      <c r="CH140" s="405"/>
      <c r="CI140" s="405"/>
      <c r="CJ140" s="405"/>
      <c r="CK140" s="405"/>
      <c r="CL140" s="405"/>
      <c r="CM140" s="405"/>
      <c r="CN140" s="405"/>
      <c r="CO140" s="405"/>
      <c r="CP140" s="405"/>
      <c r="CQ140" s="405"/>
      <c r="CR140" s="405"/>
      <c r="CS140" s="405"/>
      <c r="CT140" s="405"/>
      <c r="CU140" s="405"/>
      <c r="CV140" s="405"/>
      <c r="CW140" s="405"/>
      <c r="CX140" s="405"/>
      <c r="CY140" s="405"/>
      <c r="CZ140" s="405"/>
      <c r="DA140" s="405"/>
      <c r="DB140" s="405"/>
      <c r="DC140" s="405"/>
      <c r="DD140" s="405"/>
      <c r="DE140" s="405"/>
      <c r="DF140" s="405"/>
      <c r="DG140" s="405"/>
      <c r="DH140" s="405"/>
      <c r="DI140" s="406"/>
    </row>
    <row r="141" spans="1:113" ht="45.75" thickBot="1" x14ac:dyDescent="0.3">
      <c r="A141" s="408"/>
      <c r="B141" s="414"/>
      <c r="C141" s="414"/>
      <c r="D141" s="415"/>
      <c r="E141" s="68" t="s">
        <v>22</v>
      </c>
      <c r="F141" s="68" t="s">
        <v>600</v>
      </c>
      <c r="G141" s="68" t="s">
        <v>601</v>
      </c>
      <c r="H141" s="68" t="s">
        <v>589</v>
      </c>
      <c r="I141" s="68" t="s">
        <v>601</v>
      </c>
      <c r="J141" s="411"/>
      <c r="K141" s="418"/>
      <c r="L141"/>
      <c r="M141" s="401"/>
      <c r="N141" s="400" t="s">
        <v>925</v>
      </c>
      <c r="O141" s="400" t="s">
        <v>926</v>
      </c>
      <c r="P141" s="400"/>
      <c r="Q141" s="400"/>
      <c r="R141" s="400"/>
      <c r="S141" s="398"/>
      <c r="T141" s="398"/>
      <c r="U141" s="398"/>
      <c r="V141" s="398"/>
      <c r="W141" s="398"/>
      <c r="X141" s="398"/>
      <c r="Y141" s="398"/>
      <c r="Z141" s="398"/>
      <c r="AA141" s="398"/>
      <c r="AB141" s="398"/>
      <c r="AC141" s="398"/>
      <c r="AD141" s="398"/>
      <c r="AE141" s="398"/>
      <c r="AF141" s="398"/>
      <c r="AG141" s="398"/>
      <c r="AH141" s="398"/>
      <c r="AI141" s="398"/>
      <c r="AJ141" s="398"/>
      <c r="AK141" s="398"/>
      <c r="AL141" s="398"/>
      <c r="AM141" s="398"/>
      <c r="AN141" s="398"/>
      <c r="AO141" s="398"/>
      <c r="AP141" s="398"/>
      <c r="AQ141" s="398"/>
      <c r="AR141" s="398"/>
      <c r="AS141" s="398"/>
      <c r="AT141" s="398"/>
      <c r="AU141" s="398"/>
      <c r="AV141" s="398"/>
      <c r="AW141" s="398"/>
      <c r="AX141" s="398"/>
      <c r="AY141" s="398"/>
      <c r="AZ141" s="398"/>
      <c r="BA141" s="398"/>
      <c r="BB141" s="398"/>
      <c r="BC141" s="398"/>
      <c r="BD141" s="398"/>
      <c r="BE141" s="398"/>
      <c r="BF141" s="398"/>
      <c r="BG141" s="398"/>
      <c r="BH141" s="398"/>
      <c r="BI141" s="398"/>
      <c r="BJ141" s="398"/>
      <c r="BK141" s="398"/>
      <c r="BL141" s="398"/>
      <c r="BM141" s="398"/>
      <c r="BN141" s="398"/>
      <c r="BO141" s="398"/>
      <c r="BP141" s="398"/>
      <c r="BQ141" s="398"/>
      <c r="BR141" s="398"/>
      <c r="BS141" s="398"/>
      <c r="BT141" s="398"/>
      <c r="BU141" s="398"/>
      <c r="BV141" s="398"/>
      <c r="BW141" s="398"/>
      <c r="BX141" s="398"/>
      <c r="BY141" s="398"/>
      <c r="BZ141" s="398"/>
      <c r="CA141" s="398"/>
      <c r="CB141" s="398"/>
      <c r="CC141" s="398"/>
      <c r="CD141" s="398"/>
      <c r="CE141" s="398"/>
      <c r="CF141" s="398"/>
      <c r="CG141" s="398"/>
      <c r="CH141" s="398"/>
      <c r="CI141" s="398"/>
      <c r="CJ141" s="398"/>
      <c r="CK141" s="398"/>
      <c r="CL141" s="398"/>
      <c r="CM141" s="398"/>
      <c r="CN141" s="398"/>
      <c r="CO141" s="398"/>
      <c r="CP141" s="398"/>
      <c r="CQ141" s="398"/>
      <c r="CR141" s="398"/>
      <c r="CS141" s="398"/>
      <c r="CT141" s="398"/>
      <c r="CU141" s="398"/>
      <c r="CV141" s="398"/>
      <c r="CW141" s="398"/>
      <c r="CX141" s="398"/>
      <c r="CY141" s="398"/>
      <c r="CZ141" s="398"/>
      <c r="DA141" s="398"/>
      <c r="DB141" s="398"/>
      <c r="DC141" s="398"/>
      <c r="DD141" s="398"/>
      <c r="DE141" s="398"/>
      <c r="DF141" s="398"/>
      <c r="DG141" s="398"/>
      <c r="DH141" s="398"/>
      <c r="DI141" s="398"/>
    </row>
    <row r="142" spans="1:113" ht="15.75" thickBot="1" x14ac:dyDescent="0.3">
      <c r="A142" s="409"/>
      <c r="B142" s="287">
        <v>1</v>
      </c>
      <c r="C142" s="287">
        <v>2</v>
      </c>
      <c r="D142" s="287">
        <v>3</v>
      </c>
      <c r="E142" s="70">
        <v>4</v>
      </c>
      <c r="F142" s="70">
        <f>+E142+1</f>
        <v>5</v>
      </c>
      <c r="G142" s="70" t="s">
        <v>652</v>
      </c>
      <c r="H142" s="70">
        <v>7</v>
      </c>
      <c r="I142" s="71" t="s">
        <v>651</v>
      </c>
      <c r="J142" s="42" t="s">
        <v>650</v>
      </c>
      <c r="K142" s="42" t="s">
        <v>653</v>
      </c>
      <c r="L142"/>
      <c r="M142" s="402"/>
      <c r="N142" s="402"/>
      <c r="O142" s="402"/>
      <c r="P142" s="402"/>
      <c r="Q142" s="402"/>
      <c r="R142" s="402"/>
      <c r="S142" s="399"/>
      <c r="T142" s="399"/>
      <c r="U142" s="399"/>
      <c r="V142" s="399"/>
      <c r="W142" s="399"/>
      <c r="X142" s="399"/>
      <c r="Y142" s="399"/>
      <c r="Z142" s="399"/>
      <c r="AA142" s="399"/>
      <c r="AB142" s="399"/>
      <c r="AC142" s="399"/>
      <c r="AD142" s="399"/>
      <c r="AE142" s="399"/>
      <c r="AF142" s="399"/>
      <c r="AG142" s="399"/>
      <c r="AH142" s="399"/>
      <c r="AI142" s="399"/>
      <c r="AJ142" s="399"/>
      <c r="AK142" s="399"/>
      <c r="AL142" s="399"/>
      <c r="AM142" s="399"/>
      <c r="AN142" s="399"/>
      <c r="AO142" s="399"/>
      <c r="AP142" s="399"/>
      <c r="AQ142" s="399"/>
      <c r="AR142" s="399"/>
      <c r="AS142" s="399"/>
      <c r="AT142" s="399"/>
      <c r="AU142" s="399"/>
      <c r="AV142" s="399"/>
      <c r="AW142" s="399"/>
      <c r="AX142" s="399"/>
      <c r="AY142" s="399"/>
      <c r="AZ142" s="399"/>
      <c r="BA142" s="399"/>
      <c r="BB142" s="399"/>
      <c r="BC142" s="399"/>
      <c r="BD142" s="399"/>
      <c r="BE142" s="399"/>
      <c r="BF142" s="399"/>
      <c r="BG142" s="399"/>
      <c r="BH142" s="399"/>
      <c r="BI142" s="399"/>
      <c r="BJ142" s="399"/>
      <c r="BK142" s="399"/>
      <c r="BL142" s="399"/>
      <c r="BM142" s="399"/>
      <c r="BN142" s="399"/>
      <c r="BO142" s="399"/>
      <c r="BP142" s="399"/>
      <c r="BQ142" s="399"/>
      <c r="BR142" s="399"/>
      <c r="BS142" s="399"/>
      <c r="BT142" s="399"/>
      <c r="BU142" s="399"/>
      <c r="BV142" s="399"/>
      <c r="BW142" s="399"/>
      <c r="BX142" s="399"/>
      <c r="BY142" s="399"/>
      <c r="BZ142" s="399"/>
      <c r="CA142" s="399"/>
      <c r="CB142" s="399"/>
      <c r="CC142" s="399"/>
      <c r="CD142" s="399"/>
      <c r="CE142" s="399"/>
      <c r="CF142" s="399"/>
      <c r="CG142" s="399"/>
      <c r="CH142" s="399"/>
      <c r="CI142" s="399"/>
      <c r="CJ142" s="399"/>
      <c r="CK142" s="399"/>
      <c r="CL142" s="399"/>
      <c r="CM142" s="399"/>
      <c r="CN142" s="399"/>
      <c r="CO142" s="399"/>
      <c r="CP142" s="399"/>
      <c r="CQ142" s="399"/>
      <c r="CR142" s="399"/>
      <c r="CS142" s="399"/>
      <c r="CT142" s="399"/>
      <c r="CU142" s="399"/>
      <c r="CV142" s="399"/>
      <c r="CW142" s="399"/>
      <c r="CX142" s="399"/>
      <c r="CY142" s="399"/>
      <c r="CZ142" s="399"/>
      <c r="DA142" s="399"/>
      <c r="DB142" s="399"/>
      <c r="DC142" s="399"/>
      <c r="DD142" s="399"/>
      <c r="DE142" s="399"/>
      <c r="DF142" s="399"/>
      <c r="DG142" s="399"/>
      <c r="DH142" s="399"/>
      <c r="DI142" s="399"/>
    </row>
    <row r="143" spans="1:113" x14ac:dyDescent="0.25">
      <c r="A143" s="160"/>
      <c r="B143" s="54"/>
      <c r="C143" s="54"/>
      <c r="D143" s="54"/>
      <c r="E143" s="54"/>
      <c r="F143" s="54"/>
      <c r="G143" s="54"/>
      <c r="H143" s="54"/>
      <c r="I143" s="54"/>
      <c r="J143" s="54"/>
      <c r="K143" s="54"/>
      <c r="L143"/>
      <c r="M143" s="314">
        <f t="shared" ref="M143:M158" si="89">SUM(N143:DJ143)</f>
        <v>0</v>
      </c>
      <c r="N143" s="310"/>
      <c r="O143" s="315"/>
      <c r="P143" s="315"/>
      <c r="Q143" s="315"/>
      <c r="R143" s="315"/>
      <c r="S143" s="55"/>
      <c r="T143" s="55"/>
      <c r="U143" s="55"/>
      <c r="V143" s="55"/>
      <c r="W143" s="55"/>
      <c r="X143" s="55"/>
      <c r="Y143" s="55"/>
      <c r="Z143" s="55"/>
      <c r="AA143" s="55"/>
      <c r="AB143" s="55"/>
      <c r="AC143" s="55"/>
      <c r="AD143" s="55"/>
      <c r="AE143" s="55"/>
      <c r="AF143" s="55"/>
      <c r="AG143" s="55"/>
      <c r="AH143" s="55"/>
      <c r="AI143" s="55"/>
      <c r="AJ143" s="55"/>
      <c r="AK143" s="55"/>
      <c r="AL143" s="55"/>
      <c r="AM143" s="55"/>
      <c r="AN143" s="55"/>
      <c r="AO143" s="55"/>
      <c r="AP143" s="55"/>
      <c r="AQ143" s="55"/>
      <c r="AR143" s="55"/>
      <c r="AS143" s="55"/>
      <c r="AT143" s="55"/>
      <c r="AU143" s="55"/>
      <c r="AV143" s="55"/>
      <c r="AW143" s="55"/>
      <c r="AX143" s="55"/>
      <c r="AY143" s="55"/>
      <c r="AZ143" s="55"/>
      <c r="BA143" s="55"/>
      <c r="BB143" s="55"/>
      <c r="BC143" s="55"/>
      <c r="BD143" s="55"/>
      <c r="BE143" s="55"/>
      <c r="BF143" s="55"/>
      <c r="BG143" s="55"/>
      <c r="BH143" s="55"/>
      <c r="BI143" s="55"/>
      <c r="BJ143" s="55"/>
      <c r="BK143" s="55"/>
      <c r="BL143" s="55"/>
      <c r="BM143" s="55"/>
      <c r="BN143" s="55"/>
      <c r="BO143" s="55"/>
      <c r="BP143" s="55"/>
      <c r="BQ143" s="55"/>
      <c r="BR143" s="55"/>
      <c r="BS143" s="55"/>
      <c r="BT143" s="55"/>
      <c r="BU143" s="55"/>
      <c r="BV143" s="55"/>
      <c r="BW143" s="55"/>
      <c r="BX143" s="55"/>
      <c r="BY143" s="55"/>
      <c r="BZ143" s="55"/>
      <c r="CA143" s="55"/>
      <c r="CB143" s="55"/>
      <c r="CC143" s="55"/>
      <c r="CD143" s="55"/>
      <c r="CE143" s="55"/>
      <c r="CF143" s="55"/>
      <c r="CG143" s="55"/>
      <c r="CH143" s="55"/>
      <c r="CI143" s="55"/>
      <c r="CJ143" s="55"/>
      <c r="CK143" s="55"/>
      <c r="CL143" s="55"/>
      <c r="CM143" s="55"/>
      <c r="CN143" s="55"/>
      <c r="CO143" s="55"/>
      <c r="CP143" s="55"/>
      <c r="CQ143" s="55"/>
      <c r="CR143" s="55"/>
      <c r="CS143" s="55"/>
      <c r="CT143" s="55"/>
      <c r="CU143" s="55"/>
      <c r="CV143" s="55"/>
      <c r="CW143" s="55"/>
      <c r="CX143" s="55"/>
      <c r="CY143" s="55"/>
      <c r="CZ143" s="55"/>
      <c r="DA143" s="55"/>
      <c r="DB143" s="55"/>
      <c r="DC143" s="55"/>
      <c r="DD143" s="55"/>
      <c r="DE143" s="55"/>
      <c r="DF143" s="55"/>
      <c r="DG143" s="55"/>
      <c r="DH143" s="55"/>
      <c r="DI143" s="55"/>
    </row>
    <row r="144" spans="1:113" x14ac:dyDescent="0.25">
      <c r="A144" s="152">
        <v>1</v>
      </c>
      <c r="B144" s="213" t="s">
        <v>901</v>
      </c>
      <c r="C144" s="43">
        <v>100000</v>
      </c>
      <c r="D144" s="233">
        <v>0</v>
      </c>
      <c r="E144" s="43">
        <v>0</v>
      </c>
      <c r="F144" s="60">
        <f>4000-4000</f>
        <v>0</v>
      </c>
      <c r="G144" s="166">
        <f t="shared" ref="G144:G147" si="90">+E144+F144</f>
        <v>0</v>
      </c>
      <c r="H144" s="55">
        <f>4000-4000</f>
        <v>0</v>
      </c>
      <c r="I144" s="56">
        <f t="shared" ref="I144:I147" si="91">+G144-H144</f>
        <v>0</v>
      </c>
      <c r="J144" s="56">
        <f t="shared" ref="J144:J147" si="92">I144*C144</f>
        <v>0</v>
      </c>
      <c r="K144" s="57">
        <f t="shared" ref="K144:K147" si="93">+D144*I144</f>
        <v>0</v>
      </c>
      <c r="L144"/>
      <c r="M144" s="314">
        <f t="shared" si="89"/>
        <v>0</v>
      </c>
      <c r="N144" s="310"/>
      <c r="O144" s="315"/>
      <c r="P144" s="315"/>
      <c r="Q144" s="315"/>
      <c r="R144" s="315"/>
      <c r="S144" s="55"/>
      <c r="T144" s="55"/>
      <c r="U144" s="55"/>
      <c r="V144" s="55"/>
      <c r="W144" s="55"/>
      <c r="X144" s="55"/>
      <c r="Y144" s="55"/>
      <c r="Z144" s="55"/>
      <c r="AA144" s="55"/>
      <c r="AB144" s="55"/>
      <c r="AC144" s="55"/>
      <c r="AD144" s="55"/>
      <c r="AE144" s="55"/>
      <c r="AF144" s="55"/>
      <c r="AG144" s="55"/>
      <c r="AH144" s="55"/>
      <c r="AI144" s="55"/>
      <c r="AJ144" s="55"/>
      <c r="AK144" s="55"/>
      <c r="AL144" s="55"/>
      <c r="AM144" s="55"/>
      <c r="AN144" s="55"/>
      <c r="AO144" s="55"/>
      <c r="AP144" s="55"/>
      <c r="AQ144" s="55"/>
      <c r="AR144" s="55"/>
      <c r="AS144" s="55"/>
      <c r="AT144" s="55"/>
      <c r="AU144" s="55"/>
      <c r="AV144" s="55"/>
      <c r="AW144" s="55"/>
      <c r="AX144" s="55"/>
      <c r="AY144" s="55"/>
      <c r="AZ144" s="55"/>
      <c r="BA144" s="55"/>
      <c r="BB144" s="55"/>
      <c r="BC144" s="55"/>
      <c r="BD144" s="55"/>
      <c r="BE144" s="55"/>
      <c r="BF144" s="55"/>
      <c r="BG144" s="55"/>
      <c r="BH144" s="55"/>
      <c r="BI144" s="55"/>
      <c r="BJ144" s="55"/>
      <c r="BK144" s="55"/>
      <c r="BL144" s="55"/>
      <c r="BM144" s="55"/>
      <c r="BN144" s="55"/>
      <c r="BO144" s="55"/>
      <c r="BP144" s="55"/>
      <c r="BQ144" s="55"/>
      <c r="BR144" s="55"/>
      <c r="BS144" s="55"/>
      <c r="BT144" s="55"/>
      <c r="BU144" s="55"/>
      <c r="BV144" s="55"/>
      <c r="BW144" s="55"/>
      <c r="BX144" s="55"/>
      <c r="BY144" s="55"/>
      <c r="BZ144" s="55"/>
      <c r="CA144" s="55"/>
      <c r="CB144" s="55"/>
      <c r="CC144" s="55"/>
      <c r="CD144" s="55"/>
      <c r="CE144" s="55"/>
      <c r="CF144" s="55"/>
      <c r="CG144" s="55"/>
      <c r="CH144" s="55"/>
      <c r="CI144" s="55"/>
      <c r="CJ144" s="55"/>
      <c r="CK144" s="55"/>
      <c r="CL144" s="55"/>
      <c r="CM144" s="55"/>
      <c r="CN144" s="55"/>
      <c r="CO144" s="55"/>
      <c r="CP144" s="55"/>
      <c r="CQ144" s="55"/>
      <c r="CR144" s="55"/>
      <c r="CS144" s="55"/>
      <c r="CT144" s="55"/>
      <c r="CU144" s="55"/>
      <c r="CV144" s="55"/>
      <c r="CW144" s="55"/>
      <c r="CX144" s="55"/>
      <c r="CY144" s="55"/>
      <c r="CZ144" s="55"/>
      <c r="DA144" s="55"/>
      <c r="DB144" s="55"/>
      <c r="DC144" s="55"/>
      <c r="DD144" s="55"/>
      <c r="DE144" s="55"/>
      <c r="DF144" s="55"/>
      <c r="DG144" s="55"/>
      <c r="DH144" s="55"/>
      <c r="DI144" s="55"/>
    </row>
    <row r="145" spans="1:113" x14ac:dyDescent="0.25">
      <c r="A145" s="170">
        <v>2</v>
      </c>
      <c r="B145" s="213"/>
      <c r="C145" s="43"/>
      <c r="D145" s="233">
        <v>0</v>
      </c>
      <c r="E145" s="43">
        <v>0</v>
      </c>
      <c r="F145" s="121"/>
      <c r="G145" s="166">
        <f t="shared" si="90"/>
        <v>0</v>
      </c>
      <c r="H145" s="55"/>
      <c r="I145" s="56">
        <f t="shared" si="91"/>
        <v>0</v>
      </c>
      <c r="J145" s="56">
        <f t="shared" si="92"/>
        <v>0</v>
      </c>
      <c r="K145" s="57">
        <f t="shared" si="93"/>
        <v>0</v>
      </c>
      <c r="L145"/>
      <c r="M145" s="314">
        <f t="shared" si="89"/>
        <v>0</v>
      </c>
      <c r="N145" s="310"/>
      <c r="O145" s="315"/>
      <c r="P145" s="315"/>
      <c r="Q145" s="315"/>
      <c r="R145" s="315"/>
      <c r="S145" s="55"/>
      <c r="T145" s="55"/>
      <c r="U145" s="55"/>
      <c r="V145" s="55"/>
      <c r="W145" s="55"/>
      <c r="X145" s="55"/>
      <c r="Y145" s="55"/>
      <c r="Z145" s="55"/>
      <c r="AA145" s="55"/>
      <c r="AB145" s="55"/>
      <c r="AC145" s="55"/>
      <c r="AD145" s="55"/>
      <c r="AE145" s="55"/>
      <c r="AF145" s="55"/>
      <c r="AG145" s="55"/>
      <c r="AH145" s="55"/>
      <c r="AI145" s="55"/>
      <c r="AJ145" s="55"/>
      <c r="AK145" s="55"/>
      <c r="AL145" s="55"/>
      <c r="AM145" s="55"/>
      <c r="AN145" s="55"/>
      <c r="AO145" s="55"/>
      <c r="AP145" s="55"/>
      <c r="AQ145" s="55"/>
      <c r="AR145" s="55"/>
      <c r="AS145" s="55"/>
      <c r="AT145" s="55"/>
      <c r="AU145" s="55"/>
      <c r="AV145" s="55"/>
      <c r="AW145" s="55"/>
      <c r="AX145" s="55"/>
      <c r="AY145" s="55"/>
      <c r="AZ145" s="55"/>
      <c r="BA145" s="55"/>
      <c r="BB145" s="55"/>
      <c r="BC145" s="55"/>
      <c r="BD145" s="55"/>
      <c r="BE145" s="55"/>
      <c r="BF145" s="55"/>
      <c r="BG145" s="55"/>
      <c r="BH145" s="55"/>
      <c r="BI145" s="55"/>
      <c r="BJ145" s="55"/>
      <c r="BK145" s="55"/>
      <c r="BL145" s="55"/>
      <c r="BM145" s="55"/>
      <c r="BN145" s="55"/>
      <c r="BO145" s="55"/>
      <c r="BP145" s="55"/>
      <c r="BQ145" s="55"/>
      <c r="BR145" s="55"/>
      <c r="BS145" s="55"/>
      <c r="BT145" s="55"/>
      <c r="BU145" s="55"/>
      <c r="BV145" s="55"/>
      <c r="BW145" s="55"/>
      <c r="BX145" s="55"/>
      <c r="BY145" s="55"/>
      <c r="BZ145" s="55"/>
      <c r="CA145" s="55"/>
      <c r="CB145" s="55"/>
      <c r="CC145" s="55"/>
      <c r="CD145" s="55"/>
      <c r="CE145" s="55"/>
      <c r="CF145" s="55"/>
      <c r="CG145" s="55"/>
      <c r="CH145" s="55"/>
      <c r="CI145" s="55"/>
      <c r="CJ145" s="55"/>
      <c r="CK145" s="55"/>
      <c r="CL145" s="55"/>
      <c r="CM145" s="55"/>
      <c r="CN145" s="55"/>
      <c r="CO145" s="55"/>
      <c r="CP145" s="55"/>
      <c r="CQ145" s="55"/>
      <c r="CR145" s="55"/>
      <c r="CS145" s="55"/>
      <c r="CT145" s="55"/>
      <c r="CU145" s="55"/>
      <c r="CV145" s="55"/>
      <c r="CW145" s="55"/>
      <c r="CX145" s="55"/>
      <c r="CY145" s="55"/>
      <c r="CZ145" s="55"/>
      <c r="DA145" s="55"/>
      <c r="DB145" s="55"/>
      <c r="DC145" s="55"/>
      <c r="DD145" s="55"/>
      <c r="DE145" s="55"/>
      <c r="DF145" s="55"/>
      <c r="DG145" s="55"/>
      <c r="DH145" s="55"/>
      <c r="DI145" s="55"/>
    </row>
    <row r="146" spans="1:113" x14ac:dyDescent="0.25">
      <c r="A146" s="152">
        <v>3</v>
      </c>
      <c r="B146" s="231"/>
      <c r="C146" s="122"/>
      <c r="D146" s="233">
        <v>0</v>
      </c>
      <c r="E146" s="43">
        <v>0</v>
      </c>
      <c r="F146" s="121"/>
      <c r="G146" s="166">
        <f t="shared" si="90"/>
        <v>0</v>
      </c>
      <c r="H146" s="55"/>
      <c r="I146" s="56">
        <f t="shared" si="91"/>
        <v>0</v>
      </c>
      <c r="J146" s="56">
        <f t="shared" si="92"/>
        <v>0</v>
      </c>
      <c r="K146" s="57">
        <f t="shared" si="93"/>
        <v>0</v>
      </c>
      <c r="L146"/>
      <c r="M146" s="314">
        <f t="shared" si="89"/>
        <v>0</v>
      </c>
      <c r="N146" s="310"/>
      <c r="O146" s="315"/>
      <c r="P146" s="315"/>
      <c r="Q146" s="315"/>
      <c r="R146" s="315"/>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c r="BM146" s="55"/>
      <c r="BN146" s="55"/>
      <c r="BO146" s="55"/>
      <c r="BP146" s="55"/>
      <c r="BQ146" s="55"/>
      <c r="BR146" s="55"/>
      <c r="BS146" s="55"/>
      <c r="BT146" s="55"/>
      <c r="BU146" s="55"/>
      <c r="BV146" s="55"/>
      <c r="BW146" s="55"/>
      <c r="BX146" s="55"/>
      <c r="BY146" s="55"/>
      <c r="BZ146" s="55"/>
      <c r="CA146" s="55"/>
      <c r="CB146" s="55"/>
      <c r="CC146" s="55"/>
      <c r="CD146" s="55"/>
      <c r="CE146" s="55"/>
      <c r="CF146" s="55"/>
      <c r="CG146" s="55"/>
      <c r="CH146" s="55"/>
      <c r="CI146" s="55"/>
      <c r="CJ146" s="55"/>
      <c r="CK146" s="55"/>
      <c r="CL146" s="55"/>
      <c r="CM146" s="55"/>
      <c r="CN146" s="55"/>
      <c r="CO146" s="55"/>
      <c r="CP146" s="55"/>
      <c r="CQ146" s="55"/>
      <c r="CR146" s="55"/>
      <c r="CS146" s="55"/>
      <c r="CT146" s="55"/>
      <c r="CU146" s="55"/>
      <c r="CV146" s="55"/>
      <c r="CW146" s="55"/>
      <c r="CX146" s="55"/>
      <c r="CY146" s="55"/>
      <c r="CZ146" s="55"/>
      <c r="DA146" s="55"/>
      <c r="DB146" s="55"/>
      <c r="DC146" s="55"/>
      <c r="DD146" s="55"/>
      <c r="DE146" s="55"/>
      <c r="DF146" s="55"/>
      <c r="DG146" s="55"/>
      <c r="DH146" s="55"/>
      <c r="DI146" s="55"/>
    </row>
    <row r="147" spans="1:113" x14ac:dyDescent="0.25">
      <c r="A147" s="170">
        <v>4</v>
      </c>
      <c r="B147" s="231"/>
      <c r="C147" s="122"/>
      <c r="D147" s="233">
        <v>0</v>
      </c>
      <c r="E147" s="43">
        <v>0</v>
      </c>
      <c r="F147" s="121"/>
      <c r="G147" s="194">
        <f t="shared" si="90"/>
        <v>0</v>
      </c>
      <c r="H147" s="108"/>
      <c r="I147" s="109">
        <f t="shared" si="91"/>
        <v>0</v>
      </c>
      <c r="J147" s="109">
        <f t="shared" si="92"/>
        <v>0</v>
      </c>
      <c r="K147" s="110">
        <f t="shared" si="93"/>
        <v>0</v>
      </c>
      <c r="L147"/>
      <c r="M147" s="314">
        <f t="shared" si="89"/>
        <v>0</v>
      </c>
      <c r="N147" s="310"/>
      <c r="O147" s="315"/>
      <c r="P147" s="315"/>
      <c r="Q147" s="315"/>
      <c r="R147" s="315"/>
      <c r="S147" s="5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c r="BM147" s="55"/>
      <c r="BN147" s="55"/>
      <c r="BO147" s="55"/>
      <c r="BP147" s="55"/>
      <c r="BQ147" s="55"/>
      <c r="BR147" s="55"/>
      <c r="BS147" s="55"/>
      <c r="BT147" s="55"/>
      <c r="BU147" s="55"/>
      <c r="BV147" s="55"/>
      <c r="BW147" s="55"/>
      <c r="BX147" s="55"/>
      <c r="BY147" s="55"/>
      <c r="BZ147" s="55"/>
      <c r="CA147" s="55"/>
      <c r="CB147" s="55"/>
      <c r="CC147" s="55"/>
      <c r="CD147" s="55"/>
      <c r="CE147" s="55"/>
      <c r="CF147" s="55"/>
      <c r="CG147" s="55"/>
      <c r="CH147" s="55"/>
      <c r="CI147" s="55"/>
      <c r="CJ147" s="55"/>
      <c r="CK147" s="55"/>
      <c r="CL147" s="55"/>
      <c r="CM147" s="55"/>
      <c r="CN147" s="55"/>
      <c r="CO147" s="55"/>
      <c r="CP147" s="55"/>
      <c r="CQ147" s="55"/>
      <c r="CR147" s="55"/>
      <c r="CS147" s="55"/>
      <c r="CT147" s="55"/>
      <c r="CU147" s="55"/>
      <c r="CV147" s="55"/>
      <c r="CW147" s="55"/>
      <c r="CX147" s="55"/>
      <c r="CY147" s="55"/>
      <c r="CZ147" s="55"/>
      <c r="DA147" s="55"/>
      <c r="DB147" s="55"/>
      <c r="DC147" s="55"/>
      <c r="DD147" s="55"/>
      <c r="DE147" s="55"/>
      <c r="DF147" s="55"/>
      <c r="DG147" s="55"/>
      <c r="DH147" s="55"/>
      <c r="DI147" s="55"/>
    </row>
    <row r="148" spans="1:113" x14ac:dyDescent="0.25">
      <c r="A148" s="152">
        <v>5</v>
      </c>
      <c r="B148" s="213"/>
      <c r="C148" s="43"/>
      <c r="D148" s="233">
        <v>0</v>
      </c>
      <c r="E148" s="43">
        <v>0</v>
      </c>
      <c r="F148" s="60"/>
      <c r="G148" s="166"/>
      <c r="H148" s="55"/>
      <c r="I148" s="56"/>
      <c r="J148" s="56"/>
      <c r="K148" s="57"/>
      <c r="L148"/>
      <c r="M148" s="314">
        <f t="shared" si="89"/>
        <v>0</v>
      </c>
      <c r="N148" s="310"/>
      <c r="O148" s="315"/>
      <c r="P148" s="315"/>
      <c r="Q148" s="315"/>
      <c r="R148" s="315"/>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c r="BM148" s="55"/>
      <c r="BN148" s="55"/>
      <c r="BO148" s="55"/>
      <c r="BP148" s="55"/>
      <c r="BQ148" s="55"/>
      <c r="BR148" s="55"/>
      <c r="BS148" s="55"/>
      <c r="BT148" s="55"/>
      <c r="BU148" s="55"/>
      <c r="BV148" s="55"/>
      <c r="BW148" s="55"/>
      <c r="BX148" s="55"/>
      <c r="BY148" s="55"/>
      <c r="BZ148" s="55"/>
      <c r="CA148" s="55"/>
      <c r="CB148" s="55"/>
      <c r="CC148" s="55"/>
      <c r="CD148" s="55"/>
      <c r="CE148" s="55"/>
      <c r="CF148" s="55"/>
      <c r="CG148" s="55"/>
      <c r="CH148" s="55"/>
      <c r="CI148" s="55"/>
      <c r="CJ148" s="55"/>
      <c r="CK148" s="55"/>
      <c r="CL148" s="55"/>
      <c r="CM148" s="55"/>
      <c r="CN148" s="55"/>
      <c r="CO148" s="55"/>
      <c r="CP148" s="55"/>
      <c r="CQ148" s="55"/>
      <c r="CR148" s="55"/>
      <c r="CS148" s="55"/>
      <c r="CT148" s="55"/>
      <c r="CU148" s="55"/>
      <c r="CV148" s="55"/>
      <c r="CW148" s="55"/>
      <c r="CX148" s="55"/>
      <c r="CY148" s="55"/>
      <c r="CZ148" s="55"/>
      <c r="DA148" s="55"/>
      <c r="DB148" s="55"/>
      <c r="DC148" s="55"/>
      <c r="DD148" s="55"/>
      <c r="DE148" s="55"/>
      <c r="DF148" s="55"/>
      <c r="DG148" s="55"/>
      <c r="DH148" s="55"/>
      <c r="DI148" s="55"/>
    </row>
    <row r="149" spans="1:113" x14ac:dyDescent="0.25">
      <c r="A149" s="170">
        <v>6</v>
      </c>
      <c r="B149" s="213"/>
      <c r="C149" s="43"/>
      <c r="D149" s="233">
        <v>0</v>
      </c>
      <c r="E149" s="43">
        <v>0</v>
      </c>
      <c r="F149" s="59">
        <f>2000-2000</f>
        <v>0</v>
      </c>
      <c r="G149" s="249">
        <f t="shared" ref="G149:G156" si="94">+E149+F149</f>
        <v>0</v>
      </c>
      <c r="H149" s="250">
        <f>1000+100-1100</f>
        <v>0</v>
      </c>
      <c r="I149" s="109">
        <f t="shared" ref="I149:I156" si="95">+G149-H149</f>
        <v>0</v>
      </c>
      <c r="J149" s="109">
        <f t="shared" ref="J149:J156" si="96">I149*C149</f>
        <v>0</v>
      </c>
      <c r="K149" s="110">
        <f t="shared" ref="K149:K156" si="97">+D149*I149</f>
        <v>0</v>
      </c>
      <c r="L149"/>
      <c r="M149" s="314">
        <f t="shared" si="89"/>
        <v>0</v>
      </c>
      <c r="N149" s="310"/>
      <c r="O149" s="315"/>
      <c r="P149" s="315"/>
      <c r="Q149" s="315"/>
      <c r="R149" s="315"/>
      <c r="S149" s="5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c r="BM149" s="55"/>
      <c r="BN149" s="55"/>
      <c r="BO149" s="55"/>
      <c r="BP149" s="55"/>
      <c r="BQ149" s="55"/>
      <c r="BR149" s="55"/>
      <c r="BS149" s="55"/>
      <c r="BT149" s="55"/>
      <c r="BU149" s="55"/>
      <c r="BV149" s="55"/>
      <c r="BW149" s="55"/>
      <c r="BX149" s="55"/>
      <c r="BY149" s="55"/>
      <c r="BZ149" s="55"/>
      <c r="CA149" s="55"/>
      <c r="CB149" s="55"/>
      <c r="CC149" s="55"/>
      <c r="CD149" s="55"/>
      <c r="CE149" s="55"/>
      <c r="CF149" s="55"/>
      <c r="CG149" s="55"/>
      <c r="CH149" s="55"/>
      <c r="CI149" s="55"/>
      <c r="CJ149" s="55"/>
      <c r="CK149" s="55"/>
      <c r="CL149" s="55"/>
      <c r="CM149" s="55"/>
      <c r="CN149" s="55"/>
      <c r="CO149" s="55"/>
      <c r="CP149" s="55"/>
      <c r="CQ149" s="55"/>
      <c r="CR149" s="55"/>
      <c r="CS149" s="55"/>
      <c r="CT149" s="55"/>
      <c r="CU149" s="55"/>
      <c r="CV149" s="55"/>
      <c r="CW149" s="55"/>
      <c r="CX149" s="55"/>
      <c r="CY149" s="55"/>
      <c r="CZ149" s="55"/>
      <c r="DA149" s="55"/>
      <c r="DB149" s="55"/>
      <c r="DC149" s="55"/>
      <c r="DD149" s="55"/>
      <c r="DE149" s="55"/>
      <c r="DF149" s="55"/>
      <c r="DG149" s="55"/>
      <c r="DH149" s="55"/>
      <c r="DI149" s="55"/>
    </row>
    <row r="150" spans="1:113" x14ac:dyDescent="0.25">
      <c r="A150" s="152">
        <v>7</v>
      </c>
      <c r="B150" s="213"/>
      <c r="C150" s="43"/>
      <c r="D150" s="233">
        <v>0</v>
      </c>
      <c r="E150" s="43">
        <v>0</v>
      </c>
      <c r="F150" s="59">
        <f>2000-2000</f>
        <v>0</v>
      </c>
      <c r="G150" s="249">
        <f t="shared" si="94"/>
        <v>0</v>
      </c>
      <c r="H150" s="169">
        <f>2000-2000</f>
        <v>0</v>
      </c>
      <c r="I150" s="109">
        <f t="shared" si="95"/>
        <v>0</v>
      </c>
      <c r="J150" s="109">
        <f t="shared" si="96"/>
        <v>0</v>
      </c>
      <c r="K150" s="110">
        <f t="shared" si="97"/>
        <v>0</v>
      </c>
      <c r="L150"/>
      <c r="M150" s="314">
        <f t="shared" si="89"/>
        <v>0</v>
      </c>
      <c r="N150" s="310"/>
      <c r="O150" s="315"/>
      <c r="P150" s="315"/>
      <c r="Q150" s="315"/>
      <c r="R150" s="315"/>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c r="BP150" s="55"/>
      <c r="BQ150" s="55"/>
      <c r="BR150" s="55"/>
      <c r="BS150" s="55"/>
      <c r="BT150" s="55"/>
      <c r="BU150" s="55"/>
      <c r="BV150" s="55"/>
      <c r="BW150" s="55"/>
      <c r="BX150" s="55"/>
      <c r="BY150" s="55"/>
      <c r="BZ150" s="55"/>
      <c r="CA150" s="55"/>
      <c r="CB150" s="55"/>
      <c r="CC150" s="55"/>
      <c r="CD150" s="55"/>
      <c r="CE150" s="55"/>
      <c r="CF150" s="55"/>
      <c r="CG150" s="55"/>
      <c r="CH150" s="55"/>
      <c r="CI150" s="55"/>
      <c r="CJ150" s="55"/>
      <c r="CK150" s="55"/>
      <c r="CL150" s="55"/>
      <c r="CM150" s="55"/>
      <c r="CN150" s="55"/>
      <c r="CO150" s="55"/>
      <c r="CP150" s="55"/>
      <c r="CQ150" s="55"/>
      <c r="CR150" s="55"/>
      <c r="CS150" s="55"/>
      <c r="CT150" s="55"/>
      <c r="CU150" s="55"/>
      <c r="CV150" s="55"/>
      <c r="CW150" s="55"/>
      <c r="CX150" s="55"/>
      <c r="CY150" s="55"/>
      <c r="CZ150" s="55"/>
      <c r="DA150" s="55"/>
      <c r="DB150" s="55"/>
      <c r="DC150" s="55"/>
      <c r="DD150" s="55"/>
      <c r="DE150" s="55"/>
      <c r="DF150" s="55"/>
      <c r="DG150" s="55"/>
      <c r="DH150" s="55"/>
      <c r="DI150" s="55"/>
    </row>
    <row r="151" spans="1:113" x14ac:dyDescent="0.25">
      <c r="A151" s="170">
        <v>8</v>
      </c>
      <c r="B151" s="213"/>
      <c r="C151" s="43"/>
      <c r="D151" s="233">
        <v>0</v>
      </c>
      <c r="E151" s="43">
        <v>0</v>
      </c>
      <c r="F151" s="59">
        <f>500-500</f>
        <v>0</v>
      </c>
      <c r="G151" s="249">
        <f t="shared" si="94"/>
        <v>0</v>
      </c>
      <c r="H151" s="169">
        <f>500-500</f>
        <v>0</v>
      </c>
      <c r="I151" s="109">
        <f t="shared" si="95"/>
        <v>0</v>
      </c>
      <c r="J151" s="109">
        <f t="shared" si="96"/>
        <v>0</v>
      </c>
      <c r="K151" s="110">
        <f t="shared" si="97"/>
        <v>0</v>
      </c>
      <c r="L151"/>
      <c r="M151" s="314">
        <f t="shared" si="89"/>
        <v>0</v>
      </c>
      <c r="N151" s="310"/>
      <c r="O151" s="315"/>
      <c r="P151" s="315"/>
      <c r="Q151" s="315"/>
      <c r="R151" s="315"/>
      <c r="S151" s="5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c r="BM151" s="55"/>
      <c r="BN151" s="55"/>
      <c r="BO151" s="55"/>
      <c r="BP151" s="55"/>
      <c r="BQ151" s="55"/>
      <c r="BR151" s="55"/>
      <c r="BS151" s="55"/>
      <c r="BT151" s="55"/>
      <c r="BU151" s="55"/>
      <c r="BV151" s="55"/>
      <c r="BW151" s="55"/>
      <c r="BX151" s="55"/>
      <c r="BY151" s="55"/>
      <c r="BZ151" s="55"/>
      <c r="CA151" s="55"/>
      <c r="CB151" s="55"/>
      <c r="CC151" s="55"/>
      <c r="CD151" s="55"/>
      <c r="CE151" s="55"/>
      <c r="CF151" s="55"/>
      <c r="CG151" s="55"/>
      <c r="CH151" s="55"/>
      <c r="CI151" s="55"/>
      <c r="CJ151" s="55"/>
      <c r="CK151" s="55"/>
      <c r="CL151" s="55"/>
      <c r="CM151" s="55"/>
      <c r="CN151" s="55"/>
      <c r="CO151" s="55"/>
      <c r="CP151" s="55"/>
      <c r="CQ151" s="55"/>
      <c r="CR151" s="55"/>
      <c r="CS151" s="55"/>
      <c r="CT151" s="55"/>
      <c r="CU151" s="55"/>
      <c r="CV151" s="55"/>
      <c r="CW151" s="55"/>
      <c r="CX151" s="55"/>
      <c r="CY151" s="55"/>
      <c r="CZ151" s="55"/>
      <c r="DA151" s="55"/>
      <c r="DB151" s="55"/>
      <c r="DC151" s="55"/>
      <c r="DD151" s="55"/>
      <c r="DE151" s="55"/>
      <c r="DF151" s="55"/>
      <c r="DG151" s="55"/>
      <c r="DH151" s="55"/>
      <c r="DI151" s="55"/>
    </row>
    <row r="152" spans="1:113" x14ac:dyDescent="0.25">
      <c r="A152" s="170">
        <v>9</v>
      </c>
      <c r="B152" s="231"/>
      <c r="C152" s="122"/>
      <c r="D152" s="233">
        <v>0</v>
      </c>
      <c r="E152" s="43">
        <v>0</v>
      </c>
      <c r="F152" s="251">
        <f>2000-2000+3000-3000</f>
        <v>0</v>
      </c>
      <c r="G152" s="249">
        <f t="shared" si="94"/>
        <v>0</v>
      </c>
      <c r="H152" s="169">
        <f>199+2150+100-2449</f>
        <v>0</v>
      </c>
      <c r="I152" s="109">
        <f t="shared" si="95"/>
        <v>0</v>
      </c>
      <c r="J152" s="109">
        <f t="shared" si="96"/>
        <v>0</v>
      </c>
      <c r="K152" s="110">
        <f t="shared" si="97"/>
        <v>0</v>
      </c>
      <c r="L152"/>
      <c r="M152" s="314">
        <f t="shared" si="89"/>
        <v>0</v>
      </c>
      <c r="N152" s="310"/>
      <c r="O152" s="315"/>
      <c r="P152" s="315"/>
      <c r="Q152" s="315"/>
      <c r="R152" s="31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5"/>
      <c r="AS152" s="55"/>
      <c r="AT152" s="55"/>
      <c r="AU152" s="55"/>
      <c r="AV152" s="55"/>
      <c r="AW152" s="55"/>
      <c r="AX152" s="55"/>
      <c r="AY152" s="55"/>
      <c r="AZ152" s="55"/>
      <c r="BA152" s="55"/>
      <c r="BB152" s="55"/>
      <c r="BC152" s="55"/>
      <c r="BD152" s="55"/>
      <c r="BE152" s="55"/>
      <c r="BF152" s="55"/>
      <c r="BG152" s="55"/>
      <c r="BH152" s="55"/>
      <c r="BI152" s="55"/>
      <c r="BJ152" s="55"/>
      <c r="BK152" s="55"/>
      <c r="BL152" s="55"/>
      <c r="BM152" s="55"/>
      <c r="BN152" s="55"/>
      <c r="BO152" s="55"/>
      <c r="BP152" s="55"/>
      <c r="BQ152" s="55"/>
      <c r="BR152" s="55"/>
      <c r="BS152" s="55"/>
      <c r="BT152" s="55"/>
      <c r="BU152" s="55"/>
      <c r="BV152" s="55"/>
      <c r="BW152" s="55"/>
      <c r="BX152" s="55"/>
      <c r="BY152" s="55"/>
      <c r="BZ152" s="55"/>
      <c r="CA152" s="55"/>
      <c r="CB152" s="55"/>
      <c r="CC152" s="55"/>
      <c r="CD152" s="55"/>
      <c r="CE152" s="55"/>
      <c r="CF152" s="55"/>
      <c r="CG152" s="55"/>
      <c r="CH152" s="55"/>
      <c r="CI152" s="55"/>
      <c r="CJ152" s="55"/>
      <c r="CK152" s="55"/>
      <c r="CL152" s="55"/>
      <c r="CM152" s="55"/>
      <c r="CN152" s="55"/>
      <c r="CO152" s="55"/>
      <c r="CP152" s="55"/>
      <c r="CQ152" s="55"/>
      <c r="CR152" s="55"/>
      <c r="CS152" s="55"/>
      <c r="CT152" s="55"/>
      <c r="CU152" s="55"/>
      <c r="CV152" s="55"/>
      <c r="CW152" s="55"/>
      <c r="CX152" s="55"/>
      <c r="CY152" s="55"/>
      <c r="CZ152" s="55"/>
      <c r="DA152" s="55"/>
      <c r="DB152" s="55"/>
      <c r="DC152" s="55"/>
      <c r="DD152" s="55"/>
      <c r="DE152" s="55"/>
      <c r="DF152" s="55"/>
      <c r="DG152" s="55"/>
      <c r="DH152" s="55"/>
      <c r="DI152" s="55"/>
    </row>
    <row r="153" spans="1:113" x14ac:dyDescent="0.25">
      <c r="A153" s="152">
        <v>10</v>
      </c>
      <c r="B153" s="213"/>
      <c r="C153" s="43"/>
      <c r="D153" s="233">
        <v>0</v>
      </c>
      <c r="E153" s="43">
        <v>0</v>
      </c>
      <c r="F153" s="244">
        <f>450-450</f>
        <v>0</v>
      </c>
      <c r="G153" s="249">
        <f t="shared" si="94"/>
        <v>0</v>
      </c>
      <c r="H153" s="139">
        <f>200+250-450</f>
        <v>0</v>
      </c>
      <c r="I153" s="109">
        <f t="shared" si="95"/>
        <v>0</v>
      </c>
      <c r="J153" s="109">
        <f t="shared" si="96"/>
        <v>0</v>
      </c>
      <c r="K153" s="110">
        <f t="shared" si="97"/>
        <v>0</v>
      </c>
      <c r="L153"/>
      <c r="M153" s="314">
        <f t="shared" si="89"/>
        <v>0</v>
      </c>
      <c r="N153" s="310"/>
      <c r="O153" s="315"/>
      <c r="P153" s="315"/>
      <c r="Q153" s="315"/>
      <c r="R153" s="315"/>
      <c r="S153" s="55"/>
      <c r="T153" s="55"/>
      <c r="U153" s="55"/>
      <c r="V153" s="55"/>
      <c r="W153" s="55"/>
      <c r="X153" s="55"/>
      <c r="Y153" s="55"/>
      <c r="Z153" s="55"/>
      <c r="AA153" s="55"/>
      <c r="AB153" s="55"/>
      <c r="AC153" s="55"/>
      <c r="AD153" s="55"/>
      <c r="AE153" s="55"/>
      <c r="AF153" s="55"/>
      <c r="AG153" s="55"/>
      <c r="AH153" s="55"/>
      <c r="AI153" s="55"/>
      <c r="AJ153" s="55"/>
      <c r="AK153" s="55"/>
      <c r="AL153" s="55"/>
      <c r="AM153" s="55"/>
      <c r="AN153" s="55"/>
      <c r="AO153" s="55"/>
      <c r="AP153" s="55"/>
      <c r="AQ153" s="55"/>
      <c r="AR153" s="55"/>
      <c r="AS153" s="55"/>
      <c r="AT153" s="55"/>
      <c r="AU153" s="55"/>
      <c r="AV153" s="55"/>
      <c r="AW153" s="55"/>
      <c r="AX153" s="55"/>
      <c r="AY153" s="55"/>
      <c r="AZ153" s="55"/>
      <c r="BA153" s="55"/>
      <c r="BB153" s="55"/>
      <c r="BC153" s="55"/>
      <c r="BD153" s="55"/>
      <c r="BE153" s="55"/>
      <c r="BF153" s="55"/>
      <c r="BG153" s="55"/>
      <c r="BH153" s="55"/>
      <c r="BI153" s="55"/>
      <c r="BJ153" s="55"/>
      <c r="BK153" s="55"/>
      <c r="BL153" s="55"/>
      <c r="BM153" s="55"/>
      <c r="BN153" s="55"/>
      <c r="BO153" s="55"/>
      <c r="BP153" s="55"/>
      <c r="BQ153" s="55"/>
      <c r="BR153" s="55"/>
      <c r="BS153" s="55"/>
      <c r="BT153" s="55"/>
      <c r="BU153" s="55"/>
      <c r="BV153" s="55"/>
      <c r="BW153" s="55"/>
      <c r="BX153" s="55"/>
      <c r="BY153" s="55"/>
      <c r="BZ153" s="55"/>
      <c r="CA153" s="55"/>
      <c r="CB153" s="55"/>
      <c r="CC153" s="55"/>
      <c r="CD153" s="55"/>
      <c r="CE153" s="55"/>
      <c r="CF153" s="55"/>
      <c r="CG153" s="55"/>
      <c r="CH153" s="55"/>
      <c r="CI153" s="55"/>
      <c r="CJ153" s="55"/>
      <c r="CK153" s="55"/>
      <c r="CL153" s="55"/>
      <c r="CM153" s="55"/>
      <c r="CN153" s="55"/>
      <c r="CO153" s="55"/>
      <c r="CP153" s="55"/>
      <c r="CQ153" s="55"/>
      <c r="CR153" s="55"/>
      <c r="CS153" s="55"/>
      <c r="CT153" s="55"/>
      <c r="CU153" s="55"/>
      <c r="CV153" s="55"/>
      <c r="CW153" s="55"/>
      <c r="CX153" s="55"/>
      <c r="CY153" s="55"/>
      <c r="CZ153" s="55"/>
      <c r="DA153" s="55"/>
      <c r="DB153" s="55"/>
      <c r="DC153" s="55"/>
      <c r="DD153" s="55"/>
      <c r="DE153" s="55"/>
      <c r="DF153" s="55"/>
      <c r="DG153" s="55"/>
      <c r="DH153" s="55"/>
      <c r="DI153" s="55"/>
    </row>
    <row r="154" spans="1:113" x14ac:dyDescent="0.25">
      <c r="A154" s="152">
        <v>11</v>
      </c>
      <c r="B154" s="213"/>
      <c r="C154" s="43"/>
      <c r="D154" s="233">
        <v>0</v>
      </c>
      <c r="E154" s="43">
        <v>0</v>
      </c>
      <c r="F154" s="244">
        <f>100-100</f>
        <v>0</v>
      </c>
      <c r="G154" s="249">
        <f t="shared" si="94"/>
        <v>0</v>
      </c>
      <c r="H154" s="139">
        <f>100-100</f>
        <v>0</v>
      </c>
      <c r="I154" s="109">
        <f t="shared" si="95"/>
        <v>0</v>
      </c>
      <c r="J154" s="109">
        <f t="shared" si="96"/>
        <v>0</v>
      </c>
      <c r="K154" s="110">
        <f t="shared" si="97"/>
        <v>0</v>
      </c>
      <c r="L154"/>
      <c r="M154" s="314">
        <f t="shared" si="89"/>
        <v>0</v>
      </c>
      <c r="N154" s="310"/>
      <c r="O154" s="315"/>
      <c r="P154" s="315"/>
      <c r="Q154" s="315"/>
      <c r="R154" s="315"/>
      <c r="S154" s="55"/>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c r="AT154" s="55"/>
      <c r="AU154" s="55"/>
      <c r="AV154" s="55"/>
      <c r="AW154" s="55"/>
      <c r="AX154" s="55"/>
      <c r="AY154" s="55"/>
      <c r="AZ154" s="55"/>
      <c r="BA154" s="55"/>
      <c r="BB154" s="55"/>
      <c r="BC154" s="55"/>
      <c r="BD154" s="55"/>
      <c r="BE154" s="55"/>
      <c r="BF154" s="55"/>
      <c r="BG154" s="55"/>
      <c r="BH154" s="55"/>
      <c r="BI154" s="55"/>
      <c r="BJ154" s="55"/>
      <c r="BK154" s="55"/>
      <c r="BL154" s="55"/>
      <c r="BM154" s="55"/>
      <c r="BN154" s="55"/>
      <c r="BO154" s="55"/>
      <c r="BP154" s="55"/>
      <c r="BQ154" s="55"/>
      <c r="BR154" s="55"/>
      <c r="BS154" s="55"/>
      <c r="BT154" s="55"/>
      <c r="BU154" s="55"/>
      <c r="BV154" s="55"/>
      <c r="BW154" s="55"/>
      <c r="BX154" s="55"/>
      <c r="BY154" s="55"/>
      <c r="BZ154" s="55"/>
      <c r="CA154" s="55"/>
      <c r="CB154" s="55"/>
      <c r="CC154" s="55"/>
      <c r="CD154" s="55"/>
      <c r="CE154" s="55"/>
      <c r="CF154" s="55"/>
      <c r="CG154" s="55"/>
      <c r="CH154" s="55"/>
      <c r="CI154" s="55"/>
      <c r="CJ154" s="55"/>
      <c r="CK154" s="55"/>
      <c r="CL154" s="55"/>
      <c r="CM154" s="55"/>
      <c r="CN154" s="55"/>
      <c r="CO154" s="55"/>
      <c r="CP154" s="55"/>
      <c r="CQ154" s="55"/>
      <c r="CR154" s="55"/>
      <c r="CS154" s="55"/>
      <c r="CT154" s="55"/>
      <c r="CU154" s="55"/>
      <c r="CV154" s="55"/>
      <c r="CW154" s="55"/>
      <c r="CX154" s="55"/>
      <c r="CY154" s="55"/>
      <c r="CZ154" s="55"/>
      <c r="DA154" s="55"/>
      <c r="DB154" s="55"/>
      <c r="DC154" s="55"/>
      <c r="DD154" s="55"/>
      <c r="DE154" s="55"/>
      <c r="DF154" s="55"/>
      <c r="DG154" s="55"/>
      <c r="DH154" s="55"/>
      <c r="DI154" s="55"/>
    </row>
    <row r="155" spans="1:113" x14ac:dyDescent="0.25">
      <c r="A155" s="152">
        <v>12</v>
      </c>
      <c r="B155" s="213"/>
      <c r="C155" s="43"/>
      <c r="D155" s="233">
        <v>0</v>
      </c>
      <c r="E155" s="43">
        <v>0</v>
      </c>
      <c r="F155" s="213">
        <f>861-861</f>
        <v>0</v>
      </c>
      <c r="G155" s="194">
        <f t="shared" si="94"/>
        <v>0</v>
      </c>
      <c r="H155" s="55">
        <f>861-861</f>
        <v>0</v>
      </c>
      <c r="I155" s="109">
        <f t="shared" si="95"/>
        <v>0</v>
      </c>
      <c r="J155" s="109">
        <f t="shared" si="96"/>
        <v>0</v>
      </c>
      <c r="K155" s="110">
        <f t="shared" si="97"/>
        <v>0</v>
      </c>
      <c r="L155"/>
      <c r="M155" s="314">
        <f t="shared" si="89"/>
        <v>0</v>
      </c>
      <c r="N155" s="310"/>
      <c r="O155" s="315"/>
      <c r="P155" s="315"/>
      <c r="Q155" s="315"/>
      <c r="R155" s="315"/>
      <c r="S155" s="55"/>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c r="AS155" s="55"/>
      <c r="AT155" s="55"/>
      <c r="AU155" s="55"/>
      <c r="AV155" s="55"/>
      <c r="AW155" s="55"/>
      <c r="AX155" s="55"/>
      <c r="AY155" s="55"/>
      <c r="AZ155" s="55"/>
      <c r="BA155" s="55"/>
      <c r="BB155" s="55"/>
      <c r="BC155" s="55"/>
      <c r="BD155" s="55"/>
      <c r="BE155" s="55"/>
      <c r="BF155" s="55"/>
      <c r="BG155" s="55"/>
      <c r="BH155" s="55"/>
      <c r="BI155" s="55"/>
      <c r="BJ155" s="55"/>
      <c r="BK155" s="55"/>
      <c r="BL155" s="55"/>
      <c r="BM155" s="55"/>
      <c r="BN155" s="55"/>
      <c r="BO155" s="55"/>
      <c r="BP155" s="55"/>
      <c r="BQ155" s="55"/>
      <c r="BR155" s="55"/>
      <c r="BS155" s="55"/>
      <c r="BT155" s="55"/>
      <c r="BU155" s="55"/>
      <c r="BV155" s="55"/>
      <c r="BW155" s="55"/>
      <c r="BX155" s="55"/>
      <c r="BY155" s="55"/>
      <c r="BZ155" s="55"/>
      <c r="CA155" s="55"/>
      <c r="CB155" s="55"/>
      <c r="CC155" s="55"/>
      <c r="CD155" s="55"/>
      <c r="CE155" s="55"/>
      <c r="CF155" s="55"/>
      <c r="CG155" s="55"/>
      <c r="CH155" s="55"/>
      <c r="CI155" s="55"/>
      <c r="CJ155" s="55"/>
      <c r="CK155" s="55"/>
      <c r="CL155" s="55"/>
      <c r="CM155" s="55"/>
      <c r="CN155" s="55"/>
      <c r="CO155" s="55"/>
      <c r="CP155" s="55"/>
      <c r="CQ155" s="55"/>
      <c r="CR155" s="55"/>
      <c r="CS155" s="55"/>
      <c r="CT155" s="55"/>
      <c r="CU155" s="55"/>
      <c r="CV155" s="55"/>
      <c r="CW155" s="55"/>
      <c r="CX155" s="55"/>
      <c r="CY155" s="55"/>
      <c r="CZ155" s="55"/>
      <c r="DA155" s="55"/>
      <c r="DB155" s="55"/>
      <c r="DC155" s="55"/>
      <c r="DD155" s="55"/>
      <c r="DE155" s="55"/>
      <c r="DF155" s="55"/>
      <c r="DG155" s="55"/>
      <c r="DH155" s="55"/>
      <c r="DI155" s="55"/>
    </row>
    <row r="156" spans="1:113" x14ac:dyDescent="0.25">
      <c r="A156" s="152">
        <v>13</v>
      </c>
      <c r="B156" s="213"/>
      <c r="C156" s="43"/>
      <c r="D156" s="233">
        <v>0</v>
      </c>
      <c r="E156" s="43">
        <v>0</v>
      </c>
      <c r="F156" s="213">
        <f>1500-1500</f>
        <v>0</v>
      </c>
      <c r="G156" s="194">
        <f t="shared" si="94"/>
        <v>0</v>
      </c>
      <c r="H156" s="55">
        <f>1500-1500</f>
        <v>0</v>
      </c>
      <c r="I156" s="109">
        <f t="shared" si="95"/>
        <v>0</v>
      </c>
      <c r="J156" s="109">
        <f t="shared" si="96"/>
        <v>0</v>
      </c>
      <c r="K156" s="110">
        <f t="shared" si="97"/>
        <v>0</v>
      </c>
      <c r="L156"/>
      <c r="M156" s="314">
        <f t="shared" si="89"/>
        <v>0</v>
      </c>
      <c r="N156" s="310"/>
      <c r="O156" s="315"/>
      <c r="P156" s="315"/>
      <c r="Q156" s="315"/>
      <c r="R156" s="315"/>
      <c r="S156" s="55"/>
      <c r="T156" s="55"/>
      <c r="U156" s="55"/>
      <c r="V156" s="55"/>
      <c r="W156" s="55"/>
      <c r="X156" s="55"/>
      <c r="Y156" s="55"/>
      <c r="Z156" s="55"/>
      <c r="AA156" s="55"/>
      <c r="AB156" s="55"/>
      <c r="AC156" s="55"/>
      <c r="AD156" s="55"/>
      <c r="AE156" s="55"/>
      <c r="AF156" s="55"/>
      <c r="AG156" s="55"/>
      <c r="AH156" s="55"/>
      <c r="AI156" s="55"/>
      <c r="AJ156" s="55"/>
      <c r="AK156" s="55"/>
      <c r="AL156" s="55"/>
      <c r="AM156" s="55"/>
      <c r="AN156" s="55"/>
      <c r="AO156" s="55"/>
      <c r="AP156" s="55"/>
      <c r="AQ156" s="55"/>
      <c r="AR156" s="55"/>
      <c r="AS156" s="55"/>
      <c r="AT156" s="55"/>
      <c r="AU156" s="55"/>
      <c r="AV156" s="55"/>
      <c r="AW156" s="55"/>
      <c r="AX156" s="55"/>
      <c r="AY156" s="55"/>
      <c r="AZ156" s="55"/>
      <c r="BA156" s="55"/>
      <c r="BB156" s="55"/>
      <c r="BC156" s="55"/>
      <c r="BD156" s="55"/>
      <c r="BE156" s="55"/>
      <c r="BF156" s="55"/>
      <c r="BG156" s="55"/>
      <c r="BH156" s="55"/>
      <c r="BI156" s="55"/>
      <c r="BJ156" s="55"/>
      <c r="BK156" s="55"/>
      <c r="BL156" s="55"/>
      <c r="BM156" s="55"/>
      <c r="BN156" s="55"/>
      <c r="BO156" s="55"/>
      <c r="BP156" s="55"/>
      <c r="BQ156" s="55"/>
      <c r="BR156" s="55"/>
      <c r="BS156" s="55"/>
      <c r="BT156" s="55"/>
      <c r="BU156" s="55"/>
      <c r="BV156" s="55"/>
      <c r="BW156" s="55"/>
      <c r="BX156" s="55"/>
      <c r="BY156" s="55"/>
      <c r="BZ156" s="55"/>
      <c r="CA156" s="55"/>
      <c r="CB156" s="55"/>
      <c r="CC156" s="55"/>
      <c r="CD156" s="55"/>
      <c r="CE156" s="55"/>
      <c r="CF156" s="55"/>
      <c r="CG156" s="55"/>
      <c r="CH156" s="55"/>
      <c r="CI156" s="55"/>
      <c r="CJ156" s="55"/>
      <c r="CK156" s="55"/>
      <c r="CL156" s="55"/>
      <c r="CM156" s="55"/>
      <c r="CN156" s="55"/>
      <c r="CO156" s="55"/>
      <c r="CP156" s="55"/>
      <c r="CQ156" s="55"/>
      <c r="CR156" s="55"/>
      <c r="CS156" s="55"/>
      <c r="CT156" s="55"/>
      <c r="CU156" s="55"/>
      <c r="CV156" s="55"/>
      <c r="CW156" s="55"/>
      <c r="CX156" s="55"/>
      <c r="CY156" s="55"/>
      <c r="CZ156" s="55"/>
      <c r="DA156" s="55"/>
      <c r="DB156" s="55"/>
      <c r="DC156" s="55"/>
      <c r="DD156" s="55"/>
      <c r="DE156" s="55"/>
      <c r="DF156" s="55"/>
      <c r="DG156" s="55"/>
      <c r="DH156" s="55"/>
      <c r="DI156" s="55"/>
    </row>
    <row r="157" spans="1:113" ht="15.75" thickBot="1" x14ac:dyDescent="0.3">
      <c r="A157" s="153"/>
      <c r="B157" s="214"/>
      <c r="C157" s="154"/>
      <c r="D157" s="192"/>
      <c r="E157" s="154"/>
      <c r="F157" s="214"/>
      <c r="G157" s="197"/>
      <c r="H157" s="58"/>
      <c r="I157" s="64"/>
      <c r="J157" s="64"/>
      <c r="K157" s="65"/>
      <c r="L157"/>
      <c r="M157" s="314">
        <f t="shared" si="89"/>
        <v>0</v>
      </c>
      <c r="N157" s="310"/>
      <c r="O157" s="315"/>
      <c r="P157" s="315"/>
      <c r="Q157" s="315"/>
      <c r="R157" s="315"/>
      <c r="S157" s="55"/>
      <c r="T157" s="55"/>
      <c r="U157" s="55"/>
      <c r="V157" s="55"/>
      <c r="W157" s="55"/>
      <c r="X157" s="55"/>
      <c r="Y157" s="55"/>
      <c r="Z157" s="55"/>
      <c r="AA157" s="55"/>
      <c r="AB157" s="55"/>
      <c r="AC157" s="55"/>
      <c r="AD157" s="55"/>
      <c r="AE157" s="55"/>
      <c r="AF157" s="55"/>
      <c r="AG157" s="55"/>
      <c r="AH157" s="55"/>
      <c r="AI157" s="55"/>
      <c r="AJ157" s="55"/>
      <c r="AK157" s="55"/>
      <c r="AL157" s="55"/>
      <c r="AM157" s="55"/>
      <c r="AN157" s="55"/>
      <c r="AO157" s="55"/>
      <c r="AP157" s="55"/>
      <c r="AQ157" s="55"/>
      <c r="AR157" s="55"/>
      <c r="AS157" s="55"/>
      <c r="AT157" s="55"/>
      <c r="AU157" s="55"/>
      <c r="AV157" s="55"/>
      <c r="AW157" s="55"/>
      <c r="AX157" s="55"/>
      <c r="AY157" s="55"/>
      <c r="AZ157" s="55"/>
      <c r="BA157" s="55"/>
      <c r="BB157" s="55"/>
      <c r="BC157" s="55"/>
      <c r="BD157" s="55"/>
      <c r="BE157" s="55"/>
      <c r="BF157" s="55"/>
      <c r="BG157" s="55"/>
      <c r="BH157" s="55"/>
      <c r="BI157" s="55"/>
      <c r="BJ157" s="55"/>
      <c r="BK157" s="55"/>
      <c r="BL157" s="55"/>
      <c r="BM157" s="55"/>
      <c r="BN157" s="55"/>
      <c r="BO157" s="55"/>
      <c r="BP157" s="55"/>
      <c r="BQ157" s="55"/>
      <c r="BR157" s="55"/>
      <c r="BS157" s="55"/>
      <c r="BT157" s="55"/>
      <c r="BU157" s="55"/>
      <c r="BV157" s="55"/>
      <c r="BW157" s="55"/>
      <c r="BX157" s="55"/>
      <c r="BY157" s="55"/>
      <c r="BZ157" s="55"/>
      <c r="CA157" s="55"/>
      <c r="CB157" s="55"/>
      <c r="CC157" s="55"/>
      <c r="CD157" s="55"/>
      <c r="CE157" s="55"/>
      <c r="CF157" s="55"/>
      <c r="CG157" s="55"/>
      <c r="CH157" s="55"/>
      <c r="CI157" s="55"/>
      <c r="CJ157" s="55"/>
      <c r="CK157" s="55"/>
      <c r="CL157" s="55"/>
      <c r="CM157" s="55"/>
      <c r="CN157" s="55"/>
      <c r="CO157" s="55"/>
      <c r="CP157" s="55"/>
      <c r="CQ157" s="55"/>
      <c r="CR157" s="55"/>
      <c r="CS157" s="55"/>
      <c r="CT157" s="55"/>
      <c r="CU157" s="55"/>
      <c r="CV157" s="55"/>
      <c r="CW157" s="55"/>
      <c r="CX157" s="55"/>
      <c r="CY157" s="55"/>
      <c r="CZ157" s="55"/>
      <c r="DA157" s="55"/>
      <c r="DB157" s="55"/>
      <c r="DC157" s="55"/>
      <c r="DD157" s="55"/>
      <c r="DE157" s="55"/>
      <c r="DF157" s="55"/>
      <c r="DG157" s="55"/>
      <c r="DH157" s="55"/>
      <c r="DI157" s="55"/>
    </row>
    <row r="158" spans="1:113" ht="15.75" thickBot="1" x14ac:dyDescent="0.3">
      <c r="A158" s="128"/>
      <c r="B158" s="119" t="s">
        <v>882</v>
      </c>
      <c r="C158" s="36"/>
      <c r="D158" s="36"/>
      <c r="E158" s="29">
        <f t="shared" ref="E158:K158" si="98">SUM(E144:E157)</f>
        <v>0</v>
      </c>
      <c r="F158" s="29">
        <f t="shared" si="98"/>
        <v>0</v>
      </c>
      <c r="G158" s="29">
        <f t="shared" si="98"/>
        <v>0</v>
      </c>
      <c r="H158" s="29">
        <f t="shared" si="98"/>
        <v>0</v>
      </c>
      <c r="I158" s="29">
        <f t="shared" si="98"/>
        <v>0</v>
      </c>
      <c r="J158" s="29">
        <f t="shared" si="98"/>
        <v>0</v>
      </c>
      <c r="K158" s="47">
        <f t="shared" si="98"/>
        <v>0</v>
      </c>
      <c r="L158"/>
      <c r="M158" s="322">
        <f t="shared" si="89"/>
        <v>0</v>
      </c>
      <c r="N158" s="325"/>
      <c r="O158" s="325"/>
      <c r="P158" s="325"/>
      <c r="Q158" s="325"/>
      <c r="R158" s="325"/>
      <c r="S158" s="324"/>
      <c r="T158" s="324"/>
      <c r="U158" s="324"/>
      <c r="V158" s="324"/>
      <c r="W158" s="324"/>
      <c r="X158" s="324"/>
      <c r="Y158" s="324"/>
      <c r="Z158" s="324"/>
      <c r="AA158" s="324"/>
      <c r="AB158" s="324"/>
      <c r="AC158" s="324"/>
      <c r="AD158" s="324"/>
      <c r="AE158" s="324"/>
      <c r="AF158" s="324"/>
      <c r="AG158" s="324"/>
      <c r="AH158" s="324"/>
      <c r="AI158" s="324"/>
      <c r="AJ158" s="324"/>
      <c r="AK158" s="324"/>
      <c r="AL158" s="324"/>
      <c r="AM158" s="324"/>
      <c r="AN158" s="324"/>
      <c r="AO158" s="324"/>
      <c r="AP158" s="324"/>
      <c r="AQ158" s="324"/>
      <c r="AR158" s="324"/>
      <c r="AS158" s="324"/>
      <c r="AT158" s="324"/>
      <c r="AU158" s="324"/>
      <c r="AV158" s="324"/>
      <c r="AW158" s="324"/>
      <c r="AX158" s="324"/>
      <c r="AY158" s="324"/>
      <c r="AZ158" s="324"/>
      <c r="BA158" s="324"/>
      <c r="BB158" s="324"/>
      <c r="BC158" s="324"/>
      <c r="BD158" s="324"/>
      <c r="BE158" s="324"/>
      <c r="BF158" s="324"/>
      <c r="BG158" s="324"/>
      <c r="BH158" s="324"/>
      <c r="BI158" s="324"/>
      <c r="BJ158" s="324"/>
      <c r="BK158" s="324"/>
      <c r="BL158" s="324"/>
      <c r="BM158" s="324"/>
      <c r="BN158" s="324"/>
      <c r="BO158" s="324"/>
      <c r="BP158" s="324"/>
      <c r="BQ158" s="324"/>
      <c r="BR158" s="324"/>
      <c r="BS158" s="324"/>
      <c r="BT158" s="324"/>
      <c r="BU158" s="324"/>
      <c r="BV158" s="324"/>
      <c r="BW158" s="324"/>
      <c r="BX158" s="324"/>
      <c r="BY158" s="324"/>
      <c r="BZ158" s="324"/>
      <c r="CA158" s="324"/>
      <c r="CB158" s="324"/>
      <c r="CC158" s="324"/>
      <c r="CD158" s="324"/>
      <c r="CE158" s="324"/>
      <c r="CF158" s="324"/>
      <c r="CG158" s="324"/>
      <c r="CH158" s="324"/>
      <c r="CI158" s="324"/>
      <c r="CJ158" s="324"/>
      <c r="CK158" s="324"/>
      <c r="CL158" s="324"/>
      <c r="CM158" s="324"/>
      <c r="CN158" s="324"/>
      <c r="CO158" s="324"/>
      <c r="CP158" s="324"/>
      <c r="CQ158" s="324"/>
      <c r="CR158" s="324"/>
      <c r="CS158" s="324"/>
      <c r="CT158" s="324"/>
      <c r="CU158" s="324"/>
      <c r="CV158" s="324"/>
      <c r="CW158" s="324"/>
      <c r="CX158" s="324"/>
      <c r="CY158" s="324"/>
      <c r="CZ158" s="324"/>
      <c r="DA158" s="324"/>
      <c r="DB158" s="324"/>
      <c r="DC158" s="324"/>
      <c r="DD158" s="324"/>
      <c r="DE158" s="324"/>
      <c r="DF158" s="324"/>
      <c r="DG158" s="324"/>
      <c r="DH158" s="324"/>
      <c r="DI158" s="324"/>
    </row>
    <row r="159" spans="1:113" x14ac:dyDescent="0.25">
      <c r="L159"/>
      <c r="M159"/>
      <c r="N159"/>
      <c r="O159"/>
      <c r="P159"/>
      <c r="Q159"/>
      <c r="R159"/>
      <c r="S159"/>
      <c r="T159"/>
      <c r="U159"/>
      <c r="V159"/>
      <c r="W159"/>
      <c r="X159"/>
      <c r="Y159"/>
      <c r="Z159"/>
    </row>
    <row r="160" spans="1:113" ht="15.75" thickBot="1" x14ac:dyDescent="0.3">
      <c r="A160" s="103" t="s">
        <v>717</v>
      </c>
      <c r="L160"/>
      <c r="M160"/>
      <c r="N160"/>
      <c r="O160"/>
      <c r="P160"/>
      <c r="Q160"/>
      <c r="R160"/>
      <c r="S160"/>
      <c r="T160"/>
      <c r="U160"/>
      <c r="V160"/>
      <c r="W160"/>
      <c r="X160"/>
      <c r="Y160"/>
      <c r="Z160"/>
    </row>
    <row r="161" spans="1:26" ht="15.75" thickBot="1" x14ac:dyDescent="0.3">
      <c r="A161" s="128"/>
      <c r="B161" s="41" t="s">
        <v>884</v>
      </c>
      <c r="C161" s="41"/>
      <c r="D161" s="41"/>
      <c r="E161" s="38">
        <f>+E28+E45+E55+E66+E73+E81+E91+E99+E110+E118+E138+E158</f>
        <v>7159</v>
      </c>
      <c r="F161" s="38">
        <f t="shared" ref="F161:J161" si="99">+F28+F45+F55+F66+F73+F81+F91+F99+F110+F118+F138+F158</f>
        <v>0</v>
      </c>
      <c r="G161" s="38">
        <f t="shared" si="99"/>
        <v>7159</v>
      </c>
      <c r="H161" s="38">
        <f t="shared" si="99"/>
        <v>50</v>
      </c>
      <c r="I161" s="38">
        <f t="shared" si="99"/>
        <v>7109</v>
      </c>
      <c r="J161" s="38">
        <f t="shared" si="99"/>
        <v>428288500</v>
      </c>
      <c r="K161" s="255">
        <f>+K28+K45+K55+K66+K73+K81+K91+K99+K110+K118+K138+K158</f>
        <v>72408272.489999995</v>
      </c>
      <c r="L161"/>
      <c r="M161"/>
      <c r="N161"/>
      <c r="O161"/>
      <c r="P161"/>
      <c r="Q161"/>
      <c r="R161"/>
      <c r="S161"/>
      <c r="T161"/>
      <c r="U161"/>
      <c r="V161"/>
      <c r="W161"/>
      <c r="X161"/>
      <c r="Y161"/>
      <c r="Z161"/>
    </row>
    <row r="162" spans="1:26" x14ac:dyDescent="0.25">
      <c r="L162"/>
      <c r="M162"/>
      <c r="N162"/>
      <c r="O162"/>
      <c r="P162"/>
      <c r="Q162"/>
      <c r="R162"/>
      <c r="S162"/>
      <c r="T162"/>
      <c r="U162"/>
      <c r="V162"/>
      <c r="W162"/>
      <c r="X162"/>
      <c r="Y162"/>
      <c r="Z162"/>
    </row>
    <row r="163" spans="1:26" x14ac:dyDescent="0.25">
      <c r="L163"/>
      <c r="M163"/>
      <c r="N163"/>
      <c r="O163"/>
      <c r="P163"/>
      <c r="Q163"/>
      <c r="R163"/>
      <c r="S163"/>
      <c r="T163"/>
      <c r="U163"/>
      <c r="V163"/>
      <c r="W163"/>
      <c r="X163"/>
      <c r="Y163"/>
      <c r="Z163"/>
    </row>
  </sheetData>
  <mergeCells count="1308">
    <mergeCell ref="J120:J121"/>
    <mergeCell ref="K120:K121"/>
    <mergeCell ref="A120:A122"/>
    <mergeCell ref="B120:B121"/>
    <mergeCell ref="C120:C121"/>
    <mergeCell ref="D120:D121"/>
    <mergeCell ref="E120:I120"/>
    <mergeCell ref="K83:K84"/>
    <mergeCell ref="A93:A95"/>
    <mergeCell ref="B93:B94"/>
    <mergeCell ref="C93:C94"/>
    <mergeCell ref="D93:D94"/>
    <mergeCell ref="J93:J94"/>
    <mergeCell ref="K93:K94"/>
    <mergeCell ref="A83:A85"/>
    <mergeCell ref="B83:B84"/>
    <mergeCell ref="C83:C84"/>
    <mergeCell ref="D83:D84"/>
    <mergeCell ref="J83:J84"/>
    <mergeCell ref="E83:I83"/>
    <mergeCell ref="E93:I93"/>
    <mergeCell ref="K101:K102"/>
    <mergeCell ref="A112:A114"/>
    <mergeCell ref="B112:B113"/>
    <mergeCell ref="C112:C113"/>
    <mergeCell ref="D112:D113"/>
    <mergeCell ref="J112:J113"/>
    <mergeCell ref="K112:K113"/>
    <mergeCell ref="A101:A103"/>
    <mergeCell ref="B101:B102"/>
    <mergeCell ref="C101:C102"/>
    <mergeCell ref="D101:D102"/>
    <mergeCell ref="J101:J102"/>
    <mergeCell ref="E101:I101"/>
    <mergeCell ref="E112:I112"/>
    <mergeCell ref="J47:J48"/>
    <mergeCell ref="E47:I47"/>
    <mergeCell ref="E57:I57"/>
    <mergeCell ref="K68:K69"/>
    <mergeCell ref="A75:A77"/>
    <mergeCell ref="B75:B76"/>
    <mergeCell ref="C75:C76"/>
    <mergeCell ref="D75:D76"/>
    <mergeCell ref="J75:J76"/>
    <mergeCell ref="K75:K76"/>
    <mergeCell ref="A68:A70"/>
    <mergeCell ref="B68:B69"/>
    <mergeCell ref="C68:C69"/>
    <mergeCell ref="D68:D69"/>
    <mergeCell ref="J68:J69"/>
    <mergeCell ref="E75:I75"/>
    <mergeCell ref="E68:I68"/>
    <mergeCell ref="J140:J141"/>
    <mergeCell ref="K140:K141"/>
    <mergeCell ref="A140:A142"/>
    <mergeCell ref="B140:B141"/>
    <mergeCell ref="C140:C141"/>
    <mergeCell ref="D140:D141"/>
    <mergeCell ref="E140:I140"/>
    <mergeCell ref="K3:K4"/>
    <mergeCell ref="A30:A32"/>
    <mergeCell ref="B30:B31"/>
    <mergeCell ref="C30:C31"/>
    <mergeCell ref="D30:D31"/>
    <mergeCell ref="J30:J31"/>
    <mergeCell ref="K30:K31"/>
    <mergeCell ref="A3:A5"/>
    <mergeCell ref="B3:B4"/>
    <mergeCell ref="C3:C4"/>
    <mergeCell ref="D3:D4"/>
    <mergeCell ref="J3:J4"/>
    <mergeCell ref="E3:I3"/>
    <mergeCell ref="E30:I30"/>
    <mergeCell ref="K47:K48"/>
    <mergeCell ref="A57:A59"/>
    <mergeCell ref="B57:B58"/>
    <mergeCell ref="C57:C58"/>
    <mergeCell ref="D57:D58"/>
    <mergeCell ref="J57:J58"/>
    <mergeCell ref="K57:K58"/>
    <mergeCell ref="A47:A49"/>
    <mergeCell ref="B47:B48"/>
    <mergeCell ref="C47:C48"/>
    <mergeCell ref="D47:D48"/>
    <mergeCell ref="AG69:AG70"/>
    <mergeCell ref="AH69:AH70"/>
    <mergeCell ref="AI69:AI70"/>
    <mergeCell ref="AJ69:AJ70"/>
    <mergeCell ref="AK69:AK70"/>
    <mergeCell ref="AB69:AB70"/>
    <mergeCell ref="AC69:AC70"/>
    <mergeCell ref="AD69:AD70"/>
    <mergeCell ref="AE69:AE70"/>
    <mergeCell ref="AF69:AF70"/>
    <mergeCell ref="M68:M70"/>
    <mergeCell ref="N68:DI68"/>
    <mergeCell ref="N69:N70"/>
    <mergeCell ref="O69:O70"/>
    <mergeCell ref="P69:P70"/>
    <mergeCell ref="Q69:Q70"/>
    <mergeCell ref="R69:R70"/>
    <mergeCell ref="S69:S70"/>
    <mergeCell ref="T69:T70"/>
    <mergeCell ref="U69:U70"/>
    <mergeCell ref="V69:V70"/>
    <mergeCell ref="W69:W70"/>
    <mergeCell ref="X69:X70"/>
    <mergeCell ref="Y69:Y70"/>
    <mergeCell ref="Z69:Z70"/>
    <mergeCell ref="AA69:AA70"/>
    <mergeCell ref="BA69:BA70"/>
    <mergeCell ref="BB69:BB70"/>
    <mergeCell ref="BC69:BC70"/>
    <mergeCell ref="BD69:BD70"/>
    <mergeCell ref="BE69:BE70"/>
    <mergeCell ref="AV69:AV70"/>
    <mergeCell ref="AW69:AW70"/>
    <mergeCell ref="AX69:AX70"/>
    <mergeCell ref="AY69:AY70"/>
    <mergeCell ref="AZ69:AZ70"/>
    <mergeCell ref="AQ69:AQ70"/>
    <mergeCell ref="AR69:AR70"/>
    <mergeCell ref="AS69:AS70"/>
    <mergeCell ref="AT69:AT70"/>
    <mergeCell ref="AU69:AU70"/>
    <mergeCell ref="AL69:AL70"/>
    <mergeCell ref="AM69:AM70"/>
    <mergeCell ref="AN69:AN70"/>
    <mergeCell ref="AO69:AO70"/>
    <mergeCell ref="AP69:AP70"/>
    <mergeCell ref="BU69:BU70"/>
    <mergeCell ref="BV69:BV70"/>
    <mergeCell ref="BW69:BW70"/>
    <mergeCell ref="BX69:BX70"/>
    <mergeCell ref="BY69:BY70"/>
    <mergeCell ref="BP69:BP70"/>
    <mergeCell ref="BQ69:BQ70"/>
    <mergeCell ref="BR69:BR70"/>
    <mergeCell ref="BS69:BS70"/>
    <mergeCell ref="BT69:BT70"/>
    <mergeCell ref="BK69:BK70"/>
    <mergeCell ref="BL69:BL70"/>
    <mergeCell ref="BM69:BM70"/>
    <mergeCell ref="BN69:BN70"/>
    <mergeCell ref="BO69:BO70"/>
    <mergeCell ref="BF69:BF70"/>
    <mergeCell ref="BG69:BG70"/>
    <mergeCell ref="BH69:BH70"/>
    <mergeCell ref="BI69:BI70"/>
    <mergeCell ref="BJ69:BJ70"/>
    <mergeCell ref="CP69:CP70"/>
    <mergeCell ref="CQ69:CQ70"/>
    <mergeCell ref="CR69:CR70"/>
    <mergeCell ref="CS69:CS70"/>
    <mergeCell ref="CJ69:CJ70"/>
    <mergeCell ref="CK69:CK70"/>
    <mergeCell ref="CL69:CL70"/>
    <mergeCell ref="CM69:CM70"/>
    <mergeCell ref="CN69:CN70"/>
    <mergeCell ref="CE69:CE70"/>
    <mergeCell ref="CF69:CF70"/>
    <mergeCell ref="CG69:CG70"/>
    <mergeCell ref="CH69:CH70"/>
    <mergeCell ref="CI69:CI70"/>
    <mergeCell ref="BZ69:BZ70"/>
    <mergeCell ref="CA69:CA70"/>
    <mergeCell ref="CB69:CB70"/>
    <mergeCell ref="CC69:CC70"/>
    <mergeCell ref="CD69:CD70"/>
    <mergeCell ref="DI69:DI70"/>
    <mergeCell ref="M75:M77"/>
    <mergeCell ref="N75:DI75"/>
    <mergeCell ref="N76:N77"/>
    <mergeCell ref="O76:O77"/>
    <mergeCell ref="P76:P77"/>
    <mergeCell ref="Q76:Q77"/>
    <mergeCell ref="R76:R77"/>
    <mergeCell ref="S76:S77"/>
    <mergeCell ref="T76:T77"/>
    <mergeCell ref="U76:U77"/>
    <mergeCell ref="V76:V77"/>
    <mergeCell ref="W76:W77"/>
    <mergeCell ref="X76:X77"/>
    <mergeCell ref="Y76:Y77"/>
    <mergeCell ref="Z76:Z77"/>
    <mergeCell ref="DD69:DD70"/>
    <mergeCell ref="DE69:DE70"/>
    <mergeCell ref="DF69:DF70"/>
    <mergeCell ref="DG69:DG70"/>
    <mergeCell ref="DH69:DH70"/>
    <mergeCell ref="CY69:CY70"/>
    <mergeCell ref="CZ69:CZ70"/>
    <mergeCell ref="DA69:DA70"/>
    <mergeCell ref="DB69:DB70"/>
    <mergeCell ref="DC69:DC70"/>
    <mergeCell ref="CT69:CT70"/>
    <mergeCell ref="CU69:CU70"/>
    <mergeCell ref="CV69:CV70"/>
    <mergeCell ref="CW69:CW70"/>
    <mergeCell ref="CX69:CX70"/>
    <mergeCell ref="CO69:CO70"/>
    <mergeCell ref="AP76:AP77"/>
    <mergeCell ref="AQ76:AQ77"/>
    <mergeCell ref="AR76:AR77"/>
    <mergeCell ref="AS76:AS77"/>
    <mergeCell ref="AT76:AT77"/>
    <mergeCell ref="AK76:AK77"/>
    <mergeCell ref="AL76:AL77"/>
    <mergeCell ref="AM76:AM77"/>
    <mergeCell ref="AN76:AN77"/>
    <mergeCell ref="AO76:AO77"/>
    <mergeCell ref="AF76:AF77"/>
    <mergeCell ref="AG76:AG77"/>
    <mergeCell ref="AH76:AH77"/>
    <mergeCell ref="AI76:AI77"/>
    <mergeCell ref="AJ76:AJ77"/>
    <mergeCell ref="AA76:AA77"/>
    <mergeCell ref="AB76:AB77"/>
    <mergeCell ref="AC76:AC77"/>
    <mergeCell ref="AD76:AD77"/>
    <mergeCell ref="AE76:AE77"/>
    <mergeCell ref="BJ76:BJ77"/>
    <mergeCell ref="BK76:BK77"/>
    <mergeCell ref="BL76:BL77"/>
    <mergeCell ref="BM76:BM77"/>
    <mergeCell ref="BN76:BN77"/>
    <mergeCell ref="BE76:BE77"/>
    <mergeCell ref="BF76:BF77"/>
    <mergeCell ref="BG76:BG77"/>
    <mergeCell ref="BH76:BH77"/>
    <mergeCell ref="BI76:BI77"/>
    <mergeCell ref="AZ76:AZ77"/>
    <mergeCell ref="BA76:BA77"/>
    <mergeCell ref="BB76:BB77"/>
    <mergeCell ref="BC76:BC77"/>
    <mergeCell ref="BD76:BD77"/>
    <mergeCell ref="AU76:AU77"/>
    <mergeCell ref="AV76:AV77"/>
    <mergeCell ref="AW76:AW77"/>
    <mergeCell ref="AX76:AX77"/>
    <mergeCell ref="AY76:AY77"/>
    <mergeCell ref="CD76:CD77"/>
    <mergeCell ref="CE76:CE77"/>
    <mergeCell ref="CF76:CF77"/>
    <mergeCell ref="CG76:CG77"/>
    <mergeCell ref="CH76:CH77"/>
    <mergeCell ref="BY76:BY77"/>
    <mergeCell ref="BZ76:BZ77"/>
    <mergeCell ref="CA76:CA77"/>
    <mergeCell ref="CB76:CB77"/>
    <mergeCell ref="CC76:CC77"/>
    <mergeCell ref="BT76:BT77"/>
    <mergeCell ref="BU76:BU77"/>
    <mergeCell ref="BV76:BV77"/>
    <mergeCell ref="BW76:BW77"/>
    <mergeCell ref="BX76:BX77"/>
    <mergeCell ref="BO76:BO77"/>
    <mergeCell ref="BP76:BP77"/>
    <mergeCell ref="BQ76:BQ77"/>
    <mergeCell ref="BR76:BR77"/>
    <mergeCell ref="BS76:BS77"/>
    <mergeCell ref="CY76:CY77"/>
    <mergeCell ref="CZ76:CZ77"/>
    <mergeCell ref="DA76:DA77"/>
    <mergeCell ref="DB76:DB77"/>
    <mergeCell ref="CS76:CS77"/>
    <mergeCell ref="CT76:CT77"/>
    <mergeCell ref="CU76:CU77"/>
    <mergeCell ref="CV76:CV77"/>
    <mergeCell ref="CW76:CW77"/>
    <mergeCell ref="CN76:CN77"/>
    <mergeCell ref="CO76:CO77"/>
    <mergeCell ref="CP76:CP77"/>
    <mergeCell ref="CQ76:CQ77"/>
    <mergeCell ref="CR76:CR77"/>
    <mergeCell ref="CI76:CI77"/>
    <mergeCell ref="CJ76:CJ77"/>
    <mergeCell ref="CK76:CK77"/>
    <mergeCell ref="CL76:CL77"/>
    <mergeCell ref="CM76:CM77"/>
    <mergeCell ref="AE84:AE85"/>
    <mergeCell ref="AF84:AF85"/>
    <mergeCell ref="AG84:AG85"/>
    <mergeCell ref="AH84:AH85"/>
    <mergeCell ref="AI84:AI85"/>
    <mergeCell ref="Z84:Z85"/>
    <mergeCell ref="AA84:AA85"/>
    <mergeCell ref="AB84:AB85"/>
    <mergeCell ref="AC84:AC85"/>
    <mergeCell ref="AD84:AD85"/>
    <mergeCell ref="DH76:DH77"/>
    <mergeCell ref="DI76:DI77"/>
    <mergeCell ref="M83:M85"/>
    <mergeCell ref="N83:DI83"/>
    <mergeCell ref="N84:N85"/>
    <mergeCell ref="O84:O85"/>
    <mergeCell ref="P84:P85"/>
    <mergeCell ref="Q84:Q85"/>
    <mergeCell ref="R84:R85"/>
    <mergeCell ref="S84:S85"/>
    <mergeCell ref="T84:T85"/>
    <mergeCell ref="U84:U85"/>
    <mergeCell ref="V84:V85"/>
    <mergeCell ref="W84:W85"/>
    <mergeCell ref="X84:X85"/>
    <mergeCell ref="Y84:Y85"/>
    <mergeCell ref="DC76:DC77"/>
    <mergeCell ref="DD76:DD77"/>
    <mergeCell ref="DE76:DE77"/>
    <mergeCell ref="DF76:DF77"/>
    <mergeCell ref="DG76:DG77"/>
    <mergeCell ref="CX76:CX77"/>
    <mergeCell ref="AY84:AY85"/>
    <mergeCell ref="AZ84:AZ85"/>
    <mergeCell ref="BA84:BA85"/>
    <mergeCell ref="BB84:BB85"/>
    <mergeCell ref="BC84:BC85"/>
    <mergeCell ref="AT84:AT85"/>
    <mergeCell ref="AU84:AU85"/>
    <mergeCell ref="AV84:AV85"/>
    <mergeCell ref="AW84:AW85"/>
    <mergeCell ref="AX84:AX85"/>
    <mergeCell ref="AO84:AO85"/>
    <mergeCell ref="AP84:AP85"/>
    <mergeCell ref="AQ84:AQ85"/>
    <mergeCell ref="AR84:AR85"/>
    <mergeCell ref="AS84:AS85"/>
    <mergeCell ref="AJ84:AJ85"/>
    <mergeCell ref="AK84:AK85"/>
    <mergeCell ref="AL84:AL85"/>
    <mergeCell ref="AM84:AM85"/>
    <mergeCell ref="AN84:AN85"/>
    <mergeCell ref="BS84:BS85"/>
    <mergeCell ref="BT84:BT85"/>
    <mergeCell ref="BU84:BU85"/>
    <mergeCell ref="BV84:BV85"/>
    <mergeCell ref="BW84:BW85"/>
    <mergeCell ref="BN84:BN85"/>
    <mergeCell ref="BO84:BO85"/>
    <mergeCell ref="BP84:BP85"/>
    <mergeCell ref="BQ84:BQ85"/>
    <mergeCell ref="BR84:BR85"/>
    <mergeCell ref="BI84:BI85"/>
    <mergeCell ref="BJ84:BJ85"/>
    <mergeCell ref="BK84:BK85"/>
    <mergeCell ref="BL84:BL85"/>
    <mergeCell ref="BM84:BM85"/>
    <mergeCell ref="BD84:BD85"/>
    <mergeCell ref="BE84:BE85"/>
    <mergeCell ref="BF84:BF85"/>
    <mergeCell ref="BG84:BG85"/>
    <mergeCell ref="BH84:BH85"/>
    <mergeCell ref="CN84:CN85"/>
    <mergeCell ref="CO84:CO85"/>
    <mergeCell ref="CP84:CP85"/>
    <mergeCell ref="CQ84:CQ85"/>
    <mergeCell ref="CH84:CH85"/>
    <mergeCell ref="CI84:CI85"/>
    <mergeCell ref="CJ84:CJ85"/>
    <mergeCell ref="CK84:CK85"/>
    <mergeCell ref="CL84:CL85"/>
    <mergeCell ref="CC84:CC85"/>
    <mergeCell ref="CD84:CD85"/>
    <mergeCell ref="CE84:CE85"/>
    <mergeCell ref="CF84:CF85"/>
    <mergeCell ref="CG84:CG85"/>
    <mergeCell ref="BX84:BX85"/>
    <mergeCell ref="BY84:BY85"/>
    <mergeCell ref="BZ84:BZ85"/>
    <mergeCell ref="CA84:CA85"/>
    <mergeCell ref="CB84:CB85"/>
    <mergeCell ref="DG84:DG85"/>
    <mergeCell ref="DH84:DH85"/>
    <mergeCell ref="DI84:DI85"/>
    <mergeCell ref="M93:M95"/>
    <mergeCell ref="N93:DI93"/>
    <mergeCell ref="N94:N95"/>
    <mergeCell ref="O94:O95"/>
    <mergeCell ref="P94:P95"/>
    <mergeCell ref="Q94:Q95"/>
    <mergeCell ref="R94:R95"/>
    <mergeCell ref="S94:S95"/>
    <mergeCell ref="T94:T95"/>
    <mergeCell ref="U94:U95"/>
    <mergeCell ref="V94:V95"/>
    <mergeCell ref="W94:W95"/>
    <mergeCell ref="X94:X95"/>
    <mergeCell ref="DB84:DB85"/>
    <mergeCell ref="DC84:DC85"/>
    <mergeCell ref="DD84:DD85"/>
    <mergeCell ref="DE84:DE85"/>
    <mergeCell ref="DF84:DF85"/>
    <mergeCell ref="CW84:CW85"/>
    <mergeCell ref="CX84:CX85"/>
    <mergeCell ref="CY84:CY85"/>
    <mergeCell ref="CZ84:CZ85"/>
    <mergeCell ref="DA84:DA85"/>
    <mergeCell ref="CR84:CR85"/>
    <mergeCell ref="CS84:CS85"/>
    <mergeCell ref="CT84:CT85"/>
    <mergeCell ref="CU84:CU85"/>
    <mergeCell ref="CV84:CV85"/>
    <mergeCell ref="CM84:CM85"/>
    <mergeCell ref="AN94:AN95"/>
    <mergeCell ref="AO94:AO95"/>
    <mergeCell ref="AP94:AP95"/>
    <mergeCell ref="AQ94:AQ95"/>
    <mergeCell ref="AR94:AR95"/>
    <mergeCell ref="AI94:AI95"/>
    <mergeCell ref="AJ94:AJ95"/>
    <mergeCell ref="AK94:AK95"/>
    <mergeCell ref="AL94:AL95"/>
    <mergeCell ref="AM94:AM95"/>
    <mergeCell ref="AD94:AD95"/>
    <mergeCell ref="AE94:AE95"/>
    <mergeCell ref="AF94:AF95"/>
    <mergeCell ref="AG94:AG95"/>
    <mergeCell ref="AH94:AH95"/>
    <mergeCell ref="Y94:Y95"/>
    <mergeCell ref="Z94:Z95"/>
    <mergeCell ref="AA94:AA95"/>
    <mergeCell ref="AB94:AB95"/>
    <mergeCell ref="AC94:AC95"/>
    <mergeCell ref="BH94:BH95"/>
    <mergeCell ref="BI94:BI95"/>
    <mergeCell ref="BJ94:BJ95"/>
    <mergeCell ref="BK94:BK95"/>
    <mergeCell ref="BL94:BL95"/>
    <mergeCell ref="BC94:BC95"/>
    <mergeCell ref="BD94:BD95"/>
    <mergeCell ref="BE94:BE95"/>
    <mergeCell ref="BF94:BF95"/>
    <mergeCell ref="BG94:BG95"/>
    <mergeCell ref="AX94:AX95"/>
    <mergeCell ref="AY94:AY95"/>
    <mergeCell ref="AZ94:AZ95"/>
    <mergeCell ref="BA94:BA95"/>
    <mergeCell ref="BB94:BB95"/>
    <mergeCell ref="AS94:AS95"/>
    <mergeCell ref="AT94:AT95"/>
    <mergeCell ref="AU94:AU95"/>
    <mergeCell ref="AV94:AV95"/>
    <mergeCell ref="AW94:AW95"/>
    <mergeCell ref="CB94:CB95"/>
    <mergeCell ref="CC94:CC95"/>
    <mergeCell ref="CD94:CD95"/>
    <mergeCell ref="CE94:CE95"/>
    <mergeCell ref="CF94:CF95"/>
    <mergeCell ref="BW94:BW95"/>
    <mergeCell ref="BX94:BX95"/>
    <mergeCell ref="BY94:BY95"/>
    <mergeCell ref="BZ94:BZ95"/>
    <mergeCell ref="CA94:CA95"/>
    <mergeCell ref="BR94:BR95"/>
    <mergeCell ref="BS94:BS95"/>
    <mergeCell ref="BT94:BT95"/>
    <mergeCell ref="BU94:BU95"/>
    <mergeCell ref="BV94:BV95"/>
    <mergeCell ref="BM94:BM95"/>
    <mergeCell ref="BN94:BN95"/>
    <mergeCell ref="BO94:BO95"/>
    <mergeCell ref="BP94:BP95"/>
    <mergeCell ref="BQ94:BQ95"/>
    <mergeCell ref="CW94:CW95"/>
    <mergeCell ref="CX94:CX95"/>
    <mergeCell ref="CY94:CY95"/>
    <mergeCell ref="CZ94:CZ95"/>
    <mergeCell ref="CQ94:CQ95"/>
    <mergeCell ref="CR94:CR95"/>
    <mergeCell ref="CS94:CS95"/>
    <mergeCell ref="CT94:CT95"/>
    <mergeCell ref="CU94:CU95"/>
    <mergeCell ref="CL94:CL95"/>
    <mergeCell ref="CM94:CM95"/>
    <mergeCell ref="CN94:CN95"/>
    <mergeCell ref="CO94:CO95"/>
    <mergeCell ref="CP94:CP95"/>
    <mergeCell ref="CG94:CG95"/>
    <mergeCell ref="CH94:CH95"/>
    <mergeCell ref="CI94:CI95"/>
    <mergeCell ref="CJ94:CJ95"/>
    <mergeCell ref="CK94:CK95"/>
    <mergeCell ref="AC102:AC103"/>
    <mergeCell ref="AD102:AD103"/>
    <mergeCell ref="AE102:AE103"/>
    <mergeCell ref="AF102:AF103"/>
    <mergeCell ref="AG102:AG103"/>
    <mergeCell ref="X102:X103"/>
    <mergeCell ref="Y102:Y103"/>
    <mergeCell ref="Z102:Z103"/>
    <mergeCell ref="AA102:AA103"/>
    <mergeCell ref="AB102:AB103"/>
    <mergeCell ref="DF94:DF95"/>
    <mergeCell ref="DG94:DG95"/>
    <mergeCell ref="DH94:DH95"/>
    <mergeCell ref="DI94:DI95"/>
    <mergeCell ref="M101:M103"/>
    <mergeCell ref="N101:DI101"/>
    <mergeCell ref="N102:N103"/>
    <mergeCell ref="O102:O103"/>
    <mergeCell ref="P102:P103"/>
    <mergeCell ref="Q102:Q103"/>
    <mergeCell ref="R102:R103"/>
    <mergeCell ref="S102:S103"/>
    <mergeCell ref="T102:T103"/>
    <mergeCell ref="U102:U103"/>
    <mergeCell ref="V102:V103"/>
    <mergeCell ref="W102:W103"/>
    <mergeCell ref="DA94:DA95"/>
    <mergeCell ref="DB94:DB95"/>
    <mergeCell ref="DC94:DC95"/>
    <mergeCell ref="DD94:DD95"/>
    <mergeCell ref="DE94:DE95"/>
    <mergeCell ref="CV94:CV95"/>
    <mergeCell ref="AW102:AW103"/>
    <mergeCell ref="AX102:AX103"/>
    <mergeCell ref="AY102:AY103"/>
    <mergeCell ref="AZ102:AZ103"/>
    <mergeCell ref="BA102:BA103"/>
    <mergeCell ref="AR102:AR103"/>
    <mergeCell ref="AS102:AS103"/>
    <mergeCell ref="AT102:AT103"/>
    <mergeCell ref="AU102:AU103"/>
    <mergeCell ref="AV102:AV103"/>
    <mergeCell ref="AM102:AM103"/>
    <mergeCell ref="AN102:AN103"/>
    <mergeCell ref="AO102:AO103"/>
    <mergeCell ref="AP102:AP103"/>
    <mergeCell ref="AQ102:AQ103"/>
    <mergeCell ref="AH102:AH103"/>
    <mergeCell ref="AI102:AI103"/>
    <mergeCell ref="AJ102:AJ103"/>
    <mergeCell ref="AK102:AK103"/>
    <mergeCell ref="AL102:AL103"/>
    <mergeCell ref="BQ102:BQ103"/>
    <mergeCell ref="BR102:BR103"/>
    <mergeCell ref="BS102:BS103"/>
    <mergeCell ref="BT102:BT103"/>
    <mergeCell ref="BU102:BU103"/>
    <mergeCell ref="BL102:BL103"/>
    <mergeCell ref="BM102:BM103"/>
    <mergeCell ref="BN102:BN103"/>
    <mergeCell ref="BO102:BO103"/>
    <mergeCell ref="BP102:BP103"/>
    <mergeCell ref="BG102:BG103"/>
    <mergeCell ref="BH102:BH103"/>
    <mergeCell ref="BI102:BI103"/>
    <mergeCell ref="BJ102:BJ103"/>
    <mergeCell ref="BK102:BK103"/>
    <mergeCell ref="BB102:BB103"/>
    <mergeCell ref="BC102:BC103"/>
    <mergeCell ref="BD102:BD103"/>
    <mergeCell ref="BE102:BE103"/>
    <mergeCell ref="BF102:BF103"/>
    <mergeCell ref="CK102:CK103"/>
    <mergeCell ref="CL102:CL103"/>
    <mergeCell ref="CM102:CM103"/>
    <mergeCell ref="CN102:CN103"/>
    <mergeCell ref="CO102:CO103"/>
    <mergeCell ref="CF102:CF103"/>
    <mergeCell ref="CG102:CG103"/>
    <mergeCell ref="CH102:CH103"/>
    <mergeCell ref="CI102:CI103"/>
    <mergeCell ref="CJ102:CJ103"/>
    <mergeCell ref="CA102:CA103"/>
    <mergeCell ref="CB102:CB103"/>
    <mergeCell ref="CC102:CC103"/>
    <mergeCell ref="CD102:CD103"/>
    <mergeCell ref="CE102:CE103"/>
    <mergeCell ref="BV102:BV103"/>
    <mergeCell ref="BW102:BW103"/>
    <mergeCell ref="BX102:BX103"/>
    <mergeCell ref="BY102:BY103"/>
    <mergeCell ref="BZ102:BZ103"/>
    <mergeCell ref="DE102:DE103"/>
    <mergeCell ref="DF102:DF103"/>
    <mergeCell ref="DG102:DG103"/>
    <mergeCell ref="DH102:DH103"/>
    <mergeCell ref="DI102:DI103"/>
    <mergeCell ref="CZ102:CZ103"/>
    <mergeCell ref="DA102:DA103"/>
    <mergeCell ref="DB102:DB103"/>
    <mergeCell ref="DC102:DC103"/>
    <mergeCell ref="DD102:DD103"/>
    <mergeCell ref="CU102:CU103"/>
    <mergeCell ref="CV102:CV103"/>
    <mergeCell ref="CW102:CW103"/>
    <mergeCell ref="CX102:CX103"/>
    <mergeCell ref="CY102:CY103"/>
    <mergeCell ref="CP102:CP103"/>
    <mergeCell ref="CQ102:CQ103"/>
    <mergeCell ref="CR102:CR103"/>
    <mergeCell ref="CS102:CS103"/>
    <mergeCell ref="CT102:CT103"/>
    <mergeCell ref="AB113:AB114"/>
    <mergeCell ref="AC113:AC114"/>
    <mergeCell ref="AD113:AD114"/>
    <mergeCell ref="AE113:AE114"/>
    <mergeCell ref="AF113:AF114"/>
    <mergeCell ref="M112:M114"/>
    <mergeCell ref="N112:DI112"/>
    <mergeCell ref="N113:N114"/>
    <mergeCell ref="O113:O114"/>
    <mergeCell ref="P113:P114"/>
    <mergeCell ref="Q113:Q114"/>
    <mergeCell ref="R113:R114"/>
    <mergeCell ref="S113:S114"/>
    <mergeCell ref="T113:T114"/>
    <mergeCell ref="U113:U114"/>
    <mergeCell ref="V113:V114"/>
    <mergeCell ref="W113:W114"/>
    <mergeCell ref="X113:X114"/>
    <mergeCell ref="Y113:Y114"/>
    <mergeCell ref="Z113:Z114"/>
    <mergeCell ref="AA113:AA114"/>
    <mergeCell ref="AV113:AV114"/>
    <mergeCell ref="AW113:AW114"/>
    <mergeCell ref="AX113:AX114"/>
    <mergeCell ref="AY113:AY114"/>
    <mergeCell ref="AZ113:AZ114"/>
    <mergeCell ref="AQ113:AQ114"/>
    <mergeCell ref="AR113:AR114"/>
    <mergeCell ref="AS113:AS114"/>
    <mergeCell ref="AT113:AT114"/>
    <mergeCell ref="AU113:AU114"/>
    <mergeCell ref="AL113:AL114"/>
    <mergeCell ref="AM113:AM114"/>
    <mergeCell ref="AN113:AN114"/>
    <mergeCell ref="AO113:AO114"/>
    <mergeCell ref="AP113:AP114"/>
    <mergeCell ref="AG113:AG114"/>
    <mergeCell ref="AH113:AH114"/>
    <mergeCell ref="AI113:AI114"/>
    <mergeCell ref="AJ113:AJ114"/>
    <mergeCell ref="AK113:AK114"/>
    <mergeCell ref="BP113:BP114"/>
    <mergeCell ref="BQ113:BQ114"/>
    <mergeCell ref="BR113:BR114"/>
    <mergeCell ref="BS113:BS114"/>
    <mergeCell ref="BT113:BT114"/>
    <mergeCell ref="BK113:BK114"/>
    <mergeCell ref="BL113:BL114"/>
    <mergeCell ref="BM113:BM114"/>
    <mergeCell ref="BN113:BN114"/>
    <mergeCell ref="BO113:BO114"/>
    <mergeCell ref="BF113:BF114"/>
    <mergeCell ref="BG113:BG114"/>
    <mergeCell ref="BH113:BH114"/>
    <mergeCell ref="BI113:BI114"/>
    <mergeCell ref="BJ113:BJ114"/>
    <mergeCell ref="BA113:BA114"/>
    <mergeCell ref="BB113:BB114"/>
    <mergeCell ref="BC113:BC114"/>
    <mergeCell ref="BD113:BD114"/>
    <mergeCell ref="BE113:BE114"/>
    <mergeCell ref="CJ113:CJ114"/>
    <mergeCell ref="CK113:CK114"/>
    <mergeCell ref="CL113:CL114"/>
    <mergeCell ref="CM113:CM114"/>
    <mergeCell ref="CN113:CN114"/>
    <mergeCell ref="CE113:CE114"/>
    <mergeCell ref="CF113:CF114"/>
    <mergeCell ref="CG113:CG114"/>
    <mergeCell ref="CH113:CH114"/>
    <mergeCell ref="CI113:CI114"/>
    <mergeCell ref="BZ113:BZ114"/>
    <mergeCell ref="CA113:CA114"/>
    <mergeCell ref="CB113:CB114"/>
    <mergeCell ref="CC113:CC114"/>
    <mergeCell ref="CD113:CD114"/>
    <mergeCell ref="BU113:BU114"/>
    <mergeCell ref="BV113:BV114"/>
    <mergeCell ref="BW113:BW114"/>
    <mergeCell ref="BX113:BX114"/>
    <mergeCell ref="BY113:BY114"/>
    <mergeCell ref="DE113:DE114"/>
    <mergeCell ref="DF113:DF114"/>
    <mergeCell ref="DG113:DG114"/>
    <mergeCell ref="DH113:DH114"/>
    <mergeCell ref="CY113:CY114"/>
    <mergeCell ref="CZ113:CZ114"/>
    <mergeCell ref="DA113:DA114"/>
    <mergeCell ref="DB113:DB114"/>
    <mergeCell ref="DC113:DC114"/>
    <mergeCell ref="CT113:CT114"/>
    <mergeCell ref="CU113:CU114"/>
    <mergeCell ref="CV113:CV114"/>
    <mergeCell ref="CW113:CW114"/>
    <mergeCell ref="CX113:CX114"/>
    <mergeCell ref="CO113:CO114"/>
    <mergeCell ref="CP113:CP114"/>
    <mergeCell ref="CQ113:CQ114"/>
    <mergeCell ref="CR113:CR114"/>
    <mergeCell ref="CS113:CS114"/>
    <mergeCell ref="AK121:AK122"/>
    <mergeCell ref="AL121:AL122"/>
    <mergeCell ref="AM121:AM122"/>
    <mergeCell ref="AN121:AN122"/>
    <mergeCell ref="AO121:AO122"/>
    <mergeCell ref="AF121:AF122"/>
    <mergeCell ref="AG121:AG122"/>
    <mergeCell ref="AH121:AH122"/>
    <mergeCell ref="AI121:AI122"/>
    <mergeCell ref="AJ121:AJ122"/>
    <mergeCell ref="AA121:AA122"/>
    <mergeCell ref="AB121:AB122"/>
    <mergeCell ref="AC121:AC122"/>
    <mergeCell ref="AD121:AD122"/>
    <mergeCell ref="AE121:AE122"/>
    <mergeCell ref="DI113:DI114"/>
    <mergeCell ref="M120:M122"/>
    <mergeCell ref="N120:DI120"/>
    <mergeCell ref="N121:N122"/>
    <mergeCell ref="O121:O122"/>
    <mergeCell ref="P121:P122"/>
    <mergeCell ref="Q121:Q122"/>
    <mergeCell ref="R121:R122"/>
    <mergeCell ref="S121:S122"/>
    <mergeCell ref="T121:T122"/>
    <mergeCell ref="U121:U122"/>
    <mergeCell ref="V121:V122"/>
    <mergeCell ref="W121:W122"/>
    <mergeCell ref="X121:X122"/>
    <mergeCell ref="Y121:Y122"/>
    <mergeCell ref="Z121:Z122"/>
    <mergeCell ref="DD113:DD114"/>
    <mergeCell ref="BE121:BE122"/>
    <mergeCell ref="BF121:BF122"/>
    <mergeCell ref="BG121:BG122"/>
    <mergeCell ref="BH121:BH122"/>
    <mergeCell ref="BI121:BI122"/>
    <mergeCell ref="AZ121:AZ122"/>
    <mergeCell ref="BA121:BA122"/>
    <mergeCell ref="BB121:BB122"/>
    <mergeCell ref="BC121:BC122"/>
    <mergeCell ref="BD121:BD122"/>
    <mergeCell ref="AU121:AU122"/>
    <mergeCell ref="AV121:AV122"/>
    <mergeCell ref="AW121:AW122"/>
    <mergeCell ref="AX121:AX122"/>
    <mergeCell ref="AY121:AY122"/>
    <mergeCell ref="AP121:AP122"/>
    <mergeCell ref="AQ121:AQ122"/>
    <mergeCell ref="AR121:AR122"/>
    <mergeCell ref="AS121:AS122"/>
    <mergeCell ref="AT121:AT122"/>
    <mergeCell ref="CB121:CB122"/>
    <mergeCell ref="CC121:CC122"/>
    <mergeCell ref="BT121:BT122"/>
    <mergeCell ref="BU121:BU122"/>
    <mergeCell ref="BV121:BV122"/>
    <mergeCell ref="BW121:BW122"/>
    <mergeCell ref="BX121:BX122"/>
    <mergeCell ref="BO121:BO122"/>
    <mergeCell ref="BP121:BP122"/>
    <mergeCell ref="BQ121:BQ122"/>
    <mergeCell ref="BR121:BR122"/>
    <mergeCell ref="BS121:BS122"/>
    <mergeCell ref="BJ121:BJ122"/>
    <mergeCell ref="BK121:BK122"/>
    <mergeCell ref="BL121:BL122"/>
    <mergeCell ref="BM121:BM122"/>
    <mergeCell ref="BN121:BN122"/>
    <mergeCell ref="M140:M142"/>
    <mergeCell ref="N140:DI140"/>
    <mergeCell ref="N141:N142"/>
    <mergeCell ref="O141:O142"/>
    <mergeCell ref="P141:P142"/>
    <mergeCell ref="Q141:Q142"/>
    <mergeCell ref="R141:R142"/>
    <mergeCell ref="S141:S142"/>
    <mergeCell ref="T141:T142"/>
    <mergeCell ref="U141:U142"/>
    <mergeCell ref="V141:V142"/>
    <mergeCell ref="W141:W142"/>
    <mergeCell ref="X141:X142"/>
    <mergeCell ref="Y141:Y142"/>
    <mergeCell ref="DC121:DC122"/>
    <mergeCell ref="DD121:DD122"/>
    <mergeCell ref="DE121:DE122"/>
    <mergeCell ref="DF121:DF122"/>
    <mergeCell ref="DG121:DG122"/>
    <mergeCell ref="CX121:CX122"/>
    <mergeCell ref="CY121:CY122"/>
    <mergeCell ref="CZ121:CZ122"/>
    <mergeCell ref="DA121:DA122"/>
    <mergeCell ref="DB121:DB122"/>
    <mergeCell ref="CS121:CS122"/>
    <mergeCell ref="CT121:CT122"/>
    <mergeCell ref="CU121:CU122"/>
    <mergeCell ref="CV121:CV122"/>
    <mergeCell ref="CW121:CW122"/>
    <mergeCell ref="CN121:CN122"/>
    <mergeCell ref="CO121:CO122"/>
    <mergeCell ref="CP121:CP122"/>
    <mergeCell ref="AJ141:AJ142"/>
    <mergeCell ref="AK141:AK142"/>
    <mergeCell ref="AL141:AL142"/>
    <mergeCell ref="AM141:AM142"/>
    <mergeCell ref="AN141:AN142"/>
    <mergeCell ref="AE141:AE142"/>
    <mergeCell ref="AF141:AF142"/>
    <mergeCell ref="AG141:AG142"/>
    <mergeCell ref="AH141:AH142"/>
    <mergeCell ref="AI141:AI142"/>
    <mergeCell ref="Z141:Z142"/>
    <mergeCell ref="AA141:AA142"/>
    <mergeCell ref="AB141:AB142"/>
    <mergeCell ref="AC141:AC142"/>
    <mergeCell ref="AD141:AD142"/>
    <mergeCell ref="DH121:DH122"/>
    <mergeCell ref="DI121:DI122"/>
    <mergeCell ref="CQ121:CQ122"/>
    <mergeCell ref="CR121:CR122"/>
    <mergeCell ref="CI121:CI122"/>
    <mergeCell ref="CJ121:CJ122"/>
    <mergeCell ref="CK121:CK122"/>
    <mergeCell ref="CL121:CL122"/>
    <mergeCell ref="CM121:CM122"/>
    <mergeCell ref="CD121:CD122"/>
    <mergeCell ref="CE121:CE122"/>
    <mergeCell ref="CF121:CF122"/>
    <mergeCell ref="CG121:CG122"/>
    <mergeCell ref="CH121:CH122"/>
    <mergeCell ref="BY121:BY122"/>
    <mergeCell ref="BZ121:BZ122"/>
    <mergeCell ref="CA121:CA122"/>
    <mergeCell ref="BD141:BD142"/>
    <mergeCell ref="BE141:BE142"/>
    <mergeCell ref="BF141:BF142"/>
    <mergeCell ref="BG141:BG142"/>
    <mergeCell ref="BH141:BH142"/>
    <mergeCell ref="AY141:AY142"/>
    <mergeCell ref="AZ141:AZ142"/>
    <mergeCell ref="BA141:BA142"/>
    <mergeCell ref="BB141:BB142"/>
    <mergeCell ref="BC141:BC142"/>
    <mergeCell ref="AT141:AT142"/>
    <mergeCell ref="AU141:AU142"/>
    <mergeCell ref="AV141:AV142"/>
    <mergeCell ref="AW141:AW142"/>
    <mergeCell ref="AX141:AX142"/>
    <mergeCell ref="AO141:AO142"/>
    <mergeCell ref="AP141:AP142"/>
    <mergeCell ref="AQ141:AQ142"/>
    <mergeCell ref="AR141:AR142"/>
    <mergeCell ref="AS141:AS142"/>
    <mergeCell ref="CA141:CA142"/>
    <mergeCell ref="CB141:CB142"/>
    <mergeCell ref="BS141:BS142"/>
    <mergeCell ref="BT141:BT142"/>
    <mergeCell ref="BU141:BU142"/>
    <mergeCell ref="BV141:BV142"/>
    <mergeCell ref="BW141:BW142"/>
    <mergeCell ref="BN141:BN142"/>
    <mergeCell ref="BO141:BO142"/>
    <mergeCell ref="BP141:BP142"/>
    <mergeCell ref="BQ141:BQ142"/>
    <mergeCell ref="BR141:BR142"/>
    <mergeCell ref="BI141:BI142"/>
    <mergeCell ref="BJ141:BJ142"/>
    <mergeCell ref="BK141:BK142"/>
    <mergeCell ref="BL141:BL142"/>
    <mergeCell ref="BM141:BM142"/>
    <mergeCell ref="DI141:DI142"/>
    <mergeCell ref="M3:M5"/>
    <mergeCell ref="N3:DI3"/>
    <mergeCell ref="N4:N5"/>
    <mergeCell ref="O4:O5"/>
    <mergeCell ref="P4:P5"/>
    <mergeCell ref="Q4:Q5"/>
    <mergeCell ref="R4:R5"/>
    <mergeCell ref="S4:S5"/>
    <mergeCell ref="T4:T5"/>
    <mergeCell ref="U4:U5"/>
    <mergeCell ref="V4:V5"/>
    <mergeCell ref="W4:W5"/>
    <mergeCell ref="X4:X5"/>
    <mergeCell ref="DB141:DB142"/>
    <mergeCell ref="DC141:DC142"/>
    <mergeCell ref="DD141:DD142"/>
    <mergeCell ref="DE141:DE142"/>
    <mergeCell ref="DF141:DF142"/>
    <mergeCell ref="CW141:CW142"/>
    <mergeCell ref="CX141:CX142"/>
    <mergeCell ref="CY141:CY142"/>
    <mergeCell ref="CZ141:CZ142"/>
    <mergeCell ref="DA141:DA142"/>
    <mergeCell ref="CR141:CR142"/>
    <mergeCell ref="CS141:CS142"/>
    <mergeCell ref="CT141:CT142"/>
    <mergeCell ref="CU141:CU142"/>
    <mergeCell ref="CV141:CV142"/>
    <mergeCell ref="CM141:CM142"/>
    <mergeCell ref="CN141:CN142"/>
    <mergeCell ref="CO141:CO142"/>
    <mergeCell ref="AI4:AI5"/>
    <mergeCell ref="AJ4:AJ5"/>
    <mergeCell ref="AK4:AK5"/>
    <mergeCell ref="AL4:AL5"/>
    <mergeCell ref="AM4:AM5"/>
    <mergeCell ref="AD4:AD5"/>
    <mergeCell ref="AE4:AE5"/>
    <mergeCell ref="AF4:AF5"/>
    <mergeCell ref="AG4:AG5"/>
    <mergeCell ref="AH4:AH5"/>
    <mergeCell ref="Y4:Y5"/>
    <mergeCell ref="Z4:Z5"/>
    <mergeCell ref="AA4:AA5"/>
    <mergeCell ref="AB4:AB5"/>
    <mergeCell ref="AC4:AC5"/>
    <mergeCell ref="DG141:DG142"/>
    <mergeCell ref="DH141:DH142"/>
    <mergeCell ref="CP141:CP142"/>
    <mergeCell ref="CQ141:CQ142"/>
    <mergeCell ref="CH141:CH142"/>
    <mergeCell ref="CI141:CI142"/>
    <mergeCell ref="CJ141:CJ142"/>
    <mergeCell ref="CK141:CK142"/>
    <mergeCell ref="CL141:CL142"/>
    <mergeCell ref="CC141:CC142"/>
    <mergeCell ref="CD141:CD142"/>
    <mergeCell ref="CE141:CE142"/>
    <mergeCell ref="CF141:CF142"/>
    <mergeCell ref="CG141:CG142"/>
    <mergeCell ref="BX141:BX142"/>
    <mergeCell ref="BY141:BY142"/>
    <mergeCell ref="BZ141:BZ142"/>
    <mergeCell ref="BC4:BC5"/>
    <mergeCell ref="BD4:BD5"/>
    <mergeCell ref="BE4:BE5"/>
    <mergeCell ref="BF4:BF5"/>
    <mergeCell ref="BG4:BG5"/>
    <mergeCell ref="AX4:AX5"/>
    <mergeCell ref="AY4:AY5"/>
    <mergeCell ref="AZ4:AZ5"/>
    <mergeCell ref="BA4:BA5"/>
    <mergeCell ref="BB4:BB5"/>
    <mergeCell ref="AS4:AS5"/>
    <mergeCell ref="AT4:AT5"/>
    <mergeCell ref="AU4:AU5"/>
    <mergeCell ref="AV4:AV5"/>
    <mergeCell ref="AW4:AW5"/>
    <mergeCell ref="AN4:AN5"/>
    <mergeCell ref="AO4:AO5"/>
    <mergeCell ref="AP4:AP5"/>
    <mergeCell ref="AQ4:AQ5"/>
    <mergeCell ref="AR4:AR5"/>
    <mergeCell ref="BZ4:BZ5"/>
    <mergeCell ref="CA4:CA5"/>
    <mergeCell ref="BR4:BR5"/>
    <mergeCell ref="BS4:BS5"/>
    <mergeCell ref="BT4:BT5"/>
    <mergeCell ref="BU4:BU5"/>
    <mergeCell ref="BV4:BV5"/>
    <mergeCell ref="BM4:BM5"/>
    <mergeCell ref="BN4:BN5"/>
    <mergeCell ref="BO4:BO5"/>
    <mergeCell ref="BP4:BP5"/>
    <mergeCell ref="BQ4:BQ5"/>
    <mergeCell ref="BH4:BH5"/>
    <mergeCell ref="BI4:BI5"/>
    <mergeCell ref="BJ4:BJ5"/>
    <mergeCell ref="BK4:BK5"/>
    <mergeCell ref="BL4:BL5"/>
    <mergeCell ref="DH4:DH5"/>
    <mergeCell ref="DI4:DI5"/>
    <mergeCell ref="M30:M32"/>
    <mergeCell ref="N30:DI30"/>
    <mergeCell ref="N31:N32"/>
    <mergeCell ref="O31:O32"/>
    <mergeCell ref="P31:P32"/>
    <mergeCell ref="Q31:Q32"/>
    <mergeCell ref="R31:R32"/>
    <mergeCell ref="S31:S32"/>
    <mergeCell ref="T31:T32"/>
    <mergeCell ref="U31:U32"/>
    <mergeCell ref="V31:V32"/>
    <mergeCell ref="W31:W32"/>
    <mergeCell ref="DA4:DA5"/>
    <mergeCell ref="DB4:DB5"/>
    <mergeCell ref="DC4:DC5"/>
    <mergeCell ref="DD4:DD5"/>
    <mergeCell ref="DE4:DE5"/>
    <mergeCell ref="CV4:CV5"/>
    <mergeCell ref="CW4:CW5"/>
    <mergeCell ref="CX4:CX5"/>
    <mergeCell ref="CY4:CY5"/>
    <mergeCell ref="CZ4:CZ5"/>
    <mergeCell ref="CQ4:CQ5"/>
    <mergeCell ref="CR4:CR5"/>
    <mergeCell ref="CS4:CS5"/>
    <mergeCell ref="CT4:CT5"/>
    <mergeCell ref="CU4:CU5"/>
    <mergeCell ref="CL4:CL5"/>
    <mergeCell ref="CM4:CM5"/>
    <mergeCell ref="CN4:CN5"/>
    <mergeCell ref="AH31:AH32"/>
    <mergeCell ref="AI31:AI32"/>
    <mergeCell ref="AJ31:AJ32"/>
    <mergeCell ref="AK31:AK32"/>
    <mergeCell ref="AL31:AL32"/>
    <mergeCell ref="AC31:AC32"/>
    <mergeCell ref="AD31:AD32"/>
    <mergeCell ref="AE31:AE32"/>
    <mergeCell ref="AF31:AF32"/>
    <mergeCell ref="AG31:AG32"/>
    <mergeCell ref="X31:X32"/>
    <mergeCell ref="Y31:Y32"/>
    <mergeCell ref="Z31:Z32"/>
    <mergeCell ref="AA31:AA32"/>
    <mergeCell ref="AB31:AB32"/>
    <mergeCell ref="DF4:DF5"/>
    <mergeCell ref="DG4:DG5"/>
    <mergeCell ref="CO4:CO5"/>
    <mergeCell ref="CP4:CP5"/>
    <mergeCell ref="CG4:CG5"/>
    <mergeCell ref="CH4:CH5"/>
    <mergeCell ref="CI4:CI5"/>
    <mergeCell ref="CJ4:CJ5"/>
    <mergeCell ref="CK4:CK5"/>
    <mergeCell ref="CB4:CB5"/>
    <mergeCell ref="CC4:CC5"/>
    <mergeCell ref="CD4:CD5"/>
    <mergeCell ref="CE4:CE5"/>
    <mergeCell ref="CF4:CF5"/>
    <mergeCell ref="BW4:BW5"/>
    <mergeCell ref="BX4:BX5"/>
    <mergeCell ref="BY4:BY5"/>
    <mergeCell ref="BB31:BB32"/>
    <mergeCell ref="BC31:BC32"/>
    <mergeCell ref="BD31:BD32"/>
    <mergeCell ref="BE31:BE32"/>
    <mergeCell ref="BF31:BF32"/>
    <mergeCell ref="AW31:AW32"/>
    <mergeCell ref="AX31:AX32"/>
    <mergeCell ref="AY31:AY32"/>
    <mergeCell ref="AZ31:AZ32"/>
    <mergeCell ref="BA31:BA32"/>
    <mergeCell ref="AR31:AR32"/>
    <mergeCell ref="AS31:AS32"/>
    <mergeCell ref="AT31:AT32"/>
    <mergeCell ref="AU31:AU32"/>
    <mergeCell ref="AV31:AV32"/>
    <mergeCell ref="AM31:AM32"/>
    <mergeCell ref="AN31:AN32"/>
    <mergeCell ref="AO31:AO32"/>
    <mergeCell ref="AP31:AP32"/>
    <mergeCell ref="AQ31:AQ32"/>
    <mergeCell ref="BV31:BV32"/>
    <mergeCell ref="BW31:BW32"/>
    <mergeCell ref="BX31:BX32"/>
    <mergeCell ref="BY31:BY32"/>
    <mergeCell ref="BZ31:BZ32"/>
    <mergeCell ref="BQ31:BQ32"/>
    <mergeCell ref="BR31:BR32"/>
    <mergeCell ref="BS31:BS32"/>
    <mergeCell ref="BT31:BT32"/>
    <mergeCell ref="BU31:BU32"/>
    <mergeCell ref="BL31:BL32"/>
    <mergeCell ref="BM31:BM32"/>
    <mergeCell ref="BN31:BN32"/>
    <mergeCell ref="BO31:BO32"/>
    <mergeCell ref="BP31:BP32"/>
    <mergeCell ref="BG31:BG32"/>
    <mergeCell ref="BH31:BH32"/>
    <mergeCell ref="BI31:BI32"/>
    <mergeCell ref="BJ31:BJ32"/>
    <mergeCell ref="BK31:BK32"/>
    <mergeCell ref="CQ31:CQ32"/>
    <mergeCell ref="CR31:CR32"/>
    <mergeCell ref="CS31:CS32"/>
    <mergeCell ref="CT31:CT32"/>
    <mergeCell ref="CK31:CK32"/>
    <mergeCell ref="CL31:CL32"/>
    <mergeCell ref="CM31:CM32"/>
    <mergeCell ref="CN31:CN32"/>
    <mergeCell ref="CO31:CO32"/>
    <mergeCell ref="CF31:CF32"/>
    <mergeCell ref="CG31:CG32"/>
    <mergeCell ref="CH31:CH32"/>
    <mergeCell ref="CI31:CI32"/>
    <mergeCell ref="CJ31:CJ32"/>
    <mergeCell ref="CA31:CA32"/>
    <mergeCell ref="CB31:CB32"/>
    <mergeCell ref="CC31:CC32"/>
    <mergeCell ref="CD31:CD32"/>
    <mergeCell ref="CE31:CE32"/>
    <mergeCell ref="M47:M49"/>
    <mergeCell ref="N47:DI47"/>
    <mergeCell ref="N48:N49"/>
    <mergeCell ref="O48:O49"/>
    <mergeCell ref="P48:P49"/>
    <mergeCell ref="Q48:Q49"/>
    <mergeCell ref="R48:R49"/>
    <mergeCell ref="S48:S49"/>
    <mergeCell ref="T48:T49"/>
    <mergeCell ref="U48:U49"/>
    <mergeCell ref="V48:V49"/>
    <mergeCell ref="W48:W49"/>
    <mergeCell ref="X48:X49"/>
    <mergeCell ref="Y48:Y49"/>
    <mergeCell ref="Z48:Z49"/>
    <mergeCell ref="AA48:AA49"/>
    <mergeCell ref="DE31:DE32"/>
    <mergeCell ref="DF31:DF32"/>
    <mergeCell ref="DG31:DG32"/>
    <mergeCell ref="DH31:DH32"/>
    <mergeCell ref="DI31:DI32"/>
    <mergeCell ref="CZ31:CZ32"/>
    <mergeCell ref="DA31:DA32"/>
    <mergeCell ref="DB31:DB32"/>
    <mergeCell ref="DC31:DC32"/>
    <mergeCell ref="DD31:DD32"/>
    <mergeCell ref="CU31:CU32"/>
    <mergeCell ref="CV31:CV32"/>
    <mergeCell ref="CW31:CW32"/>
    <mergeCell ref="CX31:CX32"/>
    <mergeCell ref="CY31:CY32"/>
    <mergeCell ref="CP31:CP32"/>
    <mergeCell ref="AQ48:AQ49"/>
    <mergeCell ref="AR48:AR49"/>
    <mergeCell ref="AS48:AS49"/>
    <mergeCell ref="AT48:AT49"/>
    <mergeCell ref="AU48:AU49"/>
    <mergeCell ref="AL48:AL49"/>
    <mergeCell ref="AM48:AM49"/>
    <mergeCell ref="AN48:AN49"/>
    <mergeCell ref="AO48:AO49"/>
    <mergeCell ref="AP48:AP49"/>
    <mergeCell ref="AG48:AG49"/>
    <mergeCell ref="AH48:AH49"/>
    <mergeCell ref="AI48:AI49"/>
    <mergeCell ref="AJ48:AJ49"/>
    <mergeCell ref="AK48:AK49"/>
    <mergeCell ref="AB48:AB49"/>
    <mergeCell ref="AC48:AC49"/>
    <mergeCell ref="AD48:AD49"/>
    <mergeCell ref="AE48:AE49"/>
    <mergeCell ref="AF48:AF49"/>
    <mergeCell ref="BK48:BK49"/>
    <mergeCell ref="BL48:BL49"/>
    <mergeCell ref="BM48:BM49"/>
    <mergeCell ref="BN48:BN49"/>
    <mergeCell ref="BO48:BO49"/>
    <mergeCell ref="BF48:BF49"/>
    <mergeCell ref="BG48:BG49"/>
    <mergeCell ref="BH48:BH49"/>
    <mergeCell ref="BI48:BI49"/>
    <mergeCell ref="BJ48:BJ49"/>
    <mergeCell ref="BA48:BA49"/>
    <mergeCell ref="BB48:BB49"/>
    <mergeCell ref="BC48:BC49"/>
    <mergeCell ref="BD48:BD49"/>
    <mergeCell ref="BE48:BE49"/>
    <mergeCell ref="AV48:AV49"/>
    <mergeCell ref="AW48:AW49"/>
    <mergeCell ref="AX48:AX49"/>
    <mergeCell ref="AY48:AY49"/>
    <mergeCell ref="AZ48:AZ49"/>
    <mergeCell ref="CE48:CE49"/>
    <mergeCell ref="CF48:CF49"/>
    <mergeCell ref="CG48:CG49"/>
    <mergeCell ref="CH48:CH49"/>
    <mergeCell ref="CI48:CI49"/>
    <mergeCell ref="BZ48:BZ49"/>
    <mergeCell ref="CA48:CA49"/>
    <mergeCell ref="CB48:CB49"/>
    <mergeCell ref="CC48:CC49"/>
    <mergeCell ref="CD48:CD49"/>
    <mergeCell ref="BU48:BU49"/>
    <mergeCell ref="BV48:BV49"/>
    <mergeCell ref="BW48:BW49"/>
    <mergeCell ref="BX48:BX49"/>
    <mergeCell ref="BY48:BY49"/>
    <mergeCell ref="BP48:BP49"/>
    <mergeCell ref="BQ48:BQ49"/>
    <mergeCell ref="BR48:BR49"/>
    <mergeCell ref="BS48:BS49"/>
    <mergeCell ref="BT48:BT49"/>
    <mergeCell ref="CZ48:CZ49"/>
    <mergeCell ref="DA48:DA49"/>
    <mergeCell ref="DB48:DB49"/>
    <mergeCell ref="DC48:DC49"/>
    <mergeCell ref="CT48:CT49"/>
    <mergeCell ref="CU48:CU49"/>
    <mergeCell ref="CV48:CV49"/>
    <mergeCell ref="CW48:CW49"/>
    <mergeCell ref="CX48:CX49"/>
    <mergeCell ref="CO48:CO49"/>
    <mergeCell ref="CP48:CP49"/>
    <mergeCell ref="CQ48:CQ49"/>
    <mergeCell ref="CR48:CR49"/>
    <mergeCell ref="CS48:CS49"/>
    <mergeCell ref="CJ48:CJ49"/>
    <mergeCell ref="CK48:CK49"/>
    <mergeCell ref="CL48:CL49"/>
    <mergeCell ref="CM48:CM49"/>
    <mergeCell ref="CN48:CN49"/>
    <mergeCell ref="AF58:AF59"/>
    <mergeCell ref="AG58:AG59"/>
    <mergeCell ref="AH58:AH59"/>
    <mergeCell ref="AI58:AI59"/>
    <mergeCell ref="AJ58:AJ59"/>
    <mergeCell ref="AA58:AA59"/>
    <mergeCell ref="AB58:AB59"/>
    <mergeCell ref="AC58:AC59"/>
    <mergeCell ref="AD58:AD59"/>
    <mergeCell ref="AE58:AE59"/>
    <mergeCell ref="DI48:DI49"/>
    <mergeCell ref="M57:M59"/>
    <mergeCell ref="N57:DI57"/>
    <mergeCell ref="N58:N59"/>
    <mergeCell ref="O58:O59"/>
    <mergeCell ref="P58:P59"/>
    <mergeCell ref="Q58:Q59"/>
    <mergeCell ref="R58:R59"/>
    <mergeCell ref="S58:S59"/>
    <mergeCell ref="T58:T59"/>
    <mergeCell ref="U58:U59"/>
    <mergeCell ref="V58:V59"/>
    <mergeCell ref="W58:W59"/>
    <mergeCell ref="X58:X59"/>
    <mergeCell ref="Y58:Y59"/>
    <mergeCell ref="Z58:Z59"/>
    <mergeCell ref="DD48:DD49"/>
    <mergeCell ref="DE48:DE49"/>
    <mergeCell ref="DF48:DF49"/>
    <mergeCell ref="DG48:DG49"/>
    <mergeCell ref="DH48:DH49"/>
    <mergeCell ref="CY48:CY49"/>
    <mergeCell ref="AZ58:AZ59"/>
    <mergeCell ref="BA58:BA59"/>
    <mergeCell ref="BB58:BB59"/>
    <mergeCell ref="BC58:BC59"/>
    <mergeCell ref="BD58:BD59"/>
    <mergeCell ref="AU58:AU59"/>
    <mergeCell ref="AV58:AV59"/>
    <mergeCell ref="AW58:AW59"/>
    <mergeCell ref="AX58:AX59"/>
    <mergeCell ref="AY58:AY59"/>
    <mergeCell ref="AP58:AP59"/>
    <mergeCell ref="AQ58:AQ59"/>
    <mergeCell ref="AR58:AR59"/>
    <mergeCell ref="AS58:AS59"/>
    <mergeCell ref="AT58:AT59"/>
    <mergeCell ref="AK58:AK59"/>
    <mergeCell ref="AL58:AL59"/>
    <mergeCell ref="AM58:AM59"/>
    <mergeCell ref="AN58:AN59"/>
    <mergeCell ref="AO58:AO59"/>
    <mergeCell ref="BT58:BT59"/>
    <mergeCell ref="BU58:BU59"/>
    <mergeCell ref="BV58:BV59"/>
    <mergeCell ref="BW58:BW59"/>
    <mergeCell ref="BX58:BX59"/>
    <mergeCell ref="BO58:BO59"/>
    <mergeCell ref="BP58:BP59"/>
    <mergeCell ref="BQ58:BQ59"/>
    <mergeCell ref="BR58:BR59"/>
    <mergeCell ref="BS58:BS59"/>
    <mergeCell ref="BJ58:BJ59"/>
    <mergeCell ref="BK58:BK59"/>
    <mergeCell ref="BL58:BL59"/>
    <mergeCell ref="BM58:BM59"/>
    <mergeCell ref="BN58:BN59"/>
    <mergeCell ref="BE58:BE59"/>
    <mergeCell ref="BF58:BF59"/>
    <mergeCell ref="BG58:BG59"/>
    <mergeCell ref="BH58:BH59"/>
    <mergeCell ref="BI58:BI59"/>
    <mergeCell ref="CN58:CN59"/>
    <mergeCell ref="CO58:CO59"/>
    <mergeCell ref="CP58:CP59"/>
    <mergeCell ref="CQ58:CQ59"/>
    <mergeCell ref="CR58:CR59"/>
    <mergeCell ref="CI58:CI59"/>
    <mergeCell ref="CJ58:CJ59"/>
    <mergeCell ref="CK58:CK59"/>
    <mergeCell ref="CL58:CL59"/>
    <mergeCell ref="CM58:CM59"/>
    <mergeCell ref="CD58:CD59"/>
    <mergeCell ref="CE58:CE59"/>
    <mergeCell ref="CF58:CF59"/>
    <mergeCell ref="CG58:CG59"/>
    <mergeCell ref="CH58:CH59"/>
    <mergeCell ref="BY58:BY59"/>
    <mergeCell ref="BZ58:BZ59"/>
    <mergeCell ref="CA58:CA59"/>
    <mergeCell ref="CB58:CB59"/>
    <mergeCell ref="CC58:CC59"/>
    <mergeCell ref="DH58:DH59"/>
    <mergeCell ref="DI58:DI59"/>
    <mergeCell ref="DC58:DC59"/>
    <mergeCell ref="DD58:DD59"/>
    <mergeCell ref="DE58:DE59"/>
    <mergeCell ref="DF58:DF59"/>
    <mergeCell ref="DG58:DG59"/>
    <mergeCell ref="CX58:CX59"/>
    <mergeCell ref="CY58:CY59"/>
    <mergeCell ref="CZ58:CZ59"/>
    <mergeCell ref="DA58:DA59"/>
    <mergeCell ref="DB58:DB59"/>
    <mergeCell ref="CS58:CS59"/>
    <mergeCell ref="CT58:CT59"/>
    <mergeCell ref="CU58:CU59"/>
    <mergeCell ref="CV58:CV59"/>
    <mergeCell ref="CW58:CW59"/>
  </mergeCells>
  <pageMargins left="0.19685039370078741" right="0.19685039370078741" top="0.19685039370078741" bottom="0" header="0.19685039370078741" footer="0"/>
  <pageSetup paperSize="9" scale="95" orientation="landscape"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I37"/>
  <sheetViews>
    <sheetView topLeftCell="D1" workbookViewId="0">
      <selection activeCell="O10" sqref="O10"/>
    </sheetView>
  </sheetViews>
  <sheetFormatPr defaultRowHeight="15" x14ac:dyDescent="0.25"/>
  <cols>
    <col min="1" max="1" width="4.7109375" style="52" customWidth="1"/>
    <col min="2" max="2" width="20.5703125" style="52" customWidth="1"/>
    <col min="3" max="3" width="13.7109375" style="52" customWidth="1"/>
    <col min="4" max="4" width="12.42578125" style="52" customWidth="1"/>
    <col min="5" max="5" width="15.28515625" style="52" customWidth="1"/>
    <col min="6" max="6" width="13.28515625" style="52" customWidth="1"/>
    <col min="7" max="7" width="12.28515625" style="52" customWidth="1"/>
    <col min="8" max="8" width="11.5703125" style="52" customWidth="1"/>
    <col min="9" max="9" width="14.140625" style="52" customWidth="1"/>
    <col min="10" max="10" width="13.28515625" style="52" customWidth="1"/>
    <col min="11" max="11" width="15.42578125" style="52" customWidth="1"/>
    <col min="12" max="16384" width="9.140625" style="52"/>
  </cols>
  <sheetData>
    <row r="1" spans="1:113" x14ac:dyDescent="0.25">
      <c r="B1" s="187"/>
      <c r="C1" s="187"/>
      <c r="D1" s="187"/>
      <c r="E1" s="187"/>
      <c r="F1" s="187"/>
      <c r="G1" s="187"/>
      <c r="H1" s="187"/>
      <c r="I1" s="187"/>
      <c r="J1" s="187"/>
      <c r="K1" s="187"/>
      <c r="L1"/>
      <c r="M1"/>
      <c r="N1"/>
      <c r="O1"/>
      <c r="P1"/>
      <c r="Q1"/>
      <c r="R1"/>
      <c r="S1"/>
      <c r="T1"/>
      <c r="U1"/>
      <c r="V1"/>
      <c r="W1"/>
      <c r="X1"/>
      <c r="Y1"/>
    </row>
    <row r="2" spans="1:113" ht="15.75" thickBot="1" x14ac:dyDescent="0.3">
      <c r="A2" s="103" t="s">
        <v>720</v>
      </c>
      <c r="B2" s="187"/>
      <c r="C2" s="187"/>
      <c r="D2" s="187"/>
      <c r="E2" s="187"/>
      <c r="F2" s="187"/>
      <c r="G2" s="53" t="str">
        <f>A.Prangko!G3</f>
        <v>mei 2017</v>
      </c>
      <c r="H2" s="187"/>
      <c r="I2" s="187"/>
      <c r="J2" s="187"/>
      <c r="K2" s="187"/>
      <c r="L2"/>
      <c r="M2"/>
      <c r="N2"/>
      <c r="O2"/>
      <c r="P2"/>
      <c r="Q2"/>
      <c r="R2"/>
      <c r="S2"/>
      <c r="T2"/>
      <c r="U2"/>
      <c r="V2"/>
      <c r="W2"/>
      <c r="X2"/>
      <c r="Y2"/>
    </row>
    <row r="3" spans="1:113" ht="15.75" thickBot="1" x14ac:dyDescent="0.3">
      <c r="A3" s="407" t="s">
        <v>657</v>
      </c>
      <c r="B3" s="414" t="s">
        <v>708</v>
      </c>
      <c r="C3" s="414" t="s">
        <v>1</v>
      </c>
      <c r="D3" s="415" t="s">
        <v>649</v>
      </c>
      <c r="E3" s="416" t="s">
        <v>19</v>
      </c>
      <c r="F3" s="416"/>
      <c r="G3" s="416"/>
      <c r="H3" s="416"/>
      <c r="I3" s="416"/>
      <c r="J3" s="410" t="s">
        <v>21</v>
      </c>
      <c r="K3" s="417" t="s">
        <v>602</v>
      </c>
      <c r="L3"/>
      <c r="M3" s="403" t="s">
        <v>601</v>
      </c>
      <c r="N3" s="403" t="s">
        <v>924</v>
      </c>
      <c r="O3" s="403"/>
      <c r="P3" s="403"/>
      <c r="Q3" s="403"/>
      <c r="R3" s="403"/>
      <c r="S3" s="403"/>
      <c r="T3" s="403"/>
      <c r="U3" s="403"/>
      <c r="V3" s="403"/>
      <c r="W3" s="403"/>
      <c r="X3" s="403"/>
      <c r="Y3" s="403"/>
      <c r="Z3" s="403"/>
      <c r="AA3" s="403"/>
      <c r="AB3" s="403"/>
      <c r="AC3" s="403"/>
      <c r="AD3" s="403"/>
      <c r="AE3" s="403"/>
      <c r="AF3" s="403"/>
      <c r="AG3" s="403"/>
      <c r="AH3" s="403"/>
      <c r="AI3" s="403"/>
      <c r="AJ3" s="403"/>
      <c r="AK3" s="403"/>
      <c r="AL3" s="403"/>
      <c r="AM3" s="403"/>
      <c r="AN3" s="403"/>
      <c r="AO3" s="403"/>
      <c r="AP3" s="403"/>
      <c r="AQ3" s="403"/>
      <c r="AR3" s="403"/>
      <c r="AS3" s="403"/>
      <c r="AT3" s="403"/>
      <c r="AU3" s="403"/>
      <c r="AV3" s="403"/>
      <c r="AW3" s="403"/>
      <c r="AX3" s="403"/>
      <c r="AY3" s="403"/>
      <c r="AZ3" s="403"/>
      <c r="BA3" s="403"/>
      <c r="BB3" s="403"/>
      <c r="BC3" s="403"/>
      <c r="BD3" s="403"/>
      <c r="BE3" s="403"/>
      <c r="BF3" s="403"/>
      <c r="BG3" s="403"/>
      <c r="BH3" s="403"/>
      <c r="BI3" s="403"/>
      <c r="BJ3" s="403"/>
      <c r="BK3" s="403"/>
      <c r="BL3" s="403"/>
      <c r="BM3" s="403"/>
      <c r="BN3" s="403"/>
      <c r="BO3" s="403"/>
      <c r="BP3" s="403"/>
      <c r="BQ3" s="403"/>
      <c r="BR3" s="403"/>
      <c r="BS3" s="403"/>
      <c r="BT3" s="403"/>
      <c r="BU3" s="403"/>
      <c r="BV3" s="403"/>
      <c r="BW3" s="403"/>
      <c r="BX3" s="403"/>
      <c r="BY3" s="403"/>
      <c r="BZ3" s="403"/>
      <c r="CA3" s="403"/>
      <c r="CB3" s="403"/>
      <c r="CC3" s="403"/>
      <c r="CD3" s="403"/>
      <c r="CE3" s="403"/>
      <c r="CF3" s="403"/>
      <c r="CG3" s="403"/>
      <c r="CH3" s="403"/>
      <c r="CI3" s="403"/>
      <c r="CJ3" s="403"/>
      <c r="CK3" s="403"/>
      <c r="CL3" s="403"/>
      <c r="CM3" s="403"/>
      <c r="CN3" s="403"/>
      <c r="CO3" s="403"/>
      <c r="CP3" s="403"/>
      <c r="CQ3" s="403"/>
      <c r="CR3" s="403"/>
      <c r="CS3" s="403"/>
      <c r="CT3" s="403"/>
      <c r="CU3" s="403"/>
      <c r="CV3" s="403"/>
      <c r="CW3" s="403"/>
      <c r="CX3" s="403"/>
      <c r="CY3" s="403"/>
      <c r="CZ3" s="403"/>
      <c r="DA3" s="403"/>
      <c r="DB3" s="403"/>
      <c r="DC3" s="403"/>
      <c r="DD3" s="403"/>
      <c r="DE3" s="403"/>
      <c r="DF3" s="403"/>
      <c r="DG3" s="403"/>
      <c r="DH3" s="403"/>
      <c r="DI3" s="403"/>
    </row>
    <row r="4" spans="1:113" ht="45.75" thickBot="1" x14ac:dyDescent="0.3">
      <c r="A4" s="408"/>
      <c r="B4" s="414"/>
      <c r="C4" s="414"/>
      <c r="D4" s="415"/>
      <c r="E4" s="68" t="s">
        <v>22</v>
      </c>
      <c r="F4" s="68" t="s">
        <v>600</v>
      </c>
      <c r="G4" s="68" t="s">
        <v>601</v>
      </c>
      <c r="H4" s="68" t="s">
        <v>589</v>
      </c>
      <c r="I4" s="68" t="s">
        <v>601</v>
      </c>
      <c r="J4" s="411"/>
      <c r="K4" s="418"/>
      <c r="L4"/>
      <c r="M4" s="403"/>
      <c r="N4" s="400" t="s">
        <v>925</v>
      </c>
      <c r="O4" s="400" t="s">
        <v>926</v>
      </c>
      <c r="P4" s="400"/>
      <c r="Q4" s="400"/>
      <c r="R4" s="400"/>
      <c r="S4" s="398"/>
      <c r="T4" s="398"/>
      <c r="U4" s="398"/>
      <c r="V4" s="398"/>
      <c r="W4" s="398"/>
      <c r="X4" s="398"/>
      <c r="Y4" s="398"/>
      <c r="Z4" s="398"/>
      <c r="AA4" s="398"/>
      <c r="AB4" s="398"/>
      <c r="AC4" s="398"/>
      <c r="AD4" s="398"/>
      <c r="AE4" s="398"/>
      <c r="AF4" s="398"/>
      <c r="AG4" s="398"/>
      <c r="AH4" s="398"/>
      <c r="AI4" s="398"/>
      <c r="AJ4" s="398"/>
      <c r="AK4" s="398"/>
      <c r="AL4" s="398"/>
      <c r="AM4" s="398"/>
      <c r="AN4" s="398"/>
      <c r="AO4" s="398"/>
      <c r="AP4" s="398"/>
      <c r="AQ4" s="398"/>
      <c r="AR4" s="398"/>
      <c r="AS4" s="398"/>
      <c r="AT4" s="398"/>
      <c r="AU4" s="398"/>
      <c r="AV4" s="398"/>
      <c r="AW4" s="398"/>
      <c r="AX4" s="398"/>
      <c r="AY4" s="398"/>
      <c r="AZ4" s="398"/>
      <c r="BA4" s="398"/>
      <c r="BB4" s="398"/>
      <c r="BC4" s="398"/>
      <c r="BD4" s="398"/>
      <c r="BE4" s="398"/>
      <c r="BF4" s="398"/>
      <c r="BG4" s="398"/>
      <c r="BH4" s="398"/>
      <c r="BI4" s="398"/>
      <c r="BJ4" s="398"/>
      <c r="BK4" s="398"/>
      <c r="BL4" s="398"/>
      <c r="BM4" s="398"/>
      <c r="BN4" s="398"/>
      <c r="BO4" s="398"/>
      <c r="BP4" s="398"/>
      <c r="BQ4" s="398"/>
      <c r="BR4" s="398"/>
      <c r="BS4" s="398"/>
      <c r="BT4" s="398"/>
      <c r="BU4" s="398"/>
      <c r="BV4" s="398"/>
      <c r="BW4" s="398"/>
      <c r="BX4" s="398"/>
      <c r="BY4" s="398"/>
      <c r="BZ4" s="398"/>
      <c r="CA4" s="398"/>
      <c r="CB4" s="398"/>
      <c r="CC4" s="398"/>
      <c r="CD4" s="398"/>
      <c r="CE4" s="398"/>
      <c r="CF4" s="398"/>
      <c r="CG4" s="398"/>
      <c r="CH4" s="398"/>
      <c r="CI4" s="398"/>
      <c r="CJ4" s="398"/>
      <c r="CK4" s="398"/>
      <c r="CL4" s="398"/>
      <c r="CM4" s="398"/>
      <c r="CN4" s="398"/>
      <c r="CO4" s="398"/>
      <c r="CP4" s="398"/>
      <c r="CQ4" s="398"/>
      <c r="CR4" s="398"/>
      <c r="CS4" s="398"/>
      <c r="CT4" s="398"/>
      <c r="CU4" s="398"/>
      <c r="CV4" s="398"/>
      <c r="CW4" s="398"/>
      <c r="CX4" s="398"/>
      <c r="CY4" s="398"/>
      <c r="CZ4" s="398"/>
      <c r="DA4" s="398"/>
      <c r="DB4" s="398"/>
      <c r="DC4" s="398"/>
      <c r="DD4" s="398"/>
      <c r="DE4" s="398"/>
      <c r="DF4" s="398"/>
      <c r="DG4" s="398"/>
      <c r="DH4" s="398"/>
      <c r="DI4" s="398"/>
    </row>
    <row r="5" spans="1:113" ht="15.75" thickBot="1" x14ac:dyDescent="0.3">
      <c r="A5" s="409"/>
      <c r="B5" s="185">
        <v>1</v>
      </c>
      <c r="C5" s="185">
        <v>2</v>
      </c>
      <c r="D5" s="185">
        <v>3</v>
      </c>
      <c r="E5" s="70">
        <v>4</v>
      </c>
      <c r="F5" s="70">
        <f>+E5+1</f>
        <v>5</v>
      </c>
      <c r="G5" s="70" t="s">
        <v>652</v>
      </c>
      <c r="H5" s="70">
        <v>7</v>
      </c>
      <c r="I5" s="71" t="s">
        <v>651</v>
      </c>
      <c r="J5" s="42" t="s">
        <v>650</v>
      </c>
      <c r="K5" s="42" t="s">
        <v>653</v>
      </c>
      <c r="L5"/>
      <c r="M5" s="403"/>
      <c r="N5" s="402"/>
      <c r="O5" s="402"/>
      <c r="P5" s="402"/>
      <c r="Q5" s="402"/>
      <c r="R5" s="402"/>
      <c r="S5" s="399"/>
      <c r="T5" s="399"/>
      <c r="U5" s="399"/>
      <c r="V5" s="399"/>
      <c r="W5" s="399"/>
      <c r="X5" s="399"/>
      <c r="Y5" s="399"/>
      <c r="Z5" s="399"/>
      <c r="AA5" s="399"/>
      <c r="AB5" s="399"/>
      <c r="AC5" s="399"/>
      <c r="AD5" s="399"/>
      <c r="AE5" s="399"/>
      <c r="AF5" s="399"/>
      <c r="AG5" s="399"/>
      <c r="AH5" s="399"/>
      <c r="AI5" s="399"/>
      <c r="AJ5" s="399"/>
      <c r="AK5" s="399"/>
      <c r="AL5" s="399"/>
      <c r="AM5" s="399"/>
      <c r="AN5" s="399"/>
      <c r="AO5" s="399"/>
      <c r="AP5" s="399"/>
      <c r="AQ5" s="399"/>
      <c r="AR5" s="399"/>
      <c r="AS5" s="399"/>
      <c r="AT5" s="399"/>
      <c r="AU5" s="399"/>
      <c r="AV5" s="399"/>
      <c r="AW5" s="399"/>
      <c r="AX5" s="399"/>
      <c r="AY5" s="399"/>
      <c r="AZ5" s="399"/>
      <c r="BA5" s="399"/>
      <c r="BB5" s="399"/>
      <c r="BC5" s="399"/>
      <c r="BD5" s="399"/>
      <c r="BE5" s="399"/>
      <c r="BF5" s="399"/>
      <c r="BG5" s="399"/>
      <c r="BH5" s="399"/>
      <c r="BI5" s="399"/>
      <c r="BJ5" s="399"/>
      <c r="BK5" s="399"/>
      <c r="BL5" s="399"/>
      <c r="BM5" s="399"/>
      <c r="BN5" s="399"/>
      <c r="BO5" s="399"/>
      <c r="BP5" s="399"/>
      <c r="BQ5" s="399"/>
      <c r="BR5" s="399"/>
      <c r="BS5" s="399"/>
      <c r="BT5" s="399"/>
      <c r="BU5" s="399"/>
      <c r="BV5" s="399"/>
      <c r="BW5" s="399"/>
      <c r="BX5" s="399"/>
      <c r="BY5" s="399"/>
      <c r="BZ5" s="399"/>
      <c r="CA5" s="399"/>
      <c r="CB5" s="399"/>
      <c r="CC5" s="399"/>
      <c r="CD5" s="399"/>
      <c r="CE5" s="399"/>
      <c r="CF5" s="399"/>
      <c r="CG5" s="399"/>
      <c r="CH5" s="399"/>
      <c r="CI5" s="399"/>
      <c r="CJ5" s="399"/>
      <c r="CK5" s="399"/>
      <c r="CL5" s="399"/>
      <c r="CM5" s="399"/>
      <c r="CN5" s="399"/>
      <c r="CO5" s="399"/>
      <c r="CP5" s="399"/>
      <c r="CQ5" s="399"/>
      <c r="CR5" s="399"/>
      <c r="CS5" s="399"/>
      <c r="CT5" s="399"/>
      <c r="CU5" s="399"/>
      <c r="CV5" s="399"/>
      <c r="CW5" s="399"/>
      <c r="CX5" s="399"/>
      <c r="CY5" s="399"/>
      <c r="CZ5" s="399"/>
      <c r="DA5" s="399"/>
      <c r="DB5" s="399"/>
      <c r="DC5" s="399"/>
      <c r="DD5" s="399"/>
      <c r="DE5" s="399"/>
      <c r="DF5" s="399"/>
      <c r="DG5" s="399"/>
      <c r="DH5" s="399"/>
      <c r="DI5" s="399"/>
    </row>
    <row r="6" spans="1:113" x14ac:dyDescent="0.25">
      <c r="A6" s="160"/>
      <c r="B6" s="54"/>
      <c r="C6" s="54"/>
      <c r="D6" s="54"/>
      <c r="E6" s="54"/>
      <c r="F6" s="54"/>
      <c r="G6" s="54"/>
      <c r="H6" s="54"/>
      <c r="I6" s="54"/>
      <c r="J6" s="54"/>
      <c r="K6" s="54"/>
      <c r="L6"/>
      <c r="M6" s="314">
        <f t="shared" ref="M6:M35" si="0">SUM(N6:DJ6)</f>
        <v>0</v>
      </c>
      <c r="N6" s="310"/>
      <c r="O6" s="315"/>
      <c r="P6" s="315"/>
      <c r="Q6" s="315"/>
      <c r="R6" s="31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row>
    <row r="7" spans="1:113" x14ac:dyDescent="0.25">
      <c r="A7" s="152">
        <v>1</v>
      </c>
      <c r="B7" s="215" t="s">
        <v>494</v>
      </c>
      <c r="C7" s="80">
        <v>5000</v>
      </c>
      <c r="D7" s="142">
        <v>5500</v>
      </c>
      <c r="E7" s="43">
        <v>106</v>
      </c>
      <c r="F7" s="60">
        <f>16-16</f>
        <v>0</v>
      </c>
      <c r="G7" s="166">
        <f t="shared" ref="G7:G34" si="1">+E7+F7</f>
        <v>106</v>
      </c>
      <c r="H7" s="55">
        <f>16-16</f>
        <v>0</v>
      </c>
      <c r="I7" s="56">
        <f t="shared" ref="I7:I12" si="2">+G7-H7</f>
        <v>106</v>
      </c>
      <c r="J7" s="56">
        <f t="shared" ref="J7:J12" si="3">I7*C7</f>
        <v>530000</v>
      </c>
      <c r="K7" s="57">
        <f t="shared" ref="K7:K12" si="4">+D7*I7</f>
        <v>583000</v>
      </c>
      <c r="L7"/>
      <c r="M7" s="314">
        <f t="shared" si="0"/>
        <v>0</v>
      </c>
      <c r="N7" s="310"/>
      <c r="O7" s="315"/>
      <c r="P7" s="315"/>
      <c r="Q7" s="315"/>
      <c r="R7" s="31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row>
    <row r="8" spans="1:113" x14ac:dyDescent="0.25">
      <c r="A8" s="152">
        <v>2</v>
      </c>
      <c r="B8" s="79" t="s">
        <v>495</v>
      </c>
      <c r="C8" s="80">
        <v>50000</v>
      </c>
      <c r="D8" s="142">
        <v>38170</v>
      </c>
      <c r="E8" s="43">
        <v>221</v>
      </c>
      <c r="F8" s="60"/>
      <c r="G8" s="166">
        <f t="shared" si="1"/>
        <v>221</v>
      </c>
      <c r="H8" s="55"/>
      <c r="I8" s="56">
        <f t="shared" si="2"/>
        <v>221</v>
      </c>
      <c r="J8" s="56">
        <f t="shared" si="3"/>
        <v>11050000</v>
      </c>
      <c r="K8" s="57">
        <f t="shared" si="4"/>
        <v>8435570</v>
      </c>
      <c r="L8"/>
      <c r="M8" s="314">
        <f t="shared" si="0"/>
        <v>0</v>
      </c>
      <c r="N8" s="310"/>
      <c r="O8" s="315"/>
      <c r="P8" s="315"/>
      <c r="Q8" s="315"/>
      <c r="R8" s="31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row>
    <row r="9" spans="1:113" x14ac:dyDescent="0.25">
      <c r="A9" s="152">
        <v>3</v>
      </c>
      <c r="B9" s="79" t="s">
        <v>496</v>
      </c>
      <c r="C9" s="80">
        <v>400000</v>
      </c>
      <c r="D9" s="142">
        <v>375000</v>
      </c>
      <c r="E9" s="43">
        <v>7</v>
      </c>
      <c r="F9" s="60"/>
      <c r="G9" s="166">
        <f t="shared" si="1"/>
        <v>7</v>
      </c>
      <c r="H9" s="55"/>
      <c r="I9" s="56">
        <f t="shared" si="2"/>
        <v>7</v>
      </c>
      <c r="J9" s="56">
        <f t="shared" si="3"/>
        <v>2800000</v>
      </c>
      <c r="K9" s="57">
        <f t="shared" si="4"/>
        <v>2625000</v>
      </c>
      <c r="L9"/>
      <c r="M9" s="314">
        <f t="shared" si="0"/>
        <v>0</v>
      </c>
      <c r="N9" s="310"/>
      <c r="O9" s="315"/>
      <c r="P9" s="315"/>
      <c r="Q9" s="315"/>
      <c r="R9" s="31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row>
    <row r="10" spans="1:113" x14ac:dyDescent="0.25">
      <c r="A10" s="152">
        <v>4</v>
      </c>
      <c r="B10" s="79" t="s">
        <v>497</v>
      </c>
      <c r="C10" s="80">
        <v>750</v>
      </c>
      <c r="D10" s="142">
        <v>250</v>
      </c>
      <c r="E10" s="43">
        <v>69</v>
      </c>
      <c r="F10" s="59"/>
      <c r="G10" s="166">
        <f t="shared" si="1"/>
        <v>69</v>
      </c>
      <c r="H10" s="139"/>
      <c r="I10" s="56">
        <f t="shared" si="2"/>
        <v>69</v>
      </c>
      <c r="J10" s="56">
        <f t="shared" si="3"/>
        <v>51750</v>
      </c>
      <c r="K10" s="57">
        <f t="shared" si="4"/>
        <v>17250</v>
      </c>
      <c r="L10"/>
      <c r="M10" s="314">
        <f t="shared" si="0"/>
        <v>0</v>
      </c>
      <c r="N10" s="310"/>
      <c r="O10" s="315"/>
      <c r="P10" s="315"/>
      <c r="Q10" s="315"/>
      <c r="R10" s="31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row>
    <row r="11" spans="1:113" x14ac:dyDescent="0.25">
      <c r="A11" s="152">
        <v>5</v>
      </c>
      <c r="B11" s="79" t="s">
        <v>498</v>
      </c>
      <c r="C11" s="80">
        <v>125000</v>
      </c>
      <c r="D11" s="142">
        <v>134200</v>
      </c>
      <c r="E11" s="43">
        <v>179</v>
      </c>
      <c r="F11" s="59"/>
      <c r="G11" s="166">
        <f t="shared" si="1"/>
        <v>179</v>
      </c>
      <c r="H11" s="139"/>
      <c r="I11" s="56">
        <f t="shared" si="2"/>
        <v>179</v>
      </c>
      <c r="J11" s="56">
        <f t="shared" si="3"/>
        <v>22375000</v>
      </c>
      <c r="K11" s="57">
        <f t="shared" si="4"/>
        <v>24021800</v>
      </c>
      <c r="L11"/>
      <c r="M11" s="314">
        <f t="shared" si="0"/>
        <v>0</v>
      </c>
      <c r="N11" s="310"/>
      <c r="O11" s="315"/>
      <c r="P11" s="315"/>
      <c r="Q11" s="315"/>
      <c r="R11" s="31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5"/>
      <c r="DD11" s="55"/>
      <c r="DE11" s="55"/>
      <c r="DF11" s="55"/>
      <c r="DG11" s="55"/>
      <c r="DH11" s="55"/>
      <c r="DI11" s="55"/>
    </row>
    <row r="12" spans="1:113" x14ac:dyDescent="0.25">
      <c r="A12" s="152">
        <v>6</v>
      </c>
      <c r="B12" s="79" t="s">
        <v>499</v>
      </c>
      <c r="C12" s="80">
        <v>75000</v>
      </c>
      <c r="D12" s="142">
        <f>45000+45000*10%</f>
        <v>49500</v>
      </c>
      <c r="E12" s="43">
        <v>0</v>
      </c>
      <c r="F12" s="59"/>
      <c r="G12" s="166">
        <f t="shared" si="1"/>
        <v>0</v>
      </c>
      <c r="H12" s="139"/>
      <c r="I12" s="56">
        <f t="shared" si="2"/>
        <v>0</v>
      </c>
      <c r="J12" s="56">
        <f t="shared" si="3"/>
        <v>0</v>
      </c>
      <c r="K12" s="57">
        <f t="shared" si="4"/>
        <v>0</v>
      </c>
      <c r="L12"/>
      <c r="M12" s="314">
        <f t="shared" si="0"/>
        <v>0</v>
      </c>
      <c r="N12" s="310"/>
      <c r="O12" s="315"/>
      <c r="P12" s="315"/>
      <c r="Q12" s="315"/>
      <c r="R12" s="31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row>
    <row r="13" spans="1:113" x14ac:dyDescent="0.25">
      <c r="A13" s="152">
        <v>7</v>
      </c>
      <c r="B13" s="79" t="s">
        <v>838</v>
      </c>
      <c r="C13" s="80">
        <v>8000</v>
      </c>
      <c r="D13" s="142">
        <v>7260</v>
      </c>
      <c r="E13" s="43">
        <v>600</v>
      </c>
      <c r="F13" s="59">
        <f>2000-2000</f>
        <v>0</v>
      </c>
      <c r="G13" s="166">
        <f t="shared" si="1"/>
        <v>600</v>
      </c>
      <c r="H13" s="139">
        <f>1200+100-1300+100-100</f>
        <v>0</v>
      </c>
      <c r="I13" s="56">
        <f t="shared" ref="I13:I15" si="5">+G13-H13</f>
        <v>600</v>
      </c>
      <c r="J13" s="56">
        <f t="shared" ref="J13:J15" si="6">I13*C13</f>
        <v>4800000</v>
      </c>
      <c r="K13" s="57">
        <f t="shared" ref="K13:K15" si="7">+D13*I13</f>
        <v>4356000</v>
      </c>
      <c r="L13"/>
      <c r="M13" s="314">
        <f t="shared" si="0"/>
        <v>0</v>
      </c>
      <c r="N13" s="310"/>
      <c r="O13" s="315"/>
      <c r="P13" s="315"/>
      <c r="Q13" s="315"/>
      <c r="R13" s="31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c r="CN13" s="55"/>
      <c r="CO13" s="55"/>
      <c r="CP13" s="55"/>
      <c r="CQ13" s="55"/>
      <c r="CR13" s="55"/>
      <c r="CS13" s="55"/>
      <c r="CT13" s="55"/>
      <c r="CU13" s="55"/>
      <c r="CV13" s="55"/>
      <c r="CW13" s="55"/>
      <c r="CX13" s="55"/>
      <c r="CY13" s="55"/>
      <c r="CZ13" s="55"/>
      <c r="DA13" s="55"/>
      <c r="DB13" s="55"/>
      <c r="DC13" s="55"/>
      <c r="DD13" s="55"/>
      <c r="DE13" s="55"/>
      <c r="DF13" s="55"/>
      <c r="DG13" s="55"/>
      <c r="DH13" s="55"/>
      <c r="DI13" s="55"/>
    </row>
    <row r="14" spans="1:113" x14ac:dyDescent="0.25">
      <c r="A14" s="152">
        <v>8</v>
      </c>
      <c r="B14" s="79" t="s">
        <v>858</v>
      </c>
      <c r="C14" s="80">
        <v>18000</v>
      </c>
      <c r="D14" s="142">
        <v>9240</v>
      </c>
      <c r="E14" s="43">
        <v>620</v>
      </c>
      <c r="F14" s="59">
        <f>2000-2000</f>
        <v>0</v>
      </c>
      <c r="G14" s="166">
        <f t="shared" si="1"/>
        <v>620</v>
      </c>
      <c r="H14" s="139">
        <f>1200+100+80-1380</f>
        <v>0</v>
      </c>
      <c r="I14" s="56">
        <f t="shared" si="5"/>
        <v>620</v>
      </c>
      <c r="J14" s="56">
        <f t="shared" si="6"/>
        <v>11160000</v>
      </c>
      <c r="K14" s="57">
        <f t="shared" si="7"/>
        <v>5728800</v>
      </c>
      <c r="L14"/>
      <c r="M14" s="314">
        <f t="shared" si="0"/>
        <v>0</v>
      </c>
      <c r="N14" s="310"/>
      <c r="O14" s="315"/>
      <c r="P14" s="315"/>
      <c r="Q14" s="315"/>
      <c r="R14" s="31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55"/>
      <c r="CZ14" s="55"/>
      <c r="DA14" s="55"/>
      <c r="DB14" s="55"/>
      <c r="DC14" s="55"/>
      <c r="DD14" s="55"/>
      <c r="DE14" s="55"/>
      <c r="DF14" s="55"/>
      <c r="DG14" s="55"/>
      <c r="DH14" s="55"/>
      <c r="DI14" s="55"/>
    </row>
    <row r="15" spans="1:113" x14ac:dyDescent="0.25">
      <c r="A15" s="152">
        <v>9</v>
      </c>
      <c r="B15" s="79" t="s">
        <v>861</v>
      </c>
      <c r="C15" s="80">
        <v>2500</v>
      </c>
      <c r="D15" s="142">
        <v>2090</v>
      </c>
      <c r="E15" s="43">
        <v>0</v>
      </c>
      <c r="F15" s="59">
        <f>500-500</f>
        <v>0</v>
      </c>
      <c r="G15" s="166">
        <f t="shared" si="1"/>
        <v>0</v>
      </c>
      <c r="H15" s="139">
        <f>500-500</f>
        <v>0</v>
      </c>
      <c r="I15" s="56">
        <f t="shared" si="5"/>
        <v>0</v>
      </c>
      <c r="J15" s="56">
        <f t="shared" si="6"/>
        <v>0</v>
      </c>
      <c r="K15" s="57">
        <f t="shared" si="7"/>
        <v>0</v>
      </c>
      <c r="L15"/>
      <c r="M15" s="314">
        <f t="shared" si="0"/>
        <v>0</v>
      </c>
      <c r="N15" s="310"/>
      <c r="O15" s="315"/>
      <c r="P15" s="315"/>
      <c r="Q15" s="315"/>
      <c r="R15" s="31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c r="CN15" s="55"/>
      <c r="CO15" s="55"/>
      <c r="CP15" s="55"/>
      <c r="CQ15" s="55"/>
      <c r="CR15" s="55"/>
      <c r="CS15" s="55"/>
      <c r="CT15" s="55"/>
      <c r="CU15" s="55"/>
      <c r="CV15" s="55"/>
      <c r="CW15" s="55"/>
      <c r="CX15" s="55"/>
      <c r="CY15" s="55"/>
      <c r="CZ15" s="55"/>
      <c r="DA15" s="55"/>
      <c r="DB15" s="55"/>
      <c r="DC15" s="55"/>
      <c r="DD15" s="55"/>
      <c r="DE15" s="55"/>
      <c r="DF15" s="55"/>
      <c r="DG15" s="55"/>
      <c r="DH15" s="55"/>
      <c r="DI15" s="55"/>
    </row>
    <row r="16" spans="1:113" x14ac:dyDescent="0.25">
      <c r="A16" s="152">
        <v>10</v>
      </c>
      <c r="B16" s="115" t="s">
        <v>870</v>
      </c>
      <c r="C16" s="116">
        <v>12000</v>
      </c>
      <c r="D16" s="190"/>
      <c r="E16" s="122">
        <v>0</v>
      </c>
      <c r="F16" s="118">
        <f>100-100</f>
        <v>0</v>
      </c>
      <c r="G16" s="166">
        <f t="shared" si="1"/>
        <v>0</v>
      </c>
      <c r="H16" s="169">
        <f>100-100</f>
        <v>0</v>
      </c>
      <c r="I16" s="56">
        <f t="shared" ref="I16:I35" si="8">+G16-H16</f>
        <v>0</v>
      </c>
      <c r="J16" s="56">
        <f t="shared" ref="J16:J35" si="9">I16*C16</f>
        <v>0</v>
      </c>
      <c r="K16" s="57">
        <f t="shared" ref="K16:K35" si="10">+D16*I16</f>
        <v>0</v>
      </c>
      <c r="L16"/>
      <c r="M16" s="314">
        <f t="shared" si="0"/>
        <v>0</v>
      </c>
      <c r="N16" s="310"/>
      <c r="O16" s="315"/>
      <c r="P16" s="315"/>
      <c r="Q16" s="315"/>
      <c r="R16" s="31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row>
    <row r="17" spans="1:113" x14ac:dyDescent="0.25">
      <c r="A17" s="152">
        <v>11</v>
      </c>
      <c r="B17" s="115" t="s">
        <v>871</v>
      </c>
      <c r="C17" s="116">
        <v>12000</v>
      </c>
      <c r="D17" s="190"/>
      <c r="E17" s="122">
        <v>0</v>
      </c>
      <c r="F17" s="118">
        <f>25-25</f>
        <v>0</v>
      </c>
      <c r="G17" s="166">
        <f t="shared" si="1"/>
        <v>0</v>
      </c>
      <c r="H17" s="169">
        <f>25-25</f>
        <v>0</v>
      </c>
      <c r="I17" s="56">
        <f t="shared" si="8"/>
        <v>0</v>
      </c>
      <c r="J17" s="56">
        <f t="shared" si="9"/>
        <v>0</v>
      </c>
      <c r="K17" s="57">
        <f t="shared" si="10"/>
        <v>0</v>
      </c>
      <c r="L17"/>
      <c r="M17" s="314">
        <f t="shared" si="0"/>
        <v>0</v>
      </c>
      <c r="N17" s="310"/>
      <c r="O17" s="315"/>
      <c r="P17" s="315"/>
      <c r="Q17" s="315"/>
      <c r="R17" s="31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5"/>
      <c r="CR17" s="55"/>
      <c r="CS17" s="55"/>
      <c r="CT17" s="55"/>
      <c r="CU17" s="55"/>
      <c r="CV17" s="55"/>
      <c r="CW17" s="55"/>
      <c r="CX17" s="55"/>
      <c r="CY17" s="55"/>
      <c r="CZ17" s="55"/>
      <c r="DA17" s="55"/>
      <c r="DB17" s="55"/>
      <c r="DC17" s="55"/>
      <c r="DD17" s="55"/>
      <c r="DE17" s="55"/>
      <c r="DF17" s="55"/>
      <c r="DG17" s="55"/>
      <c r="DH17" s="55"/>
      <c r="DI17" s="55"/>
    </row>
    <row r="18" spans="1:113" x14ac:dyDescent="0.25">
      <c r="A18" s="152">
        <v>12</v>
      </c>
      <c r="B18" s="274" t="s">
        <v>872</v>
      </c>
      <c r="C18" s="116">
        <v>15000</v>
      </c>
      <c r="D18" s="190"/>
      <c r="E18" s="122">
        <v>0</v>
      </c>
      <c r="F18" s="118">
        <f>25-25</f>
        <v>0</v>
      </c>
      <c r="G18" s="166">
        <f t="shared" si="1"/>
        <v>0</v>
      </c>
      <c r="H18" s="169">
        <f>25-25</f>
        <v>0</v>
      </c>
      <c r="I18" s="56">
        <f t="shared" si="8"/>
        <v>0</v>
      </c>
      <c r="J18" s="56">
        <f t="shared" si="9"/>
        <v>0</v>
      </c>
      <c r="K18" s="57">
        <f t="shared" si="10"/>
        <v>0</v>
      </c>
      <c r="L18"/>
      <c r="M18" s="314">
        <f t="shared" si="0"/>
        <v>0</v>
      </c>
      <c r="N18" s="310"/>
      <c r="O18" s="315"/>
      <c r="P18" s="315"/>
      <c r="Q18" s="315"/>
      <c r="R18" s="31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row>
    <row r="19" spans="1:113" x14ac:dyDescent="0.25">
      <c r="A19" s="152">
        <v>13</v>
      </c>
      <c r="B19" s="115" t="s">
        <v>873</v>
      </c>
      <c r="C19" s="116">
        <v>120000</v>
      </c>
      <c r="D19" s="190">
        <v>115500</v>
      </c>
      <c r="E19" s="122">
        <v>0</v>
      </c>
      <c r="F19" s="118">
        <f>10-10</f>
        <v>0</v>
      </c>
      <c r="G19" s="166">
        <f t="shared" si="1"/>
        <v>0</v>
      </c>
      <c r="H19" s="169">
        <f>10-10</f>
        <v>0</v>
      </c>
      <c r="I19" s="56">
        <f t="shared" si="8"/>
        <v>0</v>
      </c>
      <c r="J19" s="56">
        <f t="shared" si="9"/>
        <v>0</v>
      </c>
      <c r="K19" s="57">
        <f t="shared" si="10"/>
        <v>0</v>
      </c>
      <c r="L19"/>
      <c r="M19" s="314">
        <f t="shared" si="0"/>
        <v>0</v>
      </c>
      <c r="N19" s="310"/>
      <c r="O19" s="315"/>
      <c r="P19" s="315"/>
      <c r="Q19" s="315"/>
      <c r="R19" s="31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row>
    <row r="20" spans="1:113" x14ac:dyDescent="0.25">
      <c r="A20" s="152">
        <v>14</v>
      </c>
      <c r="B20" s="115" t="s">
        <v>874</v>
      </c>
      <c r="C20" s="116">
        <v>120000</v>
      </c>
      <c r="D20" s="190">
        <v>60500</v>
      </c>
      <c r="E20" s="122">
        <v>0</v>
      </c>
      <c r="F20" s="118">
        <f>25-25</f>
        <v>0</v>
      </c>
      <c r="G20" s="166">
        <f t="shared" si="1"/>
        <v>0</v>
      </c>
      <c r="H20" s="169">
        <f>25-25</f>
        <v>0</v>
      </c>
      <c r="I20" s="56">
        <f t="shared" si="8"/>
        <v>0</v>
      </c>
      <c r="J20" s="56">
        <f t="shared" si="9"/>
        <v>0</v>
      </c>
      <c r="K20" s="57">
        <f t="shared" si="10"/>
        <v>0</v>
      </c>
      <c r="L20"/>
      <c r="M20" s="314">
        <f t="shared" si="0"/>
        <v>0</v>
      </c>
      <c r="N20" s="310"/>
      <c r="O20" s="315"/>
      <c r="P20" s="315"/>
      <c r="Q20" s="315"/>
      <c r="R20" s="31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row>
    <row r="21" spans="1:113" x14ac:dyDescent="0.25">
      <c r="A21" s="152">
        <v>15</v>
      </c>
      <c r="B21" s="79" t="s">
        <v>878</v>
      </c>
      <c r="C21" s="80">
        <v>80000</v>
      </c>
      <c r="D21" s="142"/>
      <c r="E21" s="43">
        <v>0</v>
      </c>
      <c r="F21" s="118">
        <f>50-50</f>
        <v>0</v>
      </c>
      <c r="G21" s="166">
        <f t="shared" si="1"/>
        <v>0</v>
      </c>
      <c r="H21" s="169">
        <f>50-50</f>
        <v>0</v>
      </c>
      <c r="I21" s="56">
        <f t="shared" si="8"/>
        <v>0</v>
      </c>
      <c r="J21" s="56">
        <f t="shared" si="9"/>
        <v>0</v>
      </c>
      <c r="K21" s="57">
        <f t="shared" si="10"/>
        <v>0</v>
      </c>
      <c r="L21"/>
      <c r="M21" s="314">
        <f t="shared" si="0"/>
        <v>0</v>
      </c>
      <c r="N21" s="310"/>
      <c r="O21" s="315"/>
      <c r="P21" s="315"/>
      <c r="Q21" s="315"/>
      <c r="R21" s="31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row>
    <row r="22" spans="1:113" x14ac:dyDescent="0.25">
      <c r="A22" s="152">
        <v>16</v>
      </c>
      <c r="B22" s="281" t="s">
        <v>875</v>
      </c>
      <c r="C22" s="282">
        <v>800000</v>
      </c>
      <c r="D22" s="283">
        <v>357000</v>
      </c>
      <c r="E22" s="284">
        <v>678</v>
      </c>
      <c r="F22" s="59">
        <f>680-680</f>
        <v>0</v>
      </c>
      <c r="G22" s="166">
        <f t="shared" ref="G22:G27" si="11">+E22+F22</f>
        <v>678</v>
      </c>
      <c r="H22" s="169">
        <f>2-2</f>
        <v>0</v>
      </c>
      <c r="I22" s="56">
        <f t="shared" ref="I22:I27" si="12">+G22-H22</f>
        <v>678</v>
      </c>
      <c r="J22" s="56">
        <f t="shared" ref="J22:J27" si="13">I22*C22</f>
        <v>542400000</v>
      </c>
      <c r="K22" s="57">
        <f t="shared" ref="K22:K27" si="14">+D22*I22</f>
        <v>242046000</v>
      </c>
      <c r="L22"/>
      <c r="M22" s="314">
        <f t="shared" si="0"/>
        <v>0</v>
      </c>
      <c r="N22" s="310"/>
      <c r="O22" s="315"/>
      <c r="P22" s="315"/>
      <c r="Q22" s="315"/>
      <c r="R22" s="31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row>
    <row r="23" spans="1:113" x14ac:dyDescent="0.25">
      <c r="A23" s="152">
        <v>17</v>
      </c>
      <c r="B23" s="281" t="s">
        <v>894</v>
      </c>
      <c r="C23" s="282">
        <v>12000</v>
      </c>
      <c r="D23" s="283">
        <v>6160</v>
      </c>
      <c r="E23" s="122">
        <v>0</v>
      </c>
      <c r="F23" s="251">
        <f>2000-2000</f>
        <v>0</v>
      </c>
      <c r="G23" s="166">
        <f t="shared" si="11"/>
        <v>0</v>
      </c>
      <c r="H23" s="169">
        <f>1640+260+100-2000</f>
        <v>0</v>
      </c>
      <c r="I23" s="56">
        <f t="shared" si="12"/>
        <v>0</v>
      </c>
      <c r="J23" s="56">
        <f t="shared" si="13"/>
        <v>0</v>
      </c>
      <c r="K23" s="57">
        <f t="shared" si="14"/>
        <v>0</v>
      </c>
      <c r="L23"/>
      <c r="M23" s="314">
        <f t="shared" si="0"/>
        <v>0</v>
      </c>
      <c r="N23" s="310"/>
      <c r="O23" s="315"/>
      <c r="P23" s="315"/>
      <c r="Q23" s="315"/>
      <c r="R23" s="31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5"/>
      <c r="DF23" s="55"/>
      <c r="DG23" s="55"/>
      <c r="DH23" s="55"/>
      <c r="DI23" s="55"/>
    </row>
    <row r="24" spans="1:113" x14ac:dyDescent="0.25">
      <c r="A24" s="152">
        <v>18</v>
      </c>
      <c r="B24" s="281" t="s">
        <v>895</v>
      </c>
      <c r="C24" s="282">
        <v>12000</v>
      </c>
      <c r="D24" s="283">
        <v>6160</v>
      </c>
      <c r="E24" s="122">
        <v>90</v>
      </c>
      <c r="F24" s="118">
        <f>2000-2000</f>
        <v>0</v>
      </c>
      <c r="G24" s="166">
        <f t="shared" si="11"/>
        <v>90</v>
      </c>
      <c r="H24" s="169">
        <f>1140+100+100-1340+20+50+500-570</f>
        <v>0</v>
      </c>
      <c r="I24" s="56">
        <f t="shared" si="12"/>
        <v>90</v>
      </c>
      <c r="J24" s="56">
        <f t="shared" si="13"/>
        <v>1080000</v>
      </c>
      <c r="K24" s="57">
        <f t="shared" si="14"/>
        <v>554400</v>
      </c>
      <c r="L24"/>
      <c r="M24" s="314">
        <f t="shared" si="0"/>
        <v>0</v>
      </c>
      <c r="N24" s="310"/>
      <c r="O24" s="315"/>
      <c r="P24" s="315"/>
      <c r="Q24" s="315"/>
      <c r="R24" s="31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55"/>
      <c r="CB24" s="55"/>
      <c r="CC24" s="55"/>
      <c r="CD24" s="55"/>
      <c r="CE24" s="55"/>
      <c r="CF24" s="55"/>
      <c r="CG24" s="55"/>
      <c r="CH24" s="55"/>
      <c r="CI24" s="55"/>
      <c r="CJ24" s="55"/>
      <c r="CK24" s="55"/>
      <c r="CL24" s="55"/>
      <c r="CM24" s="55"/>
      <c r="CN24" s="55"/>
      <c r="CO24" s="55"/>
      <c r="CP24" s="55"/>
      <c r="CQ24" s="55"/>
      <c r="CR24" s="55"/>
      <c r="CS24" s="55"/>
      <c r="CT24" s="55"/>
      <c r="CU24" s="55"/>
      <c r="CV24" s="55"/>
      <c r="CW24" s="55"/>
      <c r="CX24" s="55"/>
      <c r="CY24" s="55"/>
      <c r="CZ24" s="55"/>
      <c r="DA24" s="55"/>
      <c r="DB24" s="55"/>
      <c r="DC24" s="55"/>
      <c r="DD24" s="55"/>
      <c r="DE24" s="55"/>
      <c r="DF24" s="55"/>
      <c r="DG24" s="55"/>
      <c r="DH24" s="55"/>
      <c r="DI24" s="55"/>
    </row>
    <row r="25" spans="1:113" x14ac:dyDescent="0.25">
      <c r="A25" s="152">
        <v>19</v>
      </c>
      <c r="B25" s="281" t="s">
        <v>900</v>
      </c>
      <c r="C25" s="282">
        <v>5000</v>
      </c>
      <c r="D25" s="283">
        <v>1155</v>
      </c>
      <c r="E25" s="43">
        <v>0</v>
      </c>
      <c r="F25" s="118">
        <f>20000-20000</f>
        <v>0</v>
      </c>
      <c r="G25" s="166">
        <f t="shared" si="11"/>
        <v>0</v>
      </c>
      <c r="H25" s="169">
        <f>20000-20000</f>
        <v>0</v>
      </c>
      <c r="I25" s="56">
        <f t="shared" si="12"/>
        <v>0</v>
      </c>
      <c r="J25" s="56">
        <f t="shared" si="13"/>
        <v>0</v>
      </c>
      <c r="K25" s="57">
        <f t="shared" si="14"/>
        <v>0</v>
      </c>
      <c r="L25"/>
      <c r="M25" s="314">
        <f t="shared" si="0"/>
        <v>0</v>
      </c>
      <c r="N25" s="310"/>
      <c r="O25" s="315"/>
      <c r="P25" s="315"/>
      <c r="Q25" s="315"/>
      <c r="R25" s="31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55"/>
      <c r="CZ25" s="55"/>
      <c r="DA25" s="55"/>
      <c r="DB25" s="55"/>
      <c r="DC25" s="55"/>
      <c r="DD25" s="55"/>
      <c r="DE25" s="55"/>
      <c r="DF25" s="55"/>
      <c r="DG25" s="55"/>
      <c r="DH25" s="55"/>
      <c r="DI25" s="55"/>
    </row>
    <row r="26" spans="1:113" x14ac:dyDescent="0.25">
      <c r="A26" s="152">
        <v>20</v>
      </c>
      <c r="B26" s="281" t="s">
        <v>917</v>
      </c>
      <c r="C26" s="282">
        <v>102000</v>
      </c>
      <c r="D26" s="283">
        <v>52360</v>
      </c>
      <c r="E26" s="283">
        <v>0</v>
      </c>
      <c r="F26" s="118">
        <v>453</v>
      </c>
      <c r="G26" s="166">
        <f t="shared" si="11"/>
        <v>453</v>
      </c>
      <c r="H26" s="169">
        <v>453</v>
      </c>
      <c r="I26" s="56">
        <f t="shared" si="12"/>
        <v>0</v>
      </c>
      <c r="J26" s="56">
        <f t="shared" si="13"/>
        <v>0</v>
      </c>
      <c r="K26" s="57">
        <f t="shared" si="14"/>
        <v>0</v>
      </c>
      <c r="L26"/>
      <c r="M26" s="314">
        <f t="shared" si="0"/>
        <v>0</v>
      </c>
      <c r="N26" s="310"/>
      <c r="O26" s="315"/>
      <c r="P26" s="315"/>
      <c r="Q26" s="315"/>
      <c r="R26" s="31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5"/>
      <c r="CG26" s="55"/>
      <c r="CH26" s="55"/>
      <c r="CI26" s="55"/>
      <c r="CJ26" s="55"/>
      <c r="CK26" s="55"/>
      <c r="CL26" s="55"/>
      <c r="CM26" s="55"/>
      <c r="CN26" s="55"/>
      <c r="CO26" s="55"/>
      <c r="CP26" s="55"/>
      <c r="CQ26" s="55"/>
      <c r="CR26" s="55"/>
      <c r="CS26" s="55"/>
      <c r="CT26" s="55"/>
      <c r="CU26" s="55"/>
      <c r="CV26" s="55"/>
      <c r="CW26" s="55"/>
      <c r="CX26" s="55"/>
      <c r="CY26" s="55"/>
      <c r="CZ26" s="55"/>
      <c r="DA26" s="55"/>
      <c r="DB26" s="55"/>
      <c r="DC26" s="55"/>
      <c r="DD26" s="55"/>
      <c r="DE26" s="55"/>
      <c r="DF26" s="55"/>
      <c r="DG26" s="55"/>
      <c r="DH26" s="55"/>
      <c r="DI26" s="55"/>
    </row>
    <row r="27" spans="1:113" x14ac:dyDescent="0.25">
      <c r="A27" s="152"/>
      <c r="B27" s="281"/>
      <c r="C27" s="282"/>
      <c r="D27" s="283"/>
      <c r="E27" s="283">
        <v>0</v>
      </c>
      <c r="F27" s="118">
        <v>0</v>
      </c>
      <c r="G27" s="166">
        <f t="shared" si="11"/>
        <v>0</v>
      </c>
      <c r="H27" s="169">
        <v>0</v>
      </c>
      <c r="I27" s="56">
        <f t="shared" si="12"/>
        <v>0</v>
      </c>
      <c r="J27" s="56">
        <f t="shared" si="13"/>
        <v>0</v>
      </c>
      <c r="K27" s="57">
        <f t="shared" si="14"/>
        <v>0</v>
      </c>
      <c r="L27"/>
      <c r="M27" s="314">
        <f t="shared" si="0"/>
        <v>0</v>
      </c>
      <c r="N27" s="310"/>
      <c r="O27" s="315"/>
      <c r="P27" s="315"/>
      <c r="Q27" s="315"/>
      <c r="R27" s="31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55"/>
      <c r="CB27" s="55"/>
      <c r="CC27" s="55"/>
      <c r="CD27" s="55"/>
      <c r="CE27" s="55"/>
      <c r="CF27" s="55"/>
      <c r="CG27" s="55"/>
      <c r="CH27" s="55"/>
      <c r="CI27" s="55"/>
      <c r="CJ27" s="55"/>
      <c r="CK27" s="55"/>
      <c r="CL27" s="55"/>
      <c r="CM27" s="55"/>
      <c r="CN27" s="55"/>
      <c r="CO27" s="55"/>
      <c r="CP27" s="55"/>
      <c r="CQ27" s="55"/>
      <c r="CR27" s="55"/>
      <c r="CS27" s="55"/>
      <c r="CT27" s="55"/>
      <c r="CU27" s="55"/>
      <c r="CV27" s="55"/>
      <c r="CW27" s="55"/>
      <c r="CX27" s="55"/>
      <c r="CY27" s="55"/>
      <c r="CZ27" s="55"/>
      <c r="DA27" s="55"/>
      <c r="DB27" s="55"/>
      <c r="DC27" s="55"/>
      <c r="DD27" s="55"/>
      <c r="DE27" s="55"/>
      <c r="DF27" s="55"/>
      <c r="DG27" s="55"/>
      <c r="DH27" s="55"/>
      <c r="DI27" s="55"/>
    </row>
    <row r="28" spans="1:113" x14ac:dyDescent="0.25">
      <c r="A28" s="152"/>
      <c r="B28" s="281"/>
      <c r="C28" s="282"/>
      <c r="D28" s="283"/>
      <c r="E28" s="284"/>
      <c r="F28" s="59"/>
      <c r="G28" s="166"/>
      <c r="H28" s="169">
        <v>0</v>
      </c>
      <c r="I28" s="56"/>
      <c r="J28" s="56"/>
      <c r="K28" s="57"/>
      <c r="L28"/>
      <c r="M28" s="314">
        <f t="shared" si="0"/>
        <v>0</v>
      </c>
      <c r="N28" s="310"/>
      <c r="O28" s="315"/>
      <c r="P28" s="315"/>
      <c r="Q28" s="315"/>
      <c r="R28" s="31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5"/>
      <c r="DF28" s="55"/>
      <c r="DG28" s="55"/>
      <c r="DH28" s="55"/>
      <c r="DI28" s="55"/>
    </row>
    <row r="29" spans="1:113" x14ac:dyDescent="0.25">
      <c r="A29" s="152"/>
      <c r="B29" s="281"/>
      <c r="C29" s="282"/>
      <c r="D29" s="283"/>
      <c r="E29" s="284"/>
      <c r="F29" s="59"/>
      <c r="G29" s="166"/>
      <c r="H29" s="169"/>
      <c r="I29" s="56"/>
      <c r="J29" s="56"/>
      <c r="K29" s="57"/>
      <c r="L29"/>
      <c r="M29" s="314">
        <f t="shared" si="0"/>
        <v>0</v>
      </c>
      <c r="N29" s="310"/>
      <c r="O29" s="315"/>
      <c r="P29" s="315"/>
      <c r="Q29" s="315"/>
      <c r="R29" s="31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5"/>
      <c r="DF29" s="55"/>
      <c r="DG29" s="55"/>
      <c r="DH29" s="55"/>
      <c r="DI29" s="55"/>
    </row>
    <row r="30" spans="1:113" x14ac:dyDescent="0.25">
      <c r="A30" s="152"/>
      <c r="B30" s="281"/>
      <c r="C30" s="282"/>
      <c r="D30" s="283"/>
      <c r="E30" s="284"/>
      <c r="F30" s="59"/>
      <c r="G30" s="166"/>
      <c r="H30" s="169"/>
      <c r="I30" s="56"/>
      <c r="J30" s="56"/>
      <c r="K30" s="57"/>
      <c r="L30"/>
      <c r="M30" s="314">
        <f t="shared" si="0"/>
        <v>0</v>
      </c>
      <c r="N30" s="310"/>
      <c r="O30" s="315"/>
      <c r="P30" s="315"/>
      <c r="Q30" s="315"/>
      <c r="R30" s="31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row>
    <row r="31" spans="1:113" x14ac:dyDescent="0.25">
      <c r="A31" s="152"/>
      <c r="B31" s="281"/>
      <c r="C31" s="282"/>
      <c r="D31" s="283"/>
      <c r="E31" s="284"/>
      <c r="F31" s="59"/>
      <c r="G31" s="166"/>
      <c r="H31" s="169"/>
      <c r="I31" s="56"/>
      <c r="J31" s="56"/>
      <c r="K31" s="57"/>
      <c r="L31"/>
      <c r="M31" s="314">
        <f t="shared" si="0"/>
        <v>0</v>
      </c>
      <c r="N31" s="310"/>
      <c r="O31" s="315"/>
      <c r="P31" s="315"/>
      <c r="Q31" s="315"/>
      <c r="R31" s="31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row>
    <row r="32" spans="1:113" x14ac:dyDescent="0.25">
      <c r="A32" s="152"/>
      <c r="B32" s="281"/>
      <c r="C32" s="282"/>
      <c r="D32" s="283"/>
      <c r="E32" s="284"/>
      <c r="F32" s="59"/>
      <c r="G32" s="166"/>
      <c r="H32" s="169"/>
      <c r="I32" s="56"/>
      <c r="J32" s="56"/>
      <c r="K32" s="57"/>
      <c r="L32"/>
      <c r="M32" s="314">
        <f t="shared" si="0"/>
        <v>0</v>
      </c>
      <c r="N32" s="310"/>
      <c r="O32" s="315"/>
      <c r="P32" s="315"/>
      <c r="Q32" s="315"/>
      <c r="R32" s="31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row>
    <row r="33" spans="1:113" x14ac:dyDescent="0.25">
      <c r="A33" s="152"/>
      <c r="B33" s="281"/>
      <c r="C33" s="282"/>
      <c r="D33" s="283"/>
      <c r="E33" s="284"/>
      <c r="F33" s="59"/>
      <c r="G33" s="166"/>
      <c r="H33" s="169"/>
      <c r="I33" s="56"/>
      <c r="J33" s="56"/>
      <c r="K33" s="57"/>
      <c r="L33"/>
      <c r="M33" s="314">
        <f t="shared" si="0"/>
        <v>0</v>
      </c>
      <c r="N33" s="310"/>
      <c r="O33" s="315"/>
      <c r="P33" s="315"/>
      <c r="Q33" s="315"/>
      <c r="R33" s="31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row>
    <row r="34" spans="1:113" x14ac:dyDescent="0.25">
      <c r="A34" s="152"/>
      <c r="B34" s="79"/>
      <c r="C34" s="80"/>
      <c r="D34" s="142"/>
      <c r="E34" s="43">
        <v>0</v>
      </c>
      <c r="F34" s="59">
        <f>50-50</f>
        <v>0</v>
      </c>
      <c r="G34" s="166">
        <f t="shared" si="1"/>
        <v>0</v>
      </c>
      <c r="H34" s="169">
        <f>50-50</f>
        <v>0</v>
      </c>
      <c r="I34" s="56">
        <f t="shared" ref="I34" si="15">+G34-H34</f>
        <v>0</v>
      </c>
      <c r="J34" s="56">
        <f t="shared" ref="J34" si="16">I34*C34</f>
        <v>0</v>
      </c>
      <c r="K34" s="57">
        <f t="shared" ref="K34" si="17">+D34*I34</f>
        <v>0</v>
      </c>
      <c r="L34"/>
      <c r="M34" s="314">
        <f t="shared" si="0"/>
        <v>0</v>
      </c>
      <c r="N34" s="310"/>
      <c r="O34" s="315"/>
      <c r="P34" s="315"/>
      <c r="Q34" s="315"/>
      <c r="R34" s="31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row>
    <row r="35" spans="1:113" ht="15.75" thickBot="1" x14ac:dyDescent="0.3">
      <c r="A35" s="276"/>
      <c r="B35" s="277"/>
      <c r="C35" s="278"/>
      <c r="D35" s="279"/>
      <c r="E35" s="280">
        <v>0</v>
      </c>
      <c r="F35" s="118">
        <f>50-50</f>
        <v>0</v>
      </c>
      <c r="G35" s="166">
        <f t="shared" ref="G35" si="18">+E35+F35</f>
        <v>0</v>
      </c>
      <c r="H35" s="169">
        <f>50-50</f>
        <v>0</v>
      </c>
      <c r="I35" s="56">
        <f t="shared" si="8"/>
        <v>0</v>
      </c>
      <c r="J35" s="56">
        <f t="shared" si="9"/>
        <v>0</v>
      </c>
      <c r="K35" s="57">
        <f t="shared" si="10"/>
        <v>0</v>
      </c>
      <c r="L35"/>
      <c r="M35" s="314">
        <f t="shared" si="0"/>
        <v>0</v>
      </c>
      <c r="N35" s="310"/>
      <c r="O35" s="315"/>
      <c r="P35" s="315"/>
      <c r="Q35" s="315"/>
      <c r="R35" s="31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c r="CN35" s="55"/>
      <c r="CO35" s="55"/>
      <c r="CP35" s="55"/>
      <c r="CQ35" s="55"/>
      <c r="CR35" s="55"/>
      <c r="CS35" s="55"/>
      <c r="CT35" s="55"/>
      <c r="CU35" s="55"/>
      <c r="CV35" s="55"/>
      <c r="CW35" s="55"/>
      <c r="CX35" s="55"/>
      <c r="CY35" s="55"/>
      <c r="CZ35" s="55"/>
      <c r="DA35" s="55"/>
      <c r="DB35" s="55"/>
      <c r="DC35" s="55"/>
      <c r="DD35" s="55"/>
      <c r="DE35" s="55"/>
      <c r="DF35" s="55"/>
      <c r="DG35" s="55"/>
      <c r="DH35" s="55"/>
      <c r="DI35" s="55"/>
    </row>
    <row r="36" spans="1:113" ht="15.75" thickBot="1" x14ac:dyDescent="0.3">
      <c r="A36" s="128"/>
      <c r="B36" s="119" t="s">
        <v>721</v>
      </c>
      <c r="C36" s="36"/>
      <c r="D36" s="36"/>
      <c r="E36" s="29">
        <f>SUM(E7:E35)</f>
        <v>2570</v>
      </c>
      <c r="F36" s="29">
        <f t="shared" ref="F36:K36" si="19">SUM(F7:F35)</f>
        <v>453</v>
      </c>
      <c r="G36" s="29">
        <f t="shared" si="19"/>
        <v>3023</v>
      </c>
      <c r="H36" s="29">
        <f t="shared" si="19"/>
        <v>453</v>
      </c>
      <c r="I36" s="29">
        <f t="shared" si="19"/>
        <v>2570</v>
      </c>
      <c r="J36" s="29">
        <f t="shared" si="19"/>
        <v>596246750</v>
      </c>
      <c r="K36" s="172">
        <f t="shared" si="19"/>
        <v>288367820</v>
      </c>
      <c r="L36"/>
      <c r="M36" s="322">
        <f t="shared" ref="M36" si="20">SUM(N36:DJ36)</f>
        <v>0</v>
      </c>
      <c r="N36" s="325"/>
      <c r="O36" s="325"/>
      <c r="P36" s="325"/>
      <c r="Q36" s="325"/>
      <c r="R36" s="325"/>
      <c r="S36" s="324"/>
      <c r="T36" s="324"/>
      <c r="U36" s="324"/>
      <c r="V36" s="324"/>
      <c r="W36" s="324"/>
      <c r="X36" s="324"/>
      <c r="Y36" s="324"/>
      <c r="Z36" s="324"/>
      <c r="AA36" s="324"/>
      <c r="AB36" s="324"/>
      <c r="AC36" s="324"/>
      <c r="AD36" s="324"/>
      <c r="AE36" s="324"/>
      <c r="AF36" s="324"/>
      <c r="AG36" s="324"/>
      <c r="AH36" s="324"/>
      <c r="AI36" s="324"/>
      <c r="AJ36" s="324"/>
      <c r="AK36" s="324"/>
      <c r="AL36" s="324"/>
      <c r="AM36" s="324"/>
      <c r="AN36" s="324"/>
      <c r="AO36" s="324"/>
      <c r="AP36" s="324"/>
      <c r="AQ36" s="324"/>
      <c r="AR36" s="324"/>
      <c r="AS36" s="324"/>
      <c r="AT36" s="324"/>
      <c r="AU36" s="324"/>
      <c r="AV36" s="324"/>
      <c r="AW36" s="324"/>
      <c r="AX36" s="324"/>
      <c r="AY36" s="324"/>
      <c r="AZ36" s="324"/>
      <c r="BA36" s="324"/>
      <c r="BB36" s="324"/>
      <c r="BC36" s="324"/>
      <c r="BD36" s="324"/>
      <c r="BE36" s="324"/>
      <c r="BF36" s="324"/>
      <c r="BG36" s="324"/>
      <c r="BH36" s="324"/>
      <c r="BI36" s="324"/>
      <c r="BJ36" s="324"/>
      <c r="BK36" s="324"/>
      <c r="BL36" s="324"/>
      <c r="BM36" s="324"/>
      <c r="BN36" s="324"/>
      <c r="BO36" s="324"/>
      <c r="BP36" s="324"/>
      <c r="BQ36" s="324"/>
      <c r="BR36" s="324"/>
      <c r="BS36" s="324"/>
      <c r="BT36" s="324"/>
      <c r="BU36" s="324"/>
      <c r="BV36" s="324"/>
      <c r="BW36" s="324"/>
      <c r="BX36" s="324"/>
      <c r="BY36" s="324"/>
      <c r="BZ36" s="324"/>
      <c r="CA36" s="324"/>
      <c r="CB36" s="324"/>
      <c r="CC36" s="324"/>
      <c r="CD36" s="324"/>
      <c r="CE36" s="324"/>
      <c r="CF36" s="324"/>
      <c r="CG36" s="324"/>
      <c r="CH36" s="324"/>
      <c r="CI36" s="324"/>
      <c r="CJ36" s="324"/>
      <c r="CK36" s="324"/>
      <c r="CL36" s="324"/>
      <c r="CM36" s="324"/>
      <c r="CN36" s="324"/>
      <c r="CO36" s="324"/>
      <c r="CP36" s="324"/>
      <c r="CQ36" s="324"/>
      <c r="CR36" s="324"/>
      <c r="CS36" s="324"/>
      <c r="CT36" s="324"/>
      <c r="CU36" s="324"/>
      <c r="CV36" s="324"/>
      <c r="CW36" s="324"/>
      <c r="CX36" s="324"/>
      <c r="CY36" s="324"/>
      <c r="CZ36" s="324"/>
      <c r="DA36" s="324"/>
      <c r="DB36" s="324"/>
      <c r="DC36" s="324"/>
      <c r="DD36" s="324"/>
      <c r="DE36" s="324"/>
      <c r="DF36" s="324"/>
      <c r="DG36" s="324"/>
      <c r="DH36" s="324"/>
      <c r="DI36" s="324"/>
    </row>
    <row r="37" spans="1:113" x14ac:dyDescent="0.25">
      <c r="L37"/>
      <c r="M37"/>
      <c r="N37"/>
      <c r="O37"/>
      <c r="P37"/>
      <c r="Q37"/>
      <c r="R37"/>
      <c r="S37"/>
      <c r="T37"/>
      <c r="U37"/>
      <c r="V37"/>
      <c r="W37"/>
      <c r="X37"/>
      <c r="Y37"/>
    </row>
  </sheetData>
  <mergeCells count="109">
    <mergeCell ref="J3:J4"/>
    <mergeCell ref="K3:K4"/>
    <mergeCell ref="E3:I3"/>
    <mergeCell ref="A3:A5"/>
    <mergeCell ref="B3:B4"/>
    <mergeCell ref="C3:C4"/>
    <mergeCell ref="D3:D4"/>
    <mergeCell ref="AB4:AB5"/>
    <mergeCell ref="AC4:AC5"/>
    <mergeCell ref="AD4:AD5"/>
    <mergeCell ref="AE4:AE5"/>
    <mergeCell ref="AF4:AF5"/>
    <mergeCell ref="M3:M5"/>
    <mergeCell ref="N3:DI3"/>
    <mergeCell ref="N4:N5"/>
    <mergeCell ref="O4:O5"/>
    <mergeCell ref="P4:P5"/>
    <mergeCell ref="Q4:Q5"/>
    <mergeCell ref="R4:R5"/>
    <mergeCell ref="S4:S5"/>
    <mergeCell ref="T4:T5"/>
    <mergeCell ref="U4:U5"/>
    <mergeCell ref="V4:V5"/>
    <mergeCell ref="W4:W5"/>
    <mergeCell ref="X4:X5"/>
    <mergeCell ref="Y4:Y5"/>
    <mergeCell ref="Z4:Z5"/>
    <mergeCell ref="AA4:AA5"/>
    <mergeCell ref="AL4:AL5"/>
    <mergeCell ref="AM4:AM5"/>
    <mergeCell ref="AN4:AN5"/>
    <mergeCell ref="AO4:AO5"/>
    <mergeCell ref="AP4:AP5"/>
    <mergeCell ref="AG4:AG5"/>
    <mergeCell ref="AH4:AH5"/>
    <mergeCell ref="AI4:AI5"/>
    <mergeCell ref="AJ4:AJ5"/>
    <mergeCell ref="AK4:AK5"/>
    <mergeCell ref="AV4:AV5"/>
    <mergeCell ref="AW4:AW5"/>
    <mergeCell ref="AX4:AX5"/>
    <mergeCell ref="AY4:AY5"/>
    <mergeCell ref="AZ4:AZ5"/>
    <mergeCell ref="AQ4:AQ5"/>
    <mergeCell ref="AR4:AR5"/>
    <mergeCell ref="AS4:AS5"/>
    <mergeCell ref="AT4:AT5"/>
    <mergeCell ref="AU4:AU5"/>
    <mergeCell ref="BF4:BF5"/>
    <mergeCell ref="BG4:BG5"/>
    <mergeCell ref="BH4:BH5"/>
    <mergeCell ref="BI4:BI5"/>
    <mergeCell ref="BJ4:BJ5"/>
    <mergeCell ref="BA4:BA5"/>
    <mergeCell ref="BB4:BB5"/>
    <mergeCell ref="BC4:BC5"/>
    <mergeCell ref="BD4:BD5"/>
    <mergeCell ref="BE4:BE5"/>
    <mergeCell ref="BP4:BP5"/>
    <mergeCell ref="BQ4:BQ5"/>
    <mergeCell ref="BR4:BR5"/>
    <mergeCell ref="BS4:BS5"/>
    <mergeCell ref="BT4:BT5"/>
    <mergeCell ref="BK4:BK5"/>
    <mergeCell ref="BL4:BL5"/>
    <mergeCell ref="BM4:BM5"/>
    <mergeCell ref="BN4:BN5"/>
    <mergeCell ref="BO4:BO5"/>
    <mergeCell ref="BZ4:BZ5"/>
    <mergeCell ref="CA4:CA5"/>
    <mergeCell ref="CB4:CB5"/>
    <mergeCell ref="CC4:CC5"/>
    <mergeCell ref="CD4:CD5"/>
    <mergeCell ref="BU4:BU5"/>
    <mergeCell ref="BV4:BV5"/>
    <mergeCell ref="BW4:BW5"/>
    <mergeCell ref="BX4:BX5"/>
    <mergeCell ref="BY4:BY5"/>
    <mergeCell ref="CJ4:CJ5"/>
    <mergeCell ref="CK4:CK5"/>
    <mergeCell ref="CL4:CL5"/>
    <mergeCell ref="CM4:CM5"/>
    <mergeCell ref="CN4:CN5"/>
    <mergeCell ref="CE4:CE5"/>
    <mergeCell ref="CF4:CF5"/>
    <mergeCell ref="CG4:CG5"/>
    <mergeCell ref="CH4:CH5"/>
    <mergeCell ref="CI4:CI5"/>
    <mergeCell ref="CT4:CT5"/>
    <mergeCell ref="CU4:CU5"/>
    <mergeCell ref="CV4:CV5"/>
    <mergeCell ref="CW4:CW5"/>
    <mergeCell ref="CX4:CX5"/>
    <mergeCell ref="CO4:CO5"/>
    <mergeCell ref="CP4:CP5"/>
    <mergeCell ref="CQ4:CQ5"/>
    <mergeCell ref="CR4:CR5"/>
    <mergeCell ref="CS4:CS5"/>
    <mergeCell ref="DI4:DI5"/>
    <mergeCell ref="DD4:DD5"/>
    <mergeCell ref="DE4:DE5"/>
    <mergeCell ref="DF4:DF5"/>
    <mergeCell ref="DG4:DG5"/>
    <mergeCell ref="DH4:DH5"/>
    <mergeCell ref="CY4:CY5"/>
    <mergeCell ref="CZ4:CZ5"/>
    <mergeCell ref="DA4:DA5"/>
    <mergeCell ref="DB4:DB5"/>
    <mergeCell ref="DC4:DC5"/>
  </mergeCells>
  <pageMargins left="0.19685039370078741" right="0.19685039370078741" top="0.19685039370078741" bottom="0.19685039370078741" header="0.19685039370078741" footer="0.19685039370078741"/>
  <pageSetup paperSize="9" scale="98" orientation="landscape" horizontalDpi="120" verticalDpi="72"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I80"/>
  <sheetViews>
    <sheetView topLeftCell="A37" zoomScale="90" zoomScaleNormal="90" workbookViewId="0">
      <selection activeCell="M68" sqref="M68:DI68"/>
    </sheetView>
  </sheetViews>
  <sheetFormatPr defaultRowHeight="15" x14ac:dyDescent="0.25"/>
  <cols>
    <col min="1" max="1" width="4.7109375" style="52" customWidth="1"/>
    <col min="2" max="2" width="32" style="52" customWidth="1"/>
    <col min="3" max="3" width="14.7109375" style="52" customWidth="1"/>
    <col min="4" max="4" width="14.5703125" style="52" customWidth="1"/>
    <col min="5" max="5" width="11.85546875" style="52" customWidth="1"/>
    <col min="6" max="6" width="12.85546875" style="52" customWidth="1"/>
    <col min="7" max="7" width="13.85546875" style="52" customWidth="1"/>
    <col min="8" max="8" width="11.85546875" style="52" customWidth="1"/>
    <col min="9" max="9" width="12.85546875" style="52" customWidth="1"/>
    <col min="10" max="10" width="16.140625" style="52" customWidth="1"/>
    <col min="11" max="11" width="16.85546875" style="52" customWidth="1"/>
    <col min="12" max="16384" width="9.140625" style="52"/>
  </cols>
  <sheetData>
    <row r="1" spans="1:113" x14ac:dyDescent="0.25">
      <c r="L1"/>
      <c r="M1"/>
      <c r="N1"/>
      <c r="O1"/>
      <c r="P1"/>
      <c r="Q1"/>
      <c r="R1"/>
      <c r="S1"/>
      <c r="T1"/>
      <c r="U1"/>
      <c r="V1"/>
      <c r="W1"/>
      <c r="X1"/>
      <c r="Y1"/>
      <c r="Z1"/>
      <c r="AA1"/>
      <c r="AB1"/>
      <c r="AC1"/>
      <c r="AD1"/>
      <c r="AE1"/>
      <c r="AF1"/>
      <c r="AG1"/>
      <c r="AH1"/>
      <c r="AI1"/>
      <c r="AJ1"/>
      <c r="AK1"/>
    </row>
    <row r="2" spans="1:113" ht="15.75" thickBot="1" x14ac:dyDescent="0.3">
      <c r="A2" s="103" t="s">
        <v>722</v>
      </c>
      <c r="F2" s="53" t="str">
        <f>A.Prangko!G3</f>
        <v>mei 2017</v>
      </c>
      <c r="L2"/>
      <c r="M2"/>
      <c r="N2"/>
      <c r="O2"/>
      <c r="P2"/>
      <c r="Q2"/>
      <c r="R2"/>
      <c r="S2"/>
      <c r="T2"/>
      <c r="U2"/>
      <c r="V2"/>
      <c r="W2"/>
      <c r="X2"/>
      <c r="Y2"/>
      <c r="Z2"/>
      <c r="AA2"/>
      <c r="AB2"/>
      <c r="AC2"/>
      <c r="AD2"/>
      <c r="AE2"/>
      <c r="AF2"/>
      <c r="AG2"/>
      <c r="AH2"/>
      <c r="AI2"/>
      <c r="AJ2"/>
      <c r="AK2"/>
    </row>
    <row r="3" spans="1:113" ht="15.75" thickBot="1" x14ac:dyDescent="0.3">
      <c r="A3" s="407" t="s">
        <v>657</v>
      </c>
      <c r="B3" s="414" t="s">
        <v>708</v>
      </c>
      <c r="C3" s="414" t="s">
        <v>1</v>
      </c>
      <c r="D3" s="415" t="s">
        <v>649</v>
      </c>
      <c r="E3" s="416" t="s">
        <v>19</v>
      </c>
      <c r="F3" s="416"/>
      <c r="G3" s="416"/>
      <c r="H3" s="416"/>
      <c r="I3" s="416"/>
      <c r="J3" s="410" t="s">
        <v>21</v>
      </c>
      <c r="K3" s="417" t="s">
        <v>602</v>
      </c>
      <c r="L3"/>
      <c r="M3" s="403" t="s">
        <v>601</v>
      </c>
      <c r="N3" s="403" t="s">
        <v>924</v>
      </c>
      <c r="O3" s="403"/>
      <c r="P3" s="403"/>
      <c r="Q3" s="403"/>
      <c r="R3" s="403"/>
      <c r="S3" s="403"/>
      <c r="T3" s="403"/>
      <c r="U3" s="403"/>
      <c r="V3" s="403"/>
      <c r="W3" s="403"/>
      <c r="X3" s="403"/>
      <c r="Y3" s="403"/>
      <c r="Z3" s="403"/>
      <c r="AA3" s="403"/>
      <c r="AB3" s="403"/>
      <c r="AC3" s="403"/>
      <c r="AD3" s="403"/>
      <c r="AE3" s="403"/>
      <c r="AF3" s="403"/>
      <c r="AG3" s="403"/>
      <c r="AH3" s="403"/>
      <c r="AI3" s="403"/>
      <c r="AJ3" s="403"/>
      <c r="AK3" s="403"/>
      <c r="AL3" s="403"/>
      <c r="AM3" s="403"/>
      <c r="AN3" s="403"/>
      <c r="AO3" s="403"/>
      <c r="AP3" s="403"/>
      <c r="AQ3" s="403"/>
      <c r="AR3" s="403"/>
      <c r="AS3" s="403"/>
      <c r="AT3" s="403"/>
      <c r="AU3" s="403"/>
      <c r="AV3" s="403"/>
      <c r="AW3" s="403"/>
      <c r="AX3" s="403"/>
      <c r="AY3" s="403"/>
      <c r="AZ3" s="403"/>
      <c r="BA3" s="403"/>
      <c r="BB3" s="403"/>
      <c r="BC3" s="403"/>
      <c r="BD3" s="403"/>
      <c r="BE3" s="403"/>
      <c r="BF3" s="403"/>
      <c r="BG3" s="403"/>
      <c r="BH3" s="403"/>
      <c r="BI3" s="403"/>
      <c r="BJ3" s="403"/>
      <c r="BK3" s="403"/>
      <c r="BL3" s="403"/>
      <c r="BM3" s="403"/>
      <c r="BN3" s="403"/>
      <c r="BO3" s="403"/>
      <c r="BP3" s="403"/>
      <c r="BQ3" s="403"/>
      <c r="BR3" s="403"/>
      <c r="BS3" s="403"/>
      <c r="BT3" s="403"/>
      <c r="BU3" s="403"/>
      <c r="BV3" s="403"/>
      <c r="BW3" s="403"/>
      <c r="BX3" s="403"/>
      <c r="BY3" s="403"/>
      <c r="BZ3" s="403"/>
      <c r="CA3" s="403"/>
      <c r="CB3" s="403"/>
      <c r="CC3" s="403"/>
      <c r="CD3" s="403"/>
      <c r="CE3" s="403"/>
      <c r="CF3" s="403"/>
      <c r="CG3" s="403"/>
      <c r="CH3" s="403"/>
      <c r="CI3" s="403"/>
      <c r="CJ3" s="403"/>
      <c r="CK3" s="403"/>
      <c r="CL3" s="403"/>
      <c r="CM3" s="403"/>
      <c r="CN3" s="403"/>
      <c r="CO3" s="403"/>
      <c r="CP3" s="403"/>
      <c r="CQ3" s="403"/>
      <c r="CR3" s="403"/>
      <c r="CS3" s="403"/>
      <c r="CT3" s="403"/>
      <c r="CU3" s="403"/>
      <c r="CV3" s="403"/>
      <c r="CW3" s="403"/>
      <c r="CX3" s="403"/>
      <c r="CY3" s="403"/>
      <c r="CZ3" s="403"/>
      <c r="DA3" s="403"/>
      <c r="DB3" s="403"/>
      <c r="DC3" s="403"/>
      <c r="DD3" s="403"/>
      <c r="DE3" s="403"/>
      <c r="DF3" s="403"/>
      <c r="DG3" s="403"/>
      <c r="DH3" s="403"/>
      <c r="DI3" s="403"/>
    </row>
    <row r="4" spans="1:113" ht="45.75" thickBot="1" x14ac:dyDescent="0.3">
      <c r="A4" s="408"/>
      <c r="B4" s="414"/>
      <c r="C4" s="414"/>
      <c r="D4" s="415"/>
      <c r="E4" s="68" t="s">
        <v>22</v>
      </c>
      <c r="F4" s="68" t="s">
        <v>600</v>
      </c>
      <c r="G4" s="68" t="s">
        <v>601</v>
      </c>
      <c r="H4" s="68" t="s">
        <v>589</v>
      </c>
      <c r="I4" s="68" t="s">
        <v>601</v>
      </c>
      <c r="J4" s="411"/>
      <c r="K4" s="418"/>
      <c r="L4"/>
      <c r="M4" s="403"/>
      <c r="N4" s="400" t="s">
        <v>925</v>
      </c>
      <c r="O4" s="400" t="s">
        <v>926</v>
      </c>
      <c r="P4" s="400"/>
      <c r="Q4" s="400"/>
      <c r="R4" s="400"/>
      <c r="S4" s="398"/>
      <c r="T4" s="398"/>
      <c r="U4" s="398"/>
      <c r="V4" s="398"/>
      <c r="W4" s="398"/>
      <c r="X4" s="398"/>
      <c r="Y4" s="398"/>
      <c r="Z4" s="398"/>
      <c r="AA4" s="398"/>
      <c r="AB4" s="398"/>
      <c r="AC4" s="398"/>
      <c r="AD4" s="398"/>
      <c r="AE4" s="398"/>
      <c r="AF4" s="398"/>
      <c r="AG4" s="398"/>
      <c r="AH4" s="398"/>
      <c r="AI4" s="398"/>
      <c r="AJ4" s="398"/>
      <c r="AK4" s="398"/>
      <c r="AL4" s="398"/>
      <c r="AM4" s="398"/>
      <c r="AN4" s="398"/>
      <c r="AO4" s="398"/>
      <c r="AP4" s="398"/>
      <c r="AQ4" s="398"/>
      <c r="AR4" s="398"/>
      <c r="AS4" s="398"/>
      <c r="AT4" s="398"/>
      <c r="AU4" s="398"/>
      <c r="AV4" s="398"/>
      <c r="AW4" s="398"/>
      <c r="AX4" s="398"/>
      <c r="AY4" s="398"/>
      <c r="AZ4" s="398"/>
      <c r="BA4" s="398"/>
      <c r="BB4" s="398"/>
      <c r="BC4" s="398"/>
      <c r="BD4" s="398"/>
      <c r="BE4" s="398"/>
      <c r="BF4" s="398"/>
      <c r="BG4" s="398"/>
      <c r="BH4" s="398"/>
      <c r="BI4" s="398"/>
      <c r="BJ4" s="398"/>
      <c r="BK4" s="398"/>
      <c r="BL4" s="398"/>
      <c r="BM4" s="398"/>
      <c r="BN4" s="398"/>
      <c r="BO4" s="398"/>
      <c r="BP4" s="398"/>
      <c r="BQ4" s="398"/>
      <c r="BR4" s="398"/>
      <c r="BS4" s="398"/>
      <c r="BT4" s="398"/>
      <c r="BU4" s="398"/>
      <c r="BV4" s="398"/>
      <c r="BW4" s="398"/>
      <c r="BX4" s="398"/>
      <c r="BY4" s="398"/>
      <c r="BZ4" s="398"/>
      <c r="CA4" s="398"/>
      <c r="CB4" s="398"/>
      <c r="CC4" s="398"/>
      <c r="CD4" s="398"/>
      <c r="CE4" s="398"/>
      <c r="CF4" s="398"/>
      <c r="CG4" s="398"/>
      <c r="CH4" s="398"/>
      <c r="CI4" s="398"/>
      <c r="CJ4" s="398"/>
      <c r="CK4" s="398"/>
      <c r="CL4" s="398"/>
      <c r="CM4" s="398"/>
      <c r="CN4" s="398"/>
      <c r="CO4" s="398"/>
      <c r="CP4" s="398"/>
      <c r="CQ4" s="398"/>
      <c r="CR4" s="398"/>
      <c r="CS4" s="398"/>
      <c r="CT4" s="398"/>
      <c r="CU4" s="398"/>
      <c r="CV4" s="398"/>
      <c r="CW4" s="398"/>
      <c r="CX4" s="398"/>
      <c r="CY4" s="398"/>
      <c r="CZ4" s="398"/>
      <c r="DA4" s="398"/>
      <c r="DB4" s="398"/>
      <c r="DC4" s="398"/>
      <c r="DD4" s="398"/>
      <c r="DE4" s="398"/>
      <c r="DF4" s="398"/>
      <c r="DG4" s="398"/>
      <c r="DH4" s="398"/>
      <c r="DI4" s="398"/>
    </row>
    <row r="5" spans="1:113" ht="15.75" thickBot="1" x14ac:dyDescent="0.3">
      <c r="A5" s="409"/>
      <c r="B5" s="185">
        <v>1</v>
      </c>
      <c r="C5" s="185">
        <v>2</v>
      </c>
      <c r="D5" s="185">
        <v>3</v>
      </c>
      <c r="E5" s="70">
        <v>4</v>
      </c>
      <c r="F5" s="70">
        <f>+E5+1</f>
        <v>5</v>
      </c>
      <c r="G5" s="70" t="s">
        <v>652</v>
      </c>
      <c r="H5" s="70">
        <v>7</v>
      </c>
      <c r="I5" s="71" t="s">
        <v>651</v>
      </c>
      <c r="J5" s="42" t="s">
        <v>650</v>
      </c>
      <c r="K5" s="42" t="s">
        <v>653</v>
      </c>
      <c r="L5"/>
      <c r="M5" s="403"/>
      <c r="N5" s="402"/>
      <c r="O5" s="402"/>
      <c r="P5" s="402"/>
      <c r="Q5" s="402"/>
      <c r="R5" s="402"/>
      <c r="S5" s="399"/>
      <c r="T5" s="399"/>
      <c r="U5" s="399"/>
      <c r="V5" s="399"/>
      <c r="W5" s="399"/>
      <c r="X5" s="399"/>
      <c r="Y5" s="399"/>
      <c r="Z5" s="399"/>
      <c r="AA5" s="399"/>
      <c r="AB5" s="399"/>
      <c r="AC5" s="399"/>
      <c r="AD5" s="399"/>
      <c r="AE5" s="399"/>
      <c r="AF5" s="399"/>
      <c r="AG5" s="399"/>
      <c r="AH5" s="399"/>
      <c r="AI5" s="399"/>
      <c r="AJ5" s="399"/>
      <c r="AK5" s="399"/>
      <c r="AL5" s="399"/>
      <c r="AM5" s="399"/>
      <c r="AN5" s="399"/>
      <c r="AO5" s="399"/>
      <c r="AP5" s="399"/>
      <c r="AQ5" s="399"/>
      <c r="AR5" s="399"/>
      <c r="AS5" s="399"/>
      <c r="AT5" s="399"/>
      <c r="AU5" s="399"/>
      <c r="AV5" s="399"/>
      <c r="AW5" s="399"/>
      <c r="AX5" s="399"/>
      <c r="AY5" s="399"/>
      <c r="AZ5" s="399"/>
      <c r="BA5" s="399"/>
      <c r="BB5" s="399"/>
      <c r="BC5" s="399"/>
      <c r="BD5" s="399"/>
      <c r="BE5" s="399"/>
      <c r="BF5" s="399"/>
      <c r="BG5" s="399"/>
      <c r="BH5" s="399"/>
      <c r="BI5" s="399"/>
      <c r="BJ5" s="399"/>
      <c r="BK5" s="399"/>
      <c r="BL5" s="399"/>
      <c r="BM5" s="399"/>
      <c r="BN5" s="399"/>
      <c r="BO5" s="399"/>
      <c r="BP5" s="399"/>
      <c r="BQ5" s="399"/>
      <c r="BR5" s="399"/>
      <c r="BS5" s="399"/>
      <c r="BT5" s="399"/>
      <c r="BU5" s="399"/>
      <c r="BV5" s="399"/>
      <c r="BW5" s="399"/>
      <c r="BX5" s="399"/>
      <c r="BY5" s="399"/>
      <c r="BZ5" s="399"/>
      <c r="CA5" s="399"/>
      <c r="CB5" s="399"/>
      <c r="CC5" s="399"/>
      <c r="CD5" s="399"/>
      <c r="CE5" s="399"/>
      <c r="CF5" s="399"/>
      <c r="CG5" s="399"/>
      <c r="CH5" s="399"/>
      <c r="CI5" s="399"/>
      <c r="CJ5" s="399"/>
      <c r="CK5" s="399"/>
      <c r="CL5" s="399"/>
      <c r="CM5" s="399"/>
      <c r="CN5" s="399"/>
      <c r="CO5" s="399"/>
      <c r="CP5" s="399"/>
      <c r="CQ5" s="399"/>
      <c r="CR5" s="399"/>
      <c r="CS5" s="399"/>
      <c r="CT5" s="399"/>
      <c r="CU5" s="399"/>
      <c r="CV5" s="399"/>
      <c r="CW5" s="399"/>
      <c r="CX5" s="399"/>
      <c r="CY5" s="399"/>
      <c r="CZ5" s="399"/>
      <c r="DA5" s="399"/>
      <c r="DB5" s="399"/>
      <c r="DC5" s="399"/>
      <c r="DD5" s="399"/>
      <c r="DE5" s="399"/>
      <c r="DF5" s="399"/>
      <c r="DG5" s="399"/>
      <c r="DH5" s="399"/>
      <c r="DI5" s="399"/>
    </row>
    <row r="6" spans="1:113" x14ac:dyDescent="0.25">
      <c r="A6" s="150">
        <v>1</v>
      </c>
      <c r="B6" s="73" t="s">
        <v>841</v>
      </c>
      <c r="C6" s="91">
        <v>30000</v>
      </c>
      <c r="D6" s="151">
        <v>2326.5</v>
      </c>
      <c r="E6" s="203">
        <v>4171</v>
      </c>
      <c r="F6" s="54"/>
      <c r="G6" s="204">
        <f t="shared" ref="G6:G10" si="0">+E6+F6</f>
        <v>4171</v>
      </c>
      <c r="H6" s="160">
        <f>10-10</f>
        <v>0</v>
      </c>
      <c r="I6" s="179">
        <f t="shared" ref="I6:I10" si="1">+G6-H6</f>
        <v>4171</v>
      </c>
      <c r="J6" s="179">
        <f t="shared" ref="J6:J10" si="2">I6*C6</f>
        <v>125130000</v>
      </c>
      <c r="K6" s="180">
        <f t="shared" ref="K6:K10" si="3">+D6*I6</f>
        <v>9703831.5</v>
      </c>
      <c r="L6"/>
      <c r="M6" s="314">
        <f t="shared" ref="M6:M11" si="4">SUM(N6:DJ6)</f>
        <v>0</v>
      </c>
      <c r="N6" s="310"/>
      <c r="O6" s="315"/>
      <c r="P6" s="315"/>
      <c r="Q6" s="315"/>
      <c r="R6" s="31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row>
    <row r="7" spans="1:113" x14ac:dyDescent="0.25">
      <c r="A7" s="152">
        <v>2</v>
      </c>
      <c r="B7" s="79" t="s">
        <v>500</v>
      </c>
      <c r="C7" s="80">
        <v>45000</v>
      </c>
      <c r="D7" s="142">
        <v>2326.5</v>
      </c>
      <c r="E7" s="43">
        <v>1252</v>
      </c>
      <c r="F7" s="60"/>
      <c r="G7" s="166">
        <f t="shared" si="0"/>
        <v>1252</v>
      </c>
      <c r="H7" s="55">
        <f>10-10</f>
        <v>0</v>
      </c>
      <c r="I7" s="56">
        <f t="shared" si="1"/>
        <v>1252</v>
      </c>
      <c r="J7" s="56">
        <f t="shared" si="2"/>
        <v>56340000</v>
      </c>
      <c r="K7" s="57">
        <f t="shared" si="3"/>
        <v>2912778</v>
      </c>
      <c r="L7"/>
      <c r="M7" s="314">
        <f t="shared" si="4"/>
        <v>0</v>
      </c>
      <c r="N7" s="310"/>
      <c r="O7" s="315"/>
      <c r="P7" s="315"/>
      <c r="Q7" s="315"/>
      <c r="R7" s="31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row>
    <row r="8" spans="1:113" x14ac:dyDescent="0.25">
      <c r="A8" s="152">
        <v>3</v>
      </c>
      <c r="B8" s="79" t="s">
        <v>501</v>
      </c>
      <c r="C8" s="80">
        <v>35000</v>
      </c>
      <c r="D8" s="142">
        <v>1311.34</v>
      </c>
      <c r="E8" s="43">
        <v>0</v>
      </c>
      <c r="F8" s="60"/>
      <c r="G8" s="166">
        <f t="shared" si="0"/>
        <v>0</v>
      </c>
      <c r="H8" s="55">
        <f>15-15</f>
        <v>0</v>
      </c>
      <c r="I8" s="56">
        <f t="shared" si="1"/>
        <v>0</v>
      </c>
      <c r="J8" s="56">
        <f t="shared" si="2"/>
        <v>0</v>
      </c>
      <c r="K8" s="57">
        <f t="shared" si="3"/>
        <v>0</v>
      </c>
      <c r="L8"/>
      <c r="M8" s="314">
        <f t="shared" si="4"/>
        <v>0</v>
      </c>
      <c r="N8" s="310"/>
      <c r="O8" s="315"/>
      <c r="P8" s="315"/>
      <c r="Q8" s="315"/>
      <c r="R8" s="31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row>
    <row r="9" spans="1:113" x14ac:dyDescent="0.25">
      <c r="A9" s="152">
        <v>4</v>
      </c>
      <c r="B9" s="79" t="s">
        <v>502</v>
      </c>
      <c r="C9" s="80">
        <v>45000</v>
      </c>
      <c r="D9" s="142">
        <v>1311.34</v>
      </c>
      <c r="E9" s="43">
        <v>0</v>
      </c>
      <c r="F9" s="60"/>
      <c r="G9" s="166">
        <f t="shared" si="0"/>
        <v>0</v>
      </c>
      <c r="H9" s="55">
        <f>15-15</f>
        <v>0</v>
      </c>
      <c r="I9" s="56">
        <f t="shared" si="1"/>
        <v>0</v>
      </c>
      <c r="J9" s="56">
        <f t="shared" si="2"/>
        <v>0</v>
      </c>
      <c r="K9" s="57">
        <f t="shared" si="3"/>
        <v>0</v>
      </c>
      <c r="L9"/>
      <c r="M9" s="314">
        <f t="shared" si="4"/>
        <v>0</v>
      </c>
      <c r="N9" s="310"/>
      <c r="O9" s="315"/>
      <c r="P9" s="315"/>
      <c r="Q9" s="315"/>
      <c r="R9" s="31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row>
    <row r="10" spans="1:113" ht="15.75" thickBot="1" x14ac:dyDescent="0.3">
      <c r="A10" s="153">
        <v>5</v>
      </c>
      <c r="B10" s="144" t="s">
        <v>503</v>
      </c>
      <c r="C10" s="82">
        <v>45000</v>
      </c>
      <c r="D10" s="145">
        <v>1311.34</v>
      </c>
      <c r="E10" s="154">
        <v>0</v>
      </c>
      <c r="F10" s="156"/>
      <c r="G10" s="197">
        <f t="shared" si="0"/>
        <v>0</v>
      </c>
      <c r="H10" s="58">
        <f>5-5</f>
        <v>0</v>
      </c>
      <c r="I10" s="64">
        <f t="shared" si="1"/>
        <v>0</v>
      </c>
      <c r="J10" s="64">
        <f t="shared" si="2"/>
        <v>0</v>
      </c>
      <c r="K10" s="65">
        <f t="shared" si="3"/>
        <v>0</v>
      </c>
      <c r="L10"/>
      <c r="M10" s="314">
        <f t="shared" si="4"/>
        <v>0</v>
      </c>
      <c r="N10" s="310"/>
      <c r="O10" s="315"/>
      <c r="P10" s="315"/>
      <c r="Q10" s="315"/>
      <c r="R10" s="31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row>
    <row r="11" spans="1:113" ht="15.75" thickBot="1" x14ac:dyDescent="0.3">
      <c r="A11" s="128"/>
      <c r="B11" s="119" t="s">
        <v>723</v>
      </c>
      <c r="C11" s="36"/>
      <c r="D11" s="36"/>
      <c r="E11" s="29">
        <f>SUM(E6:E10)</f>
        <v>5423</v>
      </c>
      <c r="F11" s="29">
        <f>SUM(F6:F10)</f>
        <v>0</v>
      </c>
      <c r="G11" s="29">
        <f>SUM(G6:G10)</f>
        <v>5423</v>
      </c>
      <c r="H11" s="29">
        <f>SUM(H6:H10)</f>
        <v>0</v>
      </c>
      <c r="I11" s="29">
        <f>SUM(I6:I10)</f>
        <v>5423</v>
      </c>
      <c r="J11" s="29">
        <f t="shared" ref="J11:K11" si="5">SUM(J6:J10)</f>
        <v>181470000</v>
      </c>
      <c r="K11" s="47">
        <f t="shared" si="5"/>
        <v>12616609.5</v>
      </c>
      <c r="L11"/>
      <c r="M11" s="322">
        <f t="shared" si="4"/>
        <v>0</v>
      </c>
      <c r="N11" s="325"/>
      <c r="O11" s="325"/>
      <c r="P11" s="325"/>
      <c r="Q11" s="325"/>
      <c r="R11" s="325"/>
      <c r="S11" s="324"/>
      <c r="T11" s="324"/>
      <c r="U11" s="324"/>
      <c r="V11" s="324"/>
      <c r="W11" s="324"/>
      <c r="X11" s="324"/>
      <c r="Y11" s="324"/>
      <c r="Z11" s="324"/>
      <c r="AA11" s="324"/>
      <c r="AB11" s="324"/>
      <c r="AC11" s="324"/>
      <c r="AD11" s="324"/>
      <c r="AE11" s="324"/>
      <c r="AF11" s="324"/>
      <c r="AG11" s="324"/>
      <c r="AH11" s="324"/>
      <c r="AI11" s="324"/>
      <c r="AJ11" s="324"/>
      <c r="AK11" s="324"/>
      <c r="AL11" s="324"/>
      <c r="AM11" s="324"/>
      <c r="AN11" s="324"/>
      <c r="AO11" s="324"/>
      <c r="AP11" s="324"/>
      <c r="AQ11" s="324"/>
      <c r="AR11" s="324"/>
      <c r="AS11" s="324"/>
      <c r="AT11" s="324"/>
      <c r="AU11" s="324"/>
      <c r="AV11" s="324"/>
      <c r="AW11" s="324"/>
      <c r="AX11" s="324"/>
      <c r="AY11" s="324"/>
      <c r="AZ11" s="324"/>
      <c r="BA11" s="324"/>
      <c r="BB11" s="324"/>
      <c r="BC11" s="324"/>
      <c r="BD11" s="324"/>
      <c r="BE11" s="324"/>
      <c r="BF11" s="324"/>
      <c r="BG11" s="324"/>
      <c r="BH11" s="324"/>
      <c r="BI11" s="324"/>
      <c r="BJ11" s="324"/>
      <c r="BK11" s="324"/>
      <c r="BL11" s="324"/>
      <c r="BM11" s="324"/>
      <c r="BN11" s="324"/>
      <c r="BO11" s="324"/>
      <c r="BP11" s="324"/>
      <c r="BQ11" s="324"/>
      <c r="BR11" s="324"/>
      <c r="BS11" s="324"/>
      <c r="BT11" s="324"/>
      <c r="BU11" s="324"/>
      <c r="BV11" s="324"/>
      <c r="BW11" s="324"/>
      <c r="BX11" s="324"/>
      <c r="BY11" s="324"/>
      <c r="BZ11" s="324"/>
      <c r="CA11" s="324"/>
      <c r="CB11" s="324"/>
      <c r="CC11" s="324"/>
      <c r="CD11" s="324"/>
      <c r="CE11" s="324"/>
      <c r="CF11" s="324"/>
      <c r="CG11" s="324"/>
      <c r="CH11" s="324"/>
      <c r="CI11" s="324"/>
      <c r="CJ11" s="324"/>
      <c r="CK11" s="324"/>
      <c r="CL11" s="324"/>
      <c r="CM11" s="324"/>
      <c r="CN11" s="324"/>
      <c r="CO11" s="324"/>
      <c r="CP11" s="324"/>
      <c r="CQ11" s="324"/>
      <c r="CR11" s="324"/>
      <c r="CS11" s="324"/>
      <c r="CT11" s="324"/>
      <c r="CU11" s="324"/>
      <c r="CV11" s="324"/>
      <c r="CW11" s="324"/>
      <c r="CX11" s="324"/>
      <c r="CY11" s="324"/>
      <c r="CZ11" s="324"/>
      <c r="DA11" s="324"/>
      <c r="DB11" s="324"/>
      <c r="DC11" s="324"/>
      <c r="DD11" s="324"/>
      <c r="DE11" s="324"/>
      <c r="DF11" s="324"/>
      <c r="DG11" s="324"/>
      <c r="DH11" s="324"/>
      <c r="DI11" s="324"/>
    </row>
    <row r="12" spans="1:113" ht="15.75" thickBot="1" x14ac:dyDescent="0.3">
      <c r="B12" s="161"/>
      <c r="C12" s="162"/>
      <c r="D12" s="163"/>
      <c r="E12" s="164"/>
      <c r="F12" s="67"/>
      <c r="G12" s="164"/>
      <c r="H12" s="164"/>
      <c r="I12" s="164"/>
      <c r="J12" s="164"/>
      <c r="K12" s="163"/>
      <c r="L12"/>
      <c r="M12"/>
      <c r="N12"/>
      <c r="O12"/>
      <c r="P12"/>
      <c r="Q12"/>
      <c r="R12"/>
      <c r="S12"/>
      <c r="T12"/>
      <c r="U12"/>
      <c r="V12"/>
      <c r="W12"/>
      <c r="X12"/>
      <c r="Y12"/>
      <c r="Z12"/>
      <c r="AA12"/>
      <c r="AB12"/>
      <c r="AC12"/>
      <c r="AD12"/>
      <c r="AE12"/>
      <c r="AF12"/>
      <c r="AG12"/>
      <c r="AH12"/>
      <c r="AI12"/>
      <c r="AJ12"/>
      <c r="AK12"/>
    </row>
    <row r="13" spans="1:113" ht="15.75" thickBot="1" x14ac:dyDescent="0.3">
      <c r="A13" s="407" t="s">
        <v>657</v>
      </c>
      <c r="B13" s="414" t="s">
        <v>708</v>
      </c>
      <c r="C13" s="414" t="s">
        <v>1</v>
      </c>
      <c r="D13" s="415" t="s">
        <v>649</v>
      </c>
      <c r="E13" s="416" t="s">
        <v>19</v>
      </c>
      <c r="F13" s="416"/>
      <c r="G13" s="416"/>
      <c r="H13" s="416"/>
      <c r="I13" s="416"/>
      <c r="J13" s="410" t="s">
        <v>21</v>
      </c>
      <c r="K13" s="417" t="s">
        <v>602</v>
      </c>
      <c r="L13"/>
      <c r="M13" s="403" t="s">
        <v>601</v>
      </c>
      <c r="N13" s="403" t="s">
        <v>924</v>
      </c>
      <c r="O13" s="403"/>
      <c r="P13" s="403"/>
      <c r="Q13" s="403"/>
      <c r="R13" s="403"/>
      <c r="S13" s="403"/>
      <c r="T13" s="403"/>
      <c r="U13" s="403"/>
      <c r="V13" s="403"/>
      <c r="W13" s="403"/>
      <c r="X13" s="403"/>
      <c r="Y13" s="403"/>
      <c r="Z13" s="403"/>
      <c r="AA13" s="403"/>
      <c r="AB13" s="403"/>
      <c r="AC13" s="403"/>
      <c r="AD13" s="403"/>
      <c r="AE13" s="403"/>
      <c r="AF13" s="403"/>
      <c r="AG13" s="403"/>
      <c r="AH13" s="403"/>
      <c r="AI13" s="403"/>
      <c r="AJ13" s="403"/>
      <c r="AK13" s="403"/>
      <c r="AL13" s="403"/>
      <c r="AM13" s="403"/>
      <c r="AN13" s="403"/>
      <c r="AO13" s="403"/>
      <c r="AP13" s="403"/>
      <c r="AQ13" s="403"/>
      <c r="AR13" s="403"/>
      <c r="AS13" s="403"/>
      <c r="AT13" s="403"/>
      <c r="AU13" s="403"/>
      <c r="AV13" s="403"/>
      <c r="AW13" s="403"/>
      <c r="AX13" s="403"/>
      <c r="AY13" s="403"/>
      <c r="AZ13" s="403"/>
      <c r="BA13" s="403"/>
      <c r="BB13" s="403"/>
      <c r="BC13" s="403"/>
      <c r="BD13" s="403"/>
      <c r="BE13" s="403"/>
      <c r="BF13" s="403"/>
      <c r="BG13" s="403"/>
      <c r="BH13" s="403"/>
      <c r="BI13" s="403"/>
      <c r="BJ13" s="403"/>
      <c r="BK13" s="403"/>
      <c r="BL13" s="403"/>
      <c r="BM13" s="403"/>
      <c r="BN13" s="403"/>
      <c r="BO13" s="403"/>
      <c r="BP13" s="403"/>
      <c r="BQ13" s="403"/>
      <c r="BR13" s="403"/>
      <c r="BS13" s="403"/>
      <c r="BT13" s="403"/>
      <c r="BU13" s="403"/>
      <c r="BV13" s="403"/>
      <c r="BW13" s="403"/>
      <c r="BX13" s="403"/>
      <c r="BY13" s="403"/>
      <c r="BZ13" s="403"/>
      <c r="CA13" s="403"/>
      <c r="CB13" s="403"/>
      <c r="CC13" s="403"/>
      <c r="CD13" s="403"/>
      <c r="CE13" s="403"/>
      <c r="CF13" s="403"/>
      <c r="CG13" s="403"/>
      <c r="CH13" s="403"/>
      <c r="CI13" s="403"/>
      <c r="CJ13" s="403"/>
      <c r="CK13" s="403"/>
      <c r="CL13" s="403"/>
      <c r="CM13" s="403"/>
      <c r="CN13" s="403"/>
      <c r="CO13" s="403"/>
      <c r="CP13" s="403"/>
      <c r="CQ13" s="403"/>
      <c r="CR13" s="403"/>
      <c r="CS13" s="403"/>
      <c r="CT13" s="403"/>
      <c r="CU13" s="403"/>
      <c r="CV13" s="403"/>
      <c r="CW13" s="403"/>
      <c r="CX13" s="403"/>
      <c r="CY13" s="403"/>
      <c r="CZ13" s="403"/>
      <c r="DA13" s="403"/>
      <c r="DB13" s="403"/>
      <c r="DC13" s="403"/>
      <c r="DD13" s="403"/>
      <c r="DE13" s="403"/>
      <c r="DF13" s="403"/>
      <c r="DG13" s="403"/>
      <c r="DH13" s="403"/>
      <c r="DI13" s="403"/>
    </row>
    <row r="14" spans="1:113" ht="45.75" thickBot="1" x14ac:dyDescent="0.3">
      <c r="A14" s="408"/>
      <c r="B14" s="414"/>
      <c r="C14" s="414"/>
      <c r="D14" s="415"/>
      <c r="E14" s="68" t="s">
        <v>22</v>
      </c>
      <c r="F14" s="68" t="s">
        <v>600</v>
      </c>
      <c r="G14" s="68" t="s">
        <v>601</v>
      </c>
      <c r="H14" s="68" t="s">
        <v>589</v>
      </c>
      <c r="I14" s="68" t="s">
        <v>601</v>
      </c>
      <c r="J14" s="411"/>
      <c r="K14" s="418"/>
      <c r="L14"/>
      <c r="M14" s="403"/>
      <c r="N14" s="400" t="s">
        <v>925</v>
      </c>
      <c r="O14" s="400" t="s">
        <v>926</v>
      </c>
      <c r="P14" s="400"/>
      <c r="Q14" s="400"/>
      <c r="R14" s="400"/>
      <c r="S14" s="398"/>
      <c r="T14" s="398"/>
      <c r="U14" s="398"/>
      <c r="V14" s="398"/>
      <c r="W14" s="398"/>
      <c r="X14" s="398"/>
      <c r="Y14" s="398"/>
      <c r="Z14" s="398"/>
      <c r="AA14" s="398"/>
      <c r="AB14" s="398"/>
      <c r="AC14" s="398"/>
      <c r="AD14" s="398"/>
      <c r="AE14" s="398"/>
      <c r="AF14" s="398"/>
      <c r="AG14" s="398"/>
      <c r="AH14" s="398"/>
      <c r="AI14" s="398"/>
      <c r="AJ14" s="398"/>
      <c r="AK14" s="398"/>
      <c r="AL14" s="398"/>
      <c r="AM14" s="398"/>
      <c r="AN14" s="398"/>
      <c r="AO14" s="398"/>
      <c r="AP14" s="398"/>
      <c r="AQ14" s="398"/>
      <c r="AR14" s="398"/>
      <c r="AS14" s="398"/>
      <c r="AT14" s="398"/>
      <c r="AU14" s="398"/>
      <c r="AV14" s="398"/>
      <c r="AW14" s="398"/>
      <c r="AX14" s="398"/>
      <c r="AY14" s="398"/>
      <c r="AZ14" s="398"/>
      <c r="BA14" s="398"/>
      <c r="BB14" s="398"/>
      <c r="BC14" s="398"/>
      <c r="BD14" s="398"/>
      <c r="BE14" s="398"/>
      <c r="BF14" s="398"/>
      <c r="BG14" s="398"/>
      <c r="BH14" s="398"/>
      <c r="BI14" s="398"/>
      <c r="BJ14" s="398"/>
      <c r="BK14" s="398"/>
      <c r="BL14" s="398"/>
      <c r="BM14" s="398"/>
      <c r="BN14" s="398"/>
      <c r="BO14" s="398"/>
      <c r="BP14" s="398"/>
      <c r="BQ14" s="398"/>
      <c r="BR14" s="398"/>
      <c r="BS14" s="398"/>
      <c r="BT14" s="398"/>
      <c r="BU14" s="398"/>
      <c r="BV14" s="398"/>
      <c r="BW14" s="398"/>
      <c r="BX14" s="398"/>
      <c r="BY14" s="398"/>
      <c r="BZ14" s="398"/>
      <c r="CA14" s="398"/>
      <c r="CB14" s="398"/>
      <c r="CC14" s="398"/>
      <c r="CD14" s="398"/>
      <c r="CE14" s="398"/>
      <c r="CF14" s="398"/>
      <c r="CG14" s="398"/>
      <c r="CH14" s="398"/>
      <c r="CI14" s="398"/>
      <c r="CJ14" s="398"/>
      <c r="CK14" s="398"/>
      <c r="CL14" s="398"/>
      <c r="CM14" s="398"/>
      <c r="CN14" s="398"/>
      <c r="CO14" s="398"/>
      <c r="CP14" s="398"/>
      <c r="CQ14" s="398"/>
      <c r="CR14" s="398"/>
      <c r="CS14" s="398"/>
      <c r="CT14" s="398"/>
      <c r="CU14" s="398"/>
      <c r="CV14" s="398"/>
      <c r="CW14" s="398"/>
      <c r="CX14" s="398"/>
      <c r="CY14" s="398"/>
      <c r="CZ14" s="398"/>
      <c r="DA14" s="398"/>
      <c r="DB14" s="398"/>
      <c r="DC14" s="398"/>
      <c r="DD14" s="398"/>
      <c r="DE14" s="398"/>
      <c r="DF14" s="398"/>
      <c r="DG14" s="398"/>
      <c r="DH14" s="398"/>
      <c r="DI14" s="398"/>
    </row>
    <row r="15" spans="1:113" ht="15.75" thickBot="1" x14ac:dyDescent="0.3">
      <c r="A15" s="409"/>
      <c r="B15" s="185">
        <v>1</v>
      </c>
      <c r="C15" s="185">
        <v>2</v>
      </c>
      <c r="D15" s="185">
        <v>3</v>
      </c>
      <c r="E15" s="70">
        <v>4</v>
      </c>
      <c r="F15" s="70">
        <f>+E15+1</f>
        <v>5</v>
      </c>
      <c r="G15" s="70" t="s">
        <v>652</v>
      </c>
      <c r="H15" s="70">
        <v>7</v>
      </c>
      <c r="I15" s="71" t="s">
        <v>651</v>
      </c>
      <c r="J15" s="42" t="s">
        <v>650</v>
      </c>
      <c r="K15" s="42" t="s">
        <v>653</v>
      </c>
      <c r="L15"/>
      <c r="M15" s="403"/>
      <c r="N15" s="402"/>
      <c r="O15" s="402"/>
      <c r="P15" s="402"/>
      <c r="Q15" s="402"/>
      <c r="R15" s="402"/>
      <c r="S15" s="399"/>
      <c r="T15" s="399"/>
      <c r="U15" s="399"/>
      <c r="V15" s="399"/>
      <c r="W15" s="399"/>
      <c r="X15" s="399"/>
      <c r="Y15" s="399"/>
      <c r="Z15" s="399"/>
      <c r="AA15" s="399"/>
      <c r="AB15" s="399"/>
      <c r="AC15" s="399"/>
      <c r="AD15" s="399"/>
      <c r="AE15" s="399"/>
      <c r="AF15" s="399"/>
      <c r="AG15" s="399"/>
      <c r="AH15" s="399"/>
      <c r="AI15" s="399"/>
      <c r="AJ15" s="399"/>
      <c r="AK15" s="399"/>
      <c r="AL15" s="399"/>
      <c r="AM15" s="399"/>
      <c r="AN15" s="399"/>
      <c r="AO15" s="399"/>
      <c r="AP15" s="399"/>
      <c r="AQ15" s="399"/>
      <c r="AR15" s="399"/>
      <c r="AS15" s="399"/>
      <c r="AT15" s="399"/>
      <c r="AU15" s="399"/>
      <c r="AV15" s="399"/>
      <c r="AW15" s="399"/>
      <c r="AX15" s="399"/>
      <c r="AY15" s="399"/>
      <c r="AZ15" s="399"/>
      <c r="BA15" s="399"/>
      <c r="BB15" s="399"/>
      <c r="BC15" s="399"/>
      <c r="BD15" s="399"/>
      <c r="BE15" s="399"/>
      <c r="BF15" s="399"/>
      <c r="BG15" s="399"/>
      <c r="BH15" s="399"/>
      <c r="BI15" s="399"/>
      <c r="BJ15" s="399"/>
      <c r="BK15" s="399"/>
      <c r="BL15" s="399"/>
      <c r="BM15" s="399"/>
      <c r="BN15" s="399"/>
      <c r="BO15" s="399"/>
      <c r="BP15" s="399"/>
      <c r="BQ15" s="399"/>
      <c r="BR15" s="399"/>
      <c r="BS15" s="399"/>
      <c r="BT15" s="399"/>
      <c r="BU15" s="399"/>
      <c r="BV15" s="399"/>
      <c r="BW15" s="399"/>
      <c r="BX15" s="399"/>
      <c r="BY15" s="399"/>
      <c r="BZ15" s="399"/>
      <c r="CA15" s="399"/>
      <c r="CB15" s="399"/>
      <c r="CC15" s="399"/>
      <c r="CD15" s="399"/>
      <c r="CE15" s="399"/>
      <c r="CF15" s="399"/>
      <c r="CG15" s="399"/>
      <c r="CH15" s="399"/>
      <c r="CI15" s="399"/>
      <c r="CJ15" s="399"/>
      <c r="CK15" s="399"/>
      <c r="CL15" s="399"/>
      <c r="CM15" s="399"/>
      <c r="CN15" s="399"/>
      <c r="CO15" s="399"/>
      <c r="CP15" s="399"/>
      <c r="CQ15" s="399"/>
      <c r="CR15" s="399"/>
      <c r="CS15" s="399"/>
      <c r="CT15" s="399"/>
      <c r="CU15" s="399"/>
      <c r="CV15" s="399"/>
      <c r="CW15" s="399"/>
      <c r="CX15" s="399"/>
      <c r="CY15" s="399"/>
      <c r="CZ15" s="399"/>
      <c r="DA15" s="399"/>
      <c r="DB15" s="399"/>
      <c r="DC15" s="399"/>
      <c r="DD15" s="399"/>
      <c r="DE15" s="399"/>
      <c r="DF15" s="399"/>
      <c r="DG15" s="399"/>
      <c r="DH15" s="399"/>
      <c r="DI15" s="399"/>
    </row>
    <row r="16" spans="1:113" x14ac:dyDescent="0.25">
      <c r="A16" s="150">
        <v>1</v>
      </c>
      <c r="B16" s="73" t="s">
        <v>504</v>
      </c>
      <c r="C16" s="91">
        <v>20000</v>
      </c>
      <c r="D16" s="151">
        <v>786.5</v>
      </c>
      <c r="E16" s="203">
        <v>32089</v>
      </c>
      <c r="F16" s="54"/>
      <c r="G16" s="204">
        <f t="shared" ref="G16:G34" si="6">+E16+F16</f>
        <v>32089</v>
      </c>
      <c r="H16" s="253">
        <f>900-900</f>
        <v>0</v>
      </c>
      <c r="I16" s="179">
        <f t="shared" ref="I16:I34" si="7">+G16-H16</f>
        <v>32089</v>
      </c>
      <c r="J16" s="179">
        <f t="shared" ref="J16:J34" si="8">I16*C16</f>
        <v>641780000</v>
      </c>
      <c r="K16" s="180">
        <f t="shared" ref="K16:K34" si="9">+D16*I16</f>
        <v>25237998.5</v>
      </c>
      <c r="L16"/>
      <c r="M16" s="314">
        <f t="shared" ref="M16:M35" si="10">SUM(N16:DJ16)</f>
        <v>0</v>
      </c>
      <c r="N16" s="310"/>
      <c r="O16" s="315"/>
      <c r="P16" s="315"/>
      <c r="Q16" s="315"/>
      <c r="R16" s="31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row>
    <row r="17" spans="1:113" x14ac:dyDescent="0.25">
      <c r="A17" s="152">
        <v>2</v>
      </c>
      <c r="B17" s="79" t="s">
        <v>505</v>
      </c>
      <c r="C17" s="80">
        <v>45000</v>
      </c>
      <c r="D17" s="142">
        <v>3224.22</v>
      </c>
      <c r="E17" s="43">
        <v>191</v>
      </c>
      <c r="F17" s="60"/>
      <c r="G17" s="166">
        <f t="shared" si="6"/>
        <v>191</v>
      </c>
      <c r="H17" s="152">
        <f>10-10</f>
        <v>0</v>
      </c>
      <c r="I17" s="56">
        <f t="shared" si="7"/>
        <v>191</v>
      </c>
      <c r="J17" s="56">
        <f t="shared" si="8"/>
        <v>8595000</v>
      </c>
      <c r="K17" s="57">
        <f t="shared" si="9"/>
        <v>615826.02</v>
      </c>
      <c r="L17"/>
      <c r="M17" s="314">
        <f t="shared" si="10"/>
        <v>0</v>
      </c>
      <c r="N17" s="310"/>
      <c r="O17" s="315"/>
      <c r="P17" s="315"/>
      <c r="Q17" s="315"/>
      <c r="R17" s="31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5"/>
      <c r="CR17" s="55"/>
      <c r="CS17" s="55"/>
      <c r="CT17" s="55"/>
      <c r="CU17" s="55"/>
      <c r="CV17" s="55"/>
      <c r="CW17" s="55"/>
      <c r="CX17" s="55"/>
      <c r="CY17" s="55"/>
      <c r="CZ17" s="55"/>
      <c r="DA17" s="55"/>
      <c r="DB17" s="55"/>
      <c r="DC17" s="55"/>
      <c r="DD17" s="55"/>
      <c r="DE17" s="55"/>
      <c r="DF17" s="55"/>
      <c r="DG17" s="55"/>
      <c r="DH17" s="55"/>
      <c r="DI17" s="55"/>
    </row>
    <row r="18" spans="1:113" x14ac:dyDescent="0.25">
      <c r="A18" s="152">
        <v>3</v>
      </c>
      <c r="B18" s="79" t="s">
        <v>506</v>
      </c>
      <c r="C18" s="80">
        <v>45000</v>
      </c>
      <c r="D18" s="142">
        <v>3224.22</v>
      </c>
      <c r="E18" s="43">
        <v>165</v>
      </c>
      <c r="F18" s="60"/>
      <c r="G18" s="166">
        <f t="shared" si="6"/>
        <v>165</v>
      </c>
      <c r="H18" s="152">
        <f>4-4</f>
        <v>0</v>
      </c>
      <c r="I18" s="56">
        <f t="shared" si="7"/>
        <v>165</v>
      </c>
      <c r="J18" s="56">
        <f t="shared" si="8"/>
        <v>7425000</v>
      </c>
      <c r="K18" s="57">
        <f t="shared" si="9"/>
        <v>531996.29999999993</v>
      </c>
      <c r="L18"/>
      <c r="M18" s="314">
        <f t="shared" si="10"/>
        <v>0</v>
      </c>
      <c r="N18" s="310"/>
      <c r="O18" s="315"/>
      <c r="P18" s="315"/>
      <c r="Q18" s="315"/>
      <c r="R18" s="31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row>
    <row r="19" spans="1:113" x14ac:dyDescent="0.25">
      <c r="A19" s="152">
        <v>4</v>
      </c>
      <c r="B19" s="79" t="s">
        <v>507</v>
      </c>
      <c r="C19" s="80">
        <v>45000</v>
      </c>
      <c r="D19" s="142">
        <v>3847.8</v>
      </c>
      <c r="E19" s="43">
        <v>32</v>
      </c>
      <c r="F19" s="60"/>
      <c r="G19" s="166">
        <f t="shared" si="6"/>
        <v>32</v>
      </c>
      <c r="H19" s="152">
        <f>10-10</f>
        <v>0</v>
      </c>
      <c r="I19" s="56">
        <f t="shared" si="7"/>
        <v>32</v>
      </c>
      <c r="J19" s="56">
        <f t="shared" si="8"/>
        <v>1440000</v>
      </c>
      <c r="K19" s="57">
        <f t="shared" si="9"/>
        <v>123129.60000000001</v>
      </c>
      <c r="L19"/>
      <c r="M19" s="314">
        <f t="shared" si="10"/>
        <v>0</v>
      </c>
      <c r="N19" s="310"/>
      <c r="O19" s="315"/>
      <c r="P19" s="315"/>
      <c r="Q19" s="315"/>
      <c r="R19" s="31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row>
    <row r="20" spans="1:113" x14ac:dyDescent="0.25">
      <c r="A20" s="152">
        <v>5</v>
      </c>
      <c r="B20" s="79" t="s">
        <v>508</v>
      </c>
      <c r="C20" s="80">
        <v>45000</v>
      </c>
      <c r="D20" s="142">
        <v>3224.22</v>
      </c>
      <c r="E20" s="43">
        <v>1517</v>
      </c>
      <c r="F20" s="60"/>
      <c r="G20" s="166">
        <f t="shared" si="6"/>
        <v>1517</v>
      </c>
      <c r="H20" s="152">
        <f>10-10</f>
        <v>0</v>
      </c>
      <c r="I20" s="56">
        <f t="shared" si="7"/>
        <v>1517</v>
      </c>
      <c r="J20" s="56">
        <f t="shared" si="8"/>
        <v>68265000</v>
      </c>
      <c r="K20" s="57">
        <f t="shared" si="9"/>
        <v>4891141.7399999993</v>
      </c>
      <c r="L20"/>
      <c r="M20" s="314">
        <f t="shared" si="10"/>
        <v>0</v>
      </c>
      <c r="N20" s="310"/>
      <c r="O20" s="315"/>
      <c r="P20" s="315"/>
      <c r="Q20" s="315"/>
      <c r="R20" s="31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row>
    <row r="21" spans="1:113" x14ac:dyDescent="0.25">
      <c r="A21" s="152">
        <v>6</v>
      </c>
      <c r="B21" s="79" t="s">
        <v>509</v>
      </c>
      <c r="C21" s="80">
        <v>30000</v>
      </c>
      <c r="D21" s="142">
        <v>3146</v>
      </c>
      <c r="E21" s="43">
        <v>3354</v>
      </c>
      <c r="F21" s="60">
        <f>100-100+100-100</f>
        <v>0</v>
      </c>
      <c r="G21" s="166">
        <f t="shared" si="6"/>
        <v>3354</v>
      </c>
      <c r="H21" s="152">
        <f>300-300+100-100+100-100</f>
        <v>0</v>
      </c>
      <c r="I21" s="56">
        <f t="shared" si="7"/>
        <v>3354</v>
      </c>
      <c r="J21" s="56">
        <f t="shared" si="8"/>
        <v>100620000</v>
      </c>
      <c r="K21" s="57">
        <f t="shared" si="9"/>
        <v>10551684</v>
      </c>
      <c r="L21"/>
      <c r="M21" s="314">
        <f t="shared" si="10"/>
        <v>0</v>
      </c>
      <c r="N21" s="310"/>
      <c r="O21" s="315"/>
      <c r="P21" s="315"/>
      <c r="Q21" s="315"/>
      <c r="R21" s="31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row>
    <row r="22" spans="1:113" x14ac:dyDescent="0.25">
      <c r="A22" s="152">
        <v>7</v>
      </c>
      <c r="B22" s="79" t="s">
        <v>510</v>
      </c>
      <c r="C22" s="80">
        <v>30000</v>
      </c>
      <c r="D22" s="142">
        <v>3146</v>
      </c>
      <c r="E22" s="43">
        <v>2646</v>
      </c>
      <c r="F22" s="60">
        <f>100-100+100-100</f>
        <v>0</v>
      </c>
      <c r="G22" s="166">
        <f t="shared" si="6"/>
        <v>2646</v>
      </c>
      <c r="H22" s="152">
        <f>300-300+100-100+100-100</f>
        <v>0</v>
      </c>
      <c r="I22" s="56">
        <f t="shared" si="7"/>
        <v>2646</v>
      </c>
      <c r="J22" s="56">
        <f t="shared" si="8"/>
        <v>79380000</v>
      </c>
      <c r="K22" s="57">
        <f t="shared" si="9"/>
        <v>8324316</v>
      </c>
      <c r="L22"/>
      <c r="M22" s="314">
        <f t="shared" si="10"/>
        <v>0</v>
      </c>
      <c r="N22" s="310"/>
      <c r="O22" s="315"/>
      <c r="P22" s="315"/>
      <c r="Q22" s="315"/>
      <c r="R22" s="31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row>
    <row r="23" spans="1:113" x14ac:dyDescent="0.25">
      <c r="A23" s="152">
        <v>8</v>
      </c>
      <c r="B23" s="79" t="s">
        <v>511</v>
      </c>
      <c r="C23" s="80">
        <v>30000</v>
      </c>
      <c r="D23" s="142">
        <v>3146</v>
      </c>
      <c r="E23" s="43">
        <v>74</v>
      </c>
      <c r="F23" s="60">
        <f>100-100+100-100</f>
        <v>0</v>
      </c>
      <c r="G23" s="166">
        <f t="shared" si="6"/>
        <v>74</v>
      </c>
      <c r="H23" s="152">
        <f>300-300+100-100+100-100</f>
        <v>0</v>
      </c>
      <c r="I23" s="56">
        <f t="shared" si="7"/>
        <v>74</v>
      </c>
      <c r="J23" s="56">
        <f t="shared" si="8"/>
        <v>2220000</v>
      </c>
      <c r="K23" s="57">
        <f t="shared" si="9"/>
        <v>232804</v>
      </c>
      <c r="L23"/>
      <c r="M23" s="314">
        <f t="shared" si="10"/>
        <v>0</v>
      </c>
      <c r="N23" s="310"/>
      <c r="O23" s="315"/>
      <c r="P23" s="315"/>
      <c r="Q23" s="315"/>
      <c r="R23" s="31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5"/>
      <c r="DF23" s="55"/>
      <c r="DG23" s="55"/>
      <c r="DH23" s="55"/>
      <c r="DI23" s="55"/>
    </row>
    <row r="24" spans="1:113" x14ac:dyDescent="0.25">
      <c r="A24" s="152">
        <v>9</v>
      </c>
      <c r="B24" s="79" t="s">
        <v>512</v>
      </c>
      <c r="C24" s="80">
        <v>30000</v>
      </c>
      <c r="D24" s="142">
        <v>3146</v>
      </c>
      <c r="E24" s="43">
        <v>365</v>
      </c>
      <c r="F24" s="60">
        <f>100-100+100-100</f>
        <v>0</v>
      </c>
      <c r="G24" s="166">
        <f t="shared" si="6"/>
        <v>365</v>
      </c>
      <c r="H24" s="152">
        <f>300-300+100-100+100-100</f>
        <v>0</v>
      </c>
      <c r="I24" s="56">
        <f t="shared" si="7"/>
        <v>365</v>
      </c>
      <c r="J24" s="56">
        <f t="shared" si="8"/>
        <v>10950000</v>
      </c>
      <c r="K24" s="57">
        <f t="shared" si="9"/>
        <v>1148290</v>
      </c>
      <c r="L24"/>
      <c r="M24" s="314">
        <f t="shared" si="10"/>
        <v>0</v>
      </c>
      <c r="N24" s="310"/>
      <c r="O24" s="315"/>
      <c r="P24" s="315"/>
      <c r="Q24" s="315"/>
      <c r="R24" s="31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55"/>
      <c r="CB24" s="55"/>
      <c r="CC24" s="55"/>
      <c r="CD24" s="55"/>
      <c r="CE24" s="55"/>
      <c r="CF24" s="55"/>
      <c r="CG24" s="55"/>
      <c r="CH24" s="55"/>
      <c r="CI24" s="55"/>
      <c r="CJ24" s="55"/>
      <c r="CK24" s="55"/>
      <c r="CL24" s="55"/>
      <c r="CM24" s="55"/>
      <c r="CN24" s="55"/>
      <c r="CO24" s="55"/>
      <c r="CP24" s="55"/>
      <c r="CQ24" s="55"/>
      <c r="CR24" s="55"/>
      <c r="CS24" s="55"/>
      <c r="CT24" s="55"/>
      <c r="CU24" s="55"/>
      <c r="CV24" s="55"/>
      <c r="CW24" s="55"/>
      <c r="CX24" s="55"/>
      <c r="CY24" s="55"/>
      <c r="CZ24" s="55"/>
      <c r="DA24" s="55"/>
      <c r="DB24" s="55"/>
      <c r="DC24" s="55"/>
      <c r="DD24" s="55"/>
      <c r="DE24" s="55"/>
      <c r="DF24" s="55"/>
      <c r="DG24" s="55"/>
      <c r="DH24" s="55"/>
      <c r="DI24" s="55"/>
    </row>
    <row r="25" spans="1:113" x14ac:dyDescent="0.25">
      <c r="A25" s="152">
        <v>10</v>
      </c>
      <c r="B25" s="79" t="s">
        <v>513</v>
      </c>
      <c r="C25" s="80">
        <v>27000</v>
      </c>
      <c r="D25" s="142">
        <v>3542</v>
      </c>
      <c r="E25" s="43">
        <v>0</v>
      </c>
      <c r="F25" s="60"/>
      <c r="G25" s="166">
        <f t="shared" si="6"/>
        <v>0</v>
      </c>
      <c r="H25" s="55">
        <f>17-17</f>
        <v>0</v>
      </c>
      <c r="I25" s="56">
        <f t="shared" si="7"/>
        <v>0</v>
      </c>
      <c r="J25" s="56">
        <f t="shared" si="8"/>
        <v>0</v>
      </c>
      <c r="K25" s="57">
        <f t="shared" si="9"/>
        <v>0</v>
      </c>
      <c r="L25"/>
      <c r="M25" s="314">
        <f t="shared" si="10"/>
        <v>0</v>
      </c>
      <c r="N25" s="310"/>
      <c r="O25" s="315"/>
      <c r="P25" s="315"/>
      <c r="Q25" s="315"/>
      <c r="R25" s="31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55"/>
      <c r="CZ25" s="55"/>
      <c r="DA25" s="55"/>
      <c r="DB25" s="55"/>
      <c r="DC25" s="55"/>
      <c r="DD25" s="55"/>
      <c r="DE25" s="55"/>
      <c r="DF25" s="55"/>
      <c r="DG25" s="55"/>
      <c r="DH25" s="55"/>
      <c r="DI25" s="55"/>
    </row>
    <row r="26" spans="1:113" x14ac:dyDescent="0.25">
      <c r="A26" s="152">
        <v>11</v>
      </c>
      <c r="B26" s="79" t="s">
        <v>514</v>
      </c>
      <c r="C26" s="80">
        <v>27000</v>
      </c>
      <c r="D26" s="142">
        <v>3542</v>
      </c>
      <c r="E26" s="43">
        <v>166</v>
      </c>
      <c r="F26" s="60"/>
      <c r="G26" s="166">
        <f t="shared" si="6"/>
        <v>166</v>
      </c>
      <c r="H26" s="55">
        <f>10-10</f>
        <v>0</v>
      </c>
      <c r="I26" s="56">
        <f t="shared" si="7"/>
        <v>166</v>
      </c>
      <c r="J26" s="56">
        <f t="shared" si="8"/>
        <v>4482000</v>
      </c>
      <c r="K26" s="57">
        <f t="shared" si="9"/>
        <v>587972</v>
      </c>
      <c r="L26"/>
      <c r="M26" s="314">
        <f t="shared" si="10"/>
        <v>0</v>
      </c>
      <c r="N26" s="310"/>
      <c r="O26" s="315"/>
      <c r="P26" s="315"/>
      <c r="Q26" s="315"/>
      <c r="R26" s="31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5"/>
      <c r="CG26" s="55"/>
      <c r="CH26" s="55"/>
      <c r="CI26" s="55"/>
      <c r="CJ26" s="55"/>
      <c r="CK26" s="55"/>
      <c r="CL26" s="55"/>
      <c r="CM26" s="55"/>
      <c r="CN26" s="55"/>
      <c r="CO26" s="55"/>
      <c r="CP26" s="55"/>
      <c r="CQ26" s="55"/>
      <c r="CR26" s="55"/>
      <c r="CS26" s="55"/>
      <c r="CT26" s="55"/>
      <c r="CU26" s="55"/>
      <c r="CV26" s="55"/>
      <c r="CW26" s="55"/>
      <c r="CX26" s="55"/>
      <c r="CY26" s="55"/>
      <c r="CZ26" s="55"/>
      <c r="DA26" s="55"/>
      <c r="DB26" s="55"/>
      <c r="DC26" s="55"/>
      <c r="DD26" s="55"/>
      <c r="DE26" s="55"/>
      <c r="DF26" s="55"/>
      <c r="DG26" s="55"/>
      <c r="DH26" s="55"/>
      <c r="DI26" s="55"/>
    </row>
    <row r="27" spans="1:113" x14ac:dyDescent="0.25">
      <c r="A27" s="152">
        <v>12</v>
      </c>
      <c r="B27" s="79" t="s">
        <v>515</v>
      </c>
      <c r="C27" s="80">
        <v>27000</v>
      </c>
      <c r="D27" s="142">
        <v>3542</v>
      </c>
      <c r="E27" s="43">
        <v>11</v>
      </c>
      <c r="F27" s="60"/>
      <c r="G27" s="166">
        <f t="shared" si="6"/>
        <v>11</v>
      </c>
      <c r="H27" s="55">
        <f>1-1</f>
        <v>0</v>
      </c>
      <c r="I27" s="56">
        <f t="shared" si="7"/>
        <v>11</v>
      </c>
      <c r="J27" s="56">
        <f t="shared" si="8"/>
        <v>297000</v>
      </c>
      <c r="K27" s="57">
        <f t="shared" si="9"/>
        <v>38962</v>
      </c>
      <c r="L27"/>
      <c r="M27" s="314">
        <f t="shared" si="10"/>
        <v>0</v>
      </c>
      <c r="N27" s="310"/>
      <c r="O27" s="315"/>
      <c r="P27" s="315"/>
      <c r="Q27" s="315"/>
      <c r="R27" s="31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55"/>
      <c r="CB27" s="55"/>
      <c r="CC27" s="55"/>
      <c r="CD27" s="55"/>
      <c r="CE27" s="55"/>
      <c r="CF27" s="55"/>
      <c r="CG27" s="55"/>
      <c r="CH27" s="55"/>
      <c r="CI27" s="55"/>
      <c r="CJ27" s="55"/>
      <c r="CK27" s="55"/>
      <c r="CL27" s="55"/>
      <c r="CM27" s="55"/>
      <c r="CN27" s="55"/>
      <c r="CO27" s="55"/>
      <c r="CP27" s="55"/>
      <c r="CQ27" s="55"/>
      <c r="CR27" s="55"/>
      <c r="CS27" s="55"/>
      <c r="CT27" s="55"/>
      <c r="CU27" s="55"/>
      <c r="CV27" s="55"/>
      <c r="CW27" s="55"/>
      <c r="CX27" s="55"/>
      <c r="CY27" s="55"/>
      <c r="CZ27" s="55"/>
      <c r="DA27" s="55"/>
      <c r="DB27" s="55"/>
      <c r="DC27" s="55"/>
      <c r="DD27" s="55"/>
      <c r="DE27" s="55"/>
      <c r="DF27" s="55"/>
      <c r="DG27" s="55"/>
      <c r="DH27" s="55"/>
      <c r="DI27" s="55"/>
    </row>
    <row r="28" spans="1:113" x14ac:dyDescent="0.25">
      <c r="A28" s="152">
        <v>13</v>
      </c>
      <c r="B28" s="79" t="s">
        <v>516</v>
      </c>
      <c r="C28" s="80">
        <v>27000</v>
      </c>
      <c r="D28" s="142">
        <v>3542</v>
      </c>
      <c r="E28" s="43">
        <v>157</v>
      </c>
      <c r="F28" s="60"/>
      <c r="G28" s="166">
        <f t="shared" si="6"/>
        <v>157</v>
      </c>
      <c r="H28" s="55">
        <f>10-10</f>
        <v>0</v>
      </c>
      <c r="I28" s="56">
        <f t="shared" si="7"/>
        <v>157</v>
      </c>
      <c r="J28" s="56">
        <f t="shared" si="8"/>
        <v>4239000</v>
      </c>
      <c r="K28" s="57">
        <f t="shared" si="9"/>
        <v>556094</v>
      </c>
      <c r="L28"/>
      <c r="M28" s="314">
        <f t="shared" si="10"/>
        <v>0</v>
      </c>
      <c r="N28" s="310"/>
      <c r="O28" s="315"/>
      <c r="P28" s="315"/>
      <c r="Q28" s="315"/>
      <c r="R28" s="31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5"/>
      <c r="DF28" s="55"/>
      <c r="DG28" s="55"/>
      <c r="DH28" s="55"/>
      <c r="DI28" s="55"/>
    </row>
    <row r="29" spans="1:113" x14ac:dyDescent="0.25">
      <c r="A29" s="152">
        <v>14</v>
      </c>
      <c r="B29" s="79" t="s">
        <v>517</v>
      </c>
      <c r="C29" s="80">
        <v>15000</v>
      </c>
      <c r="D29" s="142">
        <v>786.5</v>
      </c>
      <c r="E29" s="43">
        <v>0</v>
      </c>
      <c r="F29" s="60"/>
      <c r="G29" s="166">
        <f t="shared" si="6"/>
        <v>0</v>
      </c>
      <c r="H29" s="254">
        <f>1304-1304</f>
        <v>0</v>
      </c>
      <c r="I29" s="56">
        <f t="shared" si="7"/>
        <v>0</v>
      </c>
      <c r="J29" s="56">
        <f t="shared" si="8"/>
        <v>0</v>
      </c>
      <c r="K29" s="57">
        <f t="shared" si="9"/>
        <v>0</v>
      </c>
      <c r="L29"/>
      <c r="M29" s="314">
        <f t="shared" si="10"/>
        <v>0</v>
      </c>
      <c r="N29" s="310"/>
      <c r="O29" s="315"/>
      <c r="P29" s="315"/>
      <c r="Q29" s="315"/>
      <c r="R29" s="31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5"/>
      <c r="DF29" s="55"/>
      <c r="DG29" s="55"/>
      <c r="DH29" s="55"/>
      <c r="DI29" s="55"/>
    </row>
    <row r="30" spans="1:113" x14ac:dyDescent="0.25">
      <c r="A30" s="152">
        <v>15</v>
      </c>
      <c r="B30" s="79" t="s">
        <v>518</v>
      </c>
      <c r="C30" s="80">
        <v>15000</v>
      </c>
      <c r="D30" s="142">
        <v>786.5</v>
      </c>
      <c r="E30" s="43">
        <v>0</v>
      </c>
      <c r="F30" s="60"/>
      <c r="G30" s="166">
        <f t="shared" si="6"/>
        <v>0</v>
      </c>
      <c r="H30" s="254">
        <f>1292-1292</f>
        <v>0</v>
      </c>
      <c r="I30" s="56">
        <f t="shared" si="7"/>
        <v>0</v>
      </c>
      <c r="J30" s="56">
        <f t="shared" si="8"/>
        <v>0</v>
      </c>
      <c r="K30" s="57">
        <f t="shared" si="9"/>
        <v>0</v>
      </c>
      <c r="L30"/>
      <c r="M30" s="314">
        <f t="shared" si="10"/>
        <v>0</v>
      </c>
      <c r="N30" s="310"/>
      <c r="O30" s="315"/>
      <c r="P30" s="315"/>
      <c r="Q30" s="315"/>
      <c r="R30" s="31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row>
    <row r="31" spans="1:113" x14ac:dyDescent="0.25">
      <c r="A31" s="152">
        <v>16</v>
      </c>
      <c r="B31" s="79" t="s">
        <v>519</v>
      </c>
      <c r="C31" s="80">
        <v>15000</v>
      </c>
      <c r="D31" s="142">
        <v>786.5</v>
      </c>
      <c r="E31" s="43">
        <v>0</v>
      </c>
      <c r="F31" s="60"/>
      <c r="G31" s="166">
        <f t="shared" si="6"/>
        <v>0</v>
      </c>
      <c r="H31" s="254">
        <f>1201-1201</f>
        <v>0</v>
      </c>
      <c r="I31" s="56">
        <f t="shared" si="7"/>
        <v>0</v>
      </c>
      <c r="J31" s="56">
        <f t="shared" si="8"/>
        <v>0</v>
      </c>
      <c r="K31" s="57">
        <f t="shared" si="9"/>
        <v>0</v>
      </c>
      <c r="L31"/>
      <c r="M31" s="314">
        <f t="shared" si="10"/>
        <v>0</v>
      </c>
      <c r="N31" s="310"/>
      <c r="O31" s="315"/>
      <c r="P31" s="315"/>
      <c r="Q31" s="315"/>
      <c r="R31" s="31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row>
    <row r="32" spans="1:113" x14ac:dyDescent="0.25">
      <c r="A32" s="152">
        <v>17</v>
      </c>
      <c r="B32" s="79" t="s">
        <v>520</v>
      </c>
      <c r="C32" s="80">
        <v>15000</v>
      </c>
      <c r="D32" s="142">
        <v>786.5</v>
      </c>
      <c r="E32" s="43">
        <v>0</v>
      </c>
      <c r="F32" s="60"/>
      <c r="G32" s="166">
        <f t="shared" si="6"/>
        <v>0</v>
      </c>
      <c r="H32" s="254">
        <f>1207-1207</f>
        <v>0</v>
      </c>
      <c r="I32" s="56">
        <f t="shared" si="7"/>
        <v>0</v>
      </c>
      <c r="J32" s="56">
        <f t="shared" si="8"/>
        <v>0</v>
      </c>
      <c r="K32" s="57">
        <f t="shared" si="9"/>
        <v>0</v>
      </c>
      <c r="L32"/>
      <c r="M32" s="314">
        <f t="shared" si="10"/>
        <v>0</v>
      </c>
      <c r="N32" s="310"/>
      <c r="O32" s="315"/>
      <c r="P32" s="315"/>
      <c r="Q32" s="315"/>
      <c r="R32" s="31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row>
    <row r="33" spans="1:113" x14ac:dyDescent="0.25">
      <c r="A33" s="152">
        <v>18</v>
      </c>
      <c r="B33" s="79" t="s">
        <v>521</v>
      </c>
      <c r="C33" s="80">
        <v>15000</v>
      </c>
      <c r="D33" s="142">
        <v>786.5</v>
      </c>
      <c r="E33" s="43">
        <v>0</v>
      </c>
      <c r="F33" s="60"/>
      <c r="G33" s="166">
        <f t="shared" si="6"/>
        <v>0</v>
      </c>
      <c r="H33" s="254">
        <f>230-230</f>
        <v>0</v>
      </c>
      <c r="I33" s="56">
        <f t="shared" si="7"/>
        <v>0</v>
      </c>
      <c r="J33" s="56">
        <f t="shared" si="8"/>
        <v>0</v>
      </c>
      <c r="K33" s="57">
        <f t="shared" si="9"/>
        <v>0</v>
      </c>
      <c r="L33"/>
      <c r="M33" s="314">
        <f t="shared" si="10"/>
        <v>0</v>
      </c>
      <c r="N33" s="310"/>
      <c r="O33" s="315"/>
      <c r="P33" s="315"/>
      <c r="Q33" s="315"/>
      <c r="R33" s="31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row>
    <row r="34" spans="1:113" ht="15.75" thickBot="1" x14ac:dyDescent="0.3">
      <c r="A34" s="153">
        <v>19</v>
      </c>
      <c r="B34" s="144" t="s">
        <v>522</v>
      </c>
      <c r="C34" s="82">
        <v>45000</v>
      </c>
      <c r="D34" s="145">
        <f>192.39*20</f>
        <v>3847.7999999999997</v>
      </c>
      <c r="E34" s="154">
        <v>2400</v>
      </c>
      <c r="F34" s="156"/>
      <c r="G34" s="197">
        <f t="shared" si="6"/>
        <v>2400</v>
      </c>
      <c r="H34" s="58"/>
      <c r="I34" s="64">
        <f t="shared" si="7"/>
        <v>2400</v>
      </c>
      <c r="J34" s="64">
        <f t="shared" si="8"/>
        <v>108000000</v>
      </c>
      <c r="K34" s="65">
        <f t="shared" si="9"/>
        <v>9234720</v>
      </c>
      <c r="L34"/>
      <c r="M34" s="314">
        <f t="shared" si="10"/>
        <v>0</v>
      </c>
      <c r="N34" s="310"/>
      <c r="O34" s="315"/>
      <c r="P34" s="315"/>
      <c r="Q34" s="315"/>
      <c r="R34" s="31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row>
    <row r="35" spans="1:113" ht="15.75" thickBot="1" x14ac:dyDescent="0.3">
      <c r="A35" s="128"/>
      <c r="B35" s="119" t="s">
        <v>724</v>
      </c>
      <c r="C35" s="36"/>
      <c r="D35" s="29">
        <f t="shared" ref="D35:I35" si="11">SUM(D16:D34)</f>
        <v>48839.26</v>
      </c>
      <c r="E35" s="29">
        <f t="shared" si="11"/>
        <v>43167</v>
      </c>
      <c r="F35" s="29">
        <f t="shared" si="11"/>
        <v>0</v>
      </c>
      <c r="G35" s="29">
        <f t="shared" si="11"/>
        <v>43167</v>
      </c>
      <c r="H35" s="29">
        <f t="shared" si="11"/>
        <v>0</v>
      </c>
      <c r="I35" s="29">
        <f t="shared" si="11"/>
        <v>43167</v>
      </c>
      <c r="J35" s="29">
        <f t="shared" ref="J35:K35" si="12">SUM(J16:J34)</f>
        <v>1037693000</v>
      </c>
      <c r="K35" s="31">
        <f t="shared" si="12"/>
        <v>62074934.159999996</v>
      </c>
      <c r="L35"/>
      <c r="M35" s="322">
        <f t="shared" si="10"/>
        <v>0</v>
      </c>
      <c r="N35" s="325"/>
      <c r="O35" s="325"/>
      <c r="P35" s="325"/>
      <c r="Q35" s="325"/>
      <c r="R35" s="325"/>
      <c r="S35" s="324"/>
      <c r="T35" s="324"/>
      <c r="U35" s="324"/>
      <c r="V35" s="324"/>
      <c r="W35" s="324"/>
      <c r="X35" s="324"/>
      <c r="Y35" s="324"/>
      <c r="Z35" s="324"/>
      <c r="AA35" s="324"/>
      <c r="AB35" s="324"/>
      <c r="AC35" s="324"/>
      <c r="AD35" s="324"/>
      <c r="AE35" s="324"/>
      <c r="AF35" s="324"/>
      <c r="AG35" s="324"/>
      <c r="AH35" s="324"/>
      <c r="AI35" s="324"/>
      <c r="AJ35" s="324"/>
      <c r="AK35" s="324"/>
      <c r="AL35" s="324"/>
      <c r="AM35" s="324"/>
      <c r="AN35" s="324"/>
      <c r="AO35" s="324"/>
      <c r="AP35" s="324"/>
      <c r="AQ35" s="324"/>
      <c r="AR35" s="324"/>
      <c r="AS35" s="324"/>
      <c r="AT35" s="324"/>
      <c r="AU35" s="324"/>
      <c r="AV35" s="324"/>
      <c r="AW35" s="324"/>
      <c r="AX35" s="324"/>
      <c r="AY35" s="324"/>
      <c r="AZ35" s="324"/>
      <c r="BA35" s="324"/>
      <c r="BB35" s="324"/>
      <c r="BC35" s="324"/>
      <c r="BD35" s="324"/>
      <c r="BE35" s="324"/>
      <c r="BF35" s="324"/>
      <c r="BG35" s="324"/>
      <c r="BH35" s="324"/>
      <c r="BI35" s="324"/>
      <c r="BJ35" s="324"/>
      <c r="BK35" s="324"/>
      <c r="BL35" s="324"/>
      <c r="BM35" s="324"/>
      <c r="BN35" s="324"/>
      <c r="BO35" s="324"/>
      <c r="BP35" s="324"/>
      <c r="BQ35" s="324"/>
      <c r="BR35" s="324"/>
      <c r="BS35" s="324"/>
      <c r="BT35" s="324"/>
      <c r="BU35" s="324"/>
      <c r="BV35" s="324"/>
      <c r="BW35" s="324"/>
      <c r="BX35" s="324"/>
      <c r="BY35" s="324"/>
      <c r="BZ35" s="324"/>
      <c r="CA35" s="324"/>
      <c r="CB35" s="324"/>
      <c r="CC35" s="324"/>
      <c r="CD35" s="324"/>
      <c r="CE35" s="324"/>
      <c r="CF35" s="324"/>
      <c r="CG35" s="324"/>
      <c r="CH35" s="324"/>
      <c r="CI35" s="324"/>
      <c r="CJ35" s="324"/>
      <c r="CK35" s="324"/>
      <c r="CL35" s="324"/>
      <c r="CM35" s="324"/>
      <c r="CN35" s="324"/>
      <c r="CO35" s="324"/>
      <c r="CP35" s="324"/>
      <c r="CQ35" s="324"/>
      <c r="CR35" s="324"/>
      <c r="CS35" s="324"/>
      <c r="CT35" s="324"/>
      <c r="CU35" s="324"/>
      <c r="CV35" s="324"/>
      <c r="CW35" s="324"/>
      <c r="CX35" s="324"/>
      <c r="CY35" s="324"/>
      <c r="CZ35" s="324"/>
      <c r="DA35" s="324"/>
      <c r="DB35" s="324"/>
      <c r="DC35" s="324"/>
      <c r="DD35" s="324"/>
      <c r="DE35" s="324"/>
      <c r="DF35" s="324"/>
      <c r="DG35" s="324"/>
      <c r="DH35" s="324"/>
      <c r="DI35" s="324"/>
    </row>
    <row r="36" spans="1:113" ht="15.75" thickBot="1" x14ac:dyDescent="0.3">
      <c r="B36" s="161"/>
      <c r="C36" s="162"/>
      <c r="D36" s="163"/>
      <c r="E36" s="164"/>
      <c r="F36" s="67"/>
      <c r="G36" s="164"/>
      <c r="H36" s="164"/>
      <c r="I36" s="164"/>
      <c r="J36" s="164"/>
      <c r="K36" s="163"/>
      <c r="L36"/>
      <c r="M36"/>
      <c r="N36"/>
      <c r="O36"/>
      <c r="P36"/>
      <c r="Q36"/>
      <c r="R36"/>
      <c r="S36"/>
      <c r="T36"/>
      <c r="U36"/>
      <c r="V36"/>
      <c r="W36"/>
      <c r="X36"/>
      <c r="Y36"/>
      <c r="Z36"/>
      <c r="AA36"/>
      <c r="AB36"/>
      <c r="AC36"/>
      <c r="AD36"/>
      <c r="AE36"/>
      <c r="AF36"/>
      <c r="AG36"/>
      <c r="AH36"/>
      <c r="AI36"/>
      <c r="AJ36"/>
      <c r="AK36"/>
    </row>
    <row r="37" spans="1:113" ht="15.75" thickBot="1" x14ac:dyDescent="0.3">
      <c r="A37" s="407" t="s">
        <v>657</v>
      </c>
      <c r="B37" s="414" t="s">
        <v>708</v>
      </c>
      <c r="C37" s="414" t="s">
        <v>1</v>
      </c>
      <c r="D37" s="415" t="s">
        <v>649</v>
      </c>
      <c r="E37" s="416" t="s">
        <v>19</v>
      </c>
      <c r="F37" s="416"/>
      <c r="G37" s="416"/>
      <c r="H37" s="416"/>
      <c r="I37" s="416"/>
      <c r="J37" s="410" t="s">
        <v>21</v>
      </c>
      <c r="K37" s="417" t="s">
        <v>602</v>
      </c>
      <c r="L37"/>
      <c r="M37" s="403" t="s">
        <v>601</v>
      </c>
      <c r="N37" s="403" t="s">
        <v>924</v>
      </c>
      <c r="O37" s="403"/>
      <c r="P37" s="403"/>
      <c r="Q37" s="403"/>
      <c r="R37" s="403"/>
      <c r="S37" s="403"/>
      <c r="T37" s="403"/>
      <c r="U37" s="403"/>
      <c r="V37" s="403"/>
      <c r="W37" s="403"/>
      <c r="X37" s="403"/>
      <c r="Y37" s="403"/>
      <c r="Z37" s="403"/>
      <c r="AA37" s="403"/>
      <c r="AB37" s="403"/>
      <c r="AC37" s="403"/>
      <c r="AD37" s="403"/>
      <c r="AE37" s="403"/>
      <c r="AF37" s="403"/>
      <c r="AG37" s="403"/>
      <c r="AH37" s="403"/>
      <c r="AI37" s="403"/>
      <c r="AJ37" s="403"/>
      <c r="AK37" s="403"/>
      <c r="AL37" s="403"/>
      <c r="AM37" s="403"/>
      <c r="AN37" s="403"/>
      <c r="AO37" s="403"/>
      <c r="AP37" s="403"/>
      <c r="AQ37" s="403"/>
      <c r="AR37" s="403"/>
      <c r="AS37" s="403"/>
      <c r="AT37" s="403"/>
      <c r="AU37" s="403"/>
      <c r="AV37" s="403"/>
      <c r="AW37" s="403"/>
      <c r="AX37" s="403"/>
      <c r="AY37" s="403"/>
      <c r="AZ37" s="403"/>
      <c r="BA37" s="403"/>
      <c r="BB37" s="403"/>
      <c r="BC37" s="403"/>
      <c r="BD37" s="403"/>
      <c r="BE37" s="403"/>
      <c r="BF37" s="403"/>
      <c r="BG37" s="403"/>
      <c r="BH37" s="403"/>
      <c r="BI37" s="403"/>
      <c r="BJ37" s="403"/>
      <c r="BK37" s="403"/>
      <c r="BL37" s="403"/>
      <c r="BM37" s="403"/>
      <c r="BN37" s="403"/>
      <c r="BO37" s="403"/>
      <c r="BP37" s="403"/>
      <c r="BQ37" s="403"/>
      <c r="BR37" s="403"/>
      <c r="BS37" s="403"/>
      <c r="BT37" s="403"/>
      <c r="BU37" s="403"/>
      <c r="BV37" s="403"/>
      <c r="BW37" s="403"/>
      <c r="BX37" s="403"/>
      <c r="BY37" s="403"/>
      <c r="BZ37" s="403"/>
      <c r="CA37" s="403"/>
      <c r="CB37" s="403"/>
      <c r="CC37" s="403"/>
      <c r="CD37" s="403"/>
      <c r="CE37" s="403"/>
      <c r="CF37" s="403"/>
      <c r="CG37" s="403"/>
      <c r="CH37" s="403"/>
      <c r="CI37" s="403"/>
      <c r="CJ37" s="403"/>
      <c r="CK37" s="403"/>
      <c r="CL37" s="403"/>
      <c r="CM37" s="403"/>
      <c r="CN37" s="403"/>
      <c r="CO37" s="403"/>
      <c r="CP37" s="403"/>
      <c r="CQ37" s="403"/>
      <c r="CR37" s="403"/>
      <c r="CS37" s="403"/>
      <c r="CT37" s="403"/>
      <c r="CU37" s="403"/>
      <c r="CV37" s="403"/>
      <c r="CW37" s="403"/>
      <c r="CX37" s="403"/>
      <c r="CY37" s="403"/>
      <c r="CZ37" s="403"/>
      <c r="DA37" s="403"/>
      <c r="DB37" s="403"/>
      <c r="DC37" s="403"/>
      <c r="DD37" s="403"/>
      <c r="DE37" s="403"/>
      <c r="DF37" s="403"/>
      <c r="DG37" s="403"/>
      <c r="DH37" s="403"/>
      <c r="DI37" s="403"/>
    </row>
    <row r="38" spans="1:113" ht="45.75" thickBot="1" x14ac:dyDescent="0.3">
      <c r="A38" s="408"/>
      <c r="B38" s="414"/>
      <c r="C38" s="414"/>
      <c r="D38" s="415"/>
      <c r="E38" s="68" t="s">
        <v>22</v>
      </c>
      <c r="F38" s="68" t="s">
        <v>600</v>
      </c>
      <c r="G38" s="68" t="s">
        <v>601</v>
      </c>
      <c r="H38" s="68" t="s">
        <v>589</v>
      </c>
      <c r="I38" s="68" t="s">
        <v>601</v>
      </c>
      <c r="J38" s="411"/>
      <c r="K38" s="418"/>
      <c r="L38"/>
      <c r="M38" s="403"/>
      <c r="N38" s="400" t="s">
        <v>925</v>
      </c>
      <c r="O38" s="400" t="s">
        <v>926</v>
      </c>
      <c r="P38" s="400"/>
      <c r="Q38" s="400"/>
      <c r="R38" s="400"/>
      <c r="S38" s="398"/>
      <c r="T38" s="398"/>
      <c r="U38" s="398"/>
      <c r="V38" s="398"/>
      <c r="W38" s="398"/>
      <c r="X38" s="398"/>
      <c r="Y38" s="398"/>
      <c r="Z38" s="398"/>
      <c r="AA38" s="398"/>
      <c r="AB38" s="398"/>
      <c r="AC38" s="398"/>
      <c r="AD38" s="398"/>
      <c r="AE38" s="398"/>
      <c r="AF38" s="398"/>
      <c r="AG38" s="398"/>
      <c r="AH38" s="398"/>
      <c r="AI38" s="398"/>
      <c r="AJ38" s="398"/>
      <c r="AK38" s="398"/>
      <c r="AL38" s="398"/>
      <c r="AM38" s="398"/>
      <c r="AN38" s="398"/>
      <c r="AO38" s="398"/>
      <c r="AP38" s="398"/>
      <c r="AQ38" s="398"/>
      <c r="AR38" s="398"/>
      <c r="AS38" s="398"/>
      <c r="AT38" s="398"/>
      <c r="AU38" s="398"/>
      <c r="AV38" s="398"/>
      <c r="AW38" s="398"/>
      <c r="AX38" s="398"/>
      <c r="AY38" s="398"/>
      <c r="AZ38" s="398"/>
      <c r="BA38" s="398"/>
      <c r="BB38" s="398"/>
      <c r="BC38" s="398"/>
      <c r="BD38" s="398"/>
      <c r="BE38" s="398"/>
      <c r="BF38" s="398"/>
      <c r="BG38" s="398"/>
      <c r="BH38" s="398"/>
      <c r="BI38" s="398"/>
      <c r="BJ38" s="398"/>
      <c r="BK38" s="398"/>
      <c r="BL38" s="398"/>
      <c r="BM38" s="398"/>
      <c r="BN38" s="398"/>
      <c r="BO38" s="398"/>
      <c r="BP38" s="398"/>
      <c r="BQ38" s="398"/>
      <c r="BR38" s="398"/>
      <c r="BS38" s="398"/>
      <c r="BT38" s="398"/>
      <c r="BU38" s="398"/>
      <c r="BV38" s="398"/>
      <c r="BW38" s="398"/>
      <c r="BX38" s="398"/>
      <c r="BY38" s="398"/>
      <c r="BZ38" s="398"/>
      <c r="CA38" s="398"/>
      <c r="CB38" s="398"/>
      <c r="CC38" s="398"/>
      <c r="CD38" s="398"/>
      <c r="CE38" s="398"/>
      <c r="CF38" s="398"/>
      <c r="CG38" s="398"/>
      <c r="CH38" s="398"/>
      <c r="CI38" s="398"/>
      <c r="CJ38" s="398"/>
      <c r="CK38" s="398"/>
      <c r="CL38" s="398"/>
      <c r="CM38" s="398"/>
      <c r="CN38" s="398"/>
      <c r="CO38" s="398"/>
      <c r="CP38" s="398"/>
      <c r="CQ38" s="398"/>
      <c r="CR38" s="398"/>
      <c r="CS38" s="398"/>
      <c r="CT38" s="398"/>
      <c r="CU38" s="398"/>
      <c r="CV38" s="398"/>
      <c r="CW38" s="398"/>
      <c r="CX38" s="398"/>
      <c r="CY38" s="398"/>
      <c r="CZ38" s="398"/>
      <c r="DA38" s="398"/>
      <c r="DB38" s="398"/>
      <c r="DC38" s="398"/>
      <c r="DD38" s="398"/>
      <c r="DE38" s="398"/>
      <c r="DF38" s="398"/>
      <c r="DG38" s="398"/>
      <c r="DH38" s="398"/>
      <c r="DI38" s="398"/>
    </row>
    <row r="39" spans="1:113" ht="15.75" thickBot="1" x14ac:dyDescent="0.3">
      <c r="A39" s="409"/>
      <c r="B39" s="185">
        <v>1</v>
      </c>
      <c r="C39" s="185">
        <v>2</v>
      </c>
      <c r="D39" s="185">
        <v>3</v>
      </c>
      <c r="E39" s="70">
        <v>4</v>
      </c>
      <c r="F39" s="70">
        <f>+E39+1</f>
        <v>5</v>
      </c>
      <c r="G39" s="70" t="s">
        <v>652</v>
      </c>
      <c r="H39" s="70">
        <v>7</v>
      </c>
      <c r="I39" s="71" t="s">
        <v>651</v>
      </c>
      <c r="J39" s="42" t="s">
        <v>650</v>
      </c>
      <c r="K39" s="42" t="s">
        <v>653</v>
      </c>
      <c r="L39"/>
      <c r="M39" s="403"/>
      <c r="N39" s="402"/>
      <c r="O39" s="402"/>
      <c r="P39" s="402"/>
      <c r="Q39" s="402"/>
      <c r="R39" s="402"/>
      <c r="S39" s="399"/>
      <c r="T39" s="399"/>
      <c r="U39" s="399"/>
      <c r="V39" s="399"/>
      <c r="W39" s="399"/>
      <c r="X39" s="399"/>
      <c r="Y39" s="399"/>
      <c r="Z39" s="399"/>
      <c r="AA39" s="399"/>
      <c r="AB39" s="399"/>
      <c r="AC39" s="399"/>
      <c r="AD39" s="399"/>
      <c r="AE39" s="399"/>
      <c r="AF39" s="399"/>
      <c r="AG39" s="399"/>
      <c r="AH39" s="399"/>
      <c r="AI39" s="399"/>
      <c r="AJ39" s="399"/>
      <c r="AK39" s="399"/>
      <c r="AL39" s="399"/>
      <c r="AM39" s="399"/>
      <c r="AN39" s="399"/>
      <c r="AO39" s="399"/>
      <c r="AP39" s="399"/>
      <c r="AQ39" s="399"/>
      <c r="AR39" s="399"/>
      <c r="AS39" s="399"/>
      <c r="AT39" s="399"/>
      <c r="AU39" s="399"/>
      <c r="AV39" s="399"/>
      <c r="AW39" s="399"/>
      <c r="AX39" s="399"/>
      <c r="AY39" s="399"/>
      <c r="AZ39" s="399"/>
      <c r="BA39" s="399"/>
      <c r="BB39" s="399"/>
      <c r="BC39" s="399"/>
      <c r="BD39" s="399"/>
      <c r="BE39" s="399"/>
      <c r="BF39" s="399"/>
      <c r="BG39" s="399"/>
      <c r="BH39" s="399"/>
      <c r="BI39" s="399"/>
      <c r="BJ39" s="399"/>
      <c r="BK39" s="399"/>
      <c r="BL39" s="399"/>
      <c r="BM39" s="399"/>
      <c r="BN39" s="399"/>
      <c r="BO39" s="399"/>
      <c r="BP39" s="399"/>
      <c r="BQ39" s="399"/>
      <c r="BR39" s="399"/>
      <c r="BS39" s="399"/>
      <c r="BT39" s="399"/>
      <c r="BU39" s="399"/>
      <c r="BV39" s="399"/>
      <c r="BW39" s="399"/>
      <c r="BX39" s="399"/>
      <c r="BY39" s="399"/>
      <c r="BZ39" s="399"/>
      <c r="CA39" s="399"/>
      <c r="CB39" s="399"/>
      <c r="CC39" s="399"/>
      <c r="CD39" s="399"/>
      <c r="CE39" s="399"/>
      <c r="CF39" s="399"/>
      <c r="CG39" s="399"/>
      <c r="CH39" s="399"/>
      <c r="CI39" s="399"/>
      <c r="CJ39" s="399"/>
      <c r="CK39" s="399"/>
      <c r="CL39" s="399"/>
      <c r="CM39" s="399"/>
      <c r="CN39" s="399"/>
      <c r="CO39" s="399"/>
      <c r="CP39" s="399"/>
      <c r="CQ39" s="399"/>
      <c r="CR39" s="399"/>
      <c r="CS39" s="399"/>
      <c r="CT39" s="399"/>
      <c r="CU39" s="399"/>
      <c r="CV39" s="399"/>
      <c r="CW39" s="399"/>
      <c r="CX39" s="399"/>
      <c r="CY39" s="399"/>
      <c r="CZ39" s="399"/>
      <c r="DA39" s="399"/>
      <c r="DB39" s="399"/>
      <c r="DC39" s="399"/>
      <c r="DD39" s="399"/>
      <c r="DE39" s="399"/>
      <c r="DF39" s="399"/>
      <c r="DG39" s="399"/>
      <c r="DH39" s="399"/>
      <c r="DI39" s="399"/>
    </row>
    <row r="40" spans="1:113" x14ac:dyDescent="0.25">
      <c r="A40" s="160"/>
      <c r="B40" s="73" t="s">
        <v>527</v>
      </c>
      <c r="C40" s="54"/>
      <c r="D40" s="54"/>
      <c r="E40" s="54"/>
      <c r="F40" s="54"/>
      <c r="G40" s="54"/>
      <c r="H40" s="54"/>
      <c r="I40" s="54"/>
      <c r="J40" s="54"/>
      <c r="K40" s="54"/>
      <c r="L40"/>
      <c r="M40" s="314">
        <f t="shared" ref="M40:M46" si="13">SUM(N40:DJ40)</f>
        <v>0</v>
      </c>
      <c r="N40" s="310"/>
      <c r="O40" s="315"/>
      <c r="P40" s="315"/>
      <c r="Q40" s="315"/>
      <c r="R40" s="31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row>
    <row r="41" spans="1:113" x14ac:dyDescent="0.25">
      <c r="A41" s="152">
        <v>1</v>
      </c>
      <c r="B41" s="92" t="s">
        <v>769</v>
      </c>
      <c r="C41" s="80">
        <v>20000</v>
      </c>
      <c r="D41" s="142">
        <f>(2437.67+1771)/2</f>
        <v>2104.335</v>
      </c>
      <c r="E41" s="43">
        <v>14819</v>
      </c>
      <c r="F41" s="43"/>
      <c r="G41" s="166">
        <f t="shared" ref="G41:G45" si="14">+E41+F41</f>
        <v>14819</v>
      </c>
      <c r="H41" s="139">
        <f>100-100</f>
        <v>0</v>
      </c>
      <c r="I41" s="56">
        <f t="shared" ref="I41:I45" si="15">+G41-H41</f>
        <v>14819</v>
      </c>
      <c r="J41" s="56">
        <f t="shared" ref="J41:J45" si="16">I41*C41</f>
        <v>296380000</v>
      </c>
      <c r="K41" s="57">
        <f t="shared" ref="K41:K45" si="17">+D41*I41</f>
        <v>31184140.365000002</v>
      </c>
      <c r="L41"/>
      <c r="M41" s="314">
        <f t="shared" si="13"/>
        <v>0</v>
      </c>
      <c r="N41" s="310"/>
      <c r="O41" s="315"/>
      <c r="P41" s="315"/>
      <c r="Q41" s="315"/>
      <c r="R41" s="31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row>
    <row r="42" spans="1:113" x14ac:dyDescent="0.25">
      <c r="A42" s="152">
        <v>2</v>
      </c>
      <c r="B42" s="92" t="s">
        <v>523</v>
      </c>
      <c r="C42" s="80">
        <v>20000</v>
      </c>
      <c r="D42" s="142">
        <f>(2437.67+1771)/2</f>
        <v>2104.335</v>
      </c>
      <c r="E42" s="43">
        <v>15225</v>
      </c>
      <c r="F42" s="43"/>
      <c r="G42" s="166">
        <f t="shared" si="14"/>
        <v>15225</v>
      </c>
      <c r="H42" s="139">
        <f t="shared" ref="H42:H44" si="18">10-10</f>
        <v>0</v>
      </c>
      <c r="I42" s="56">
        <f t="shared" si="15"/>
        <v>15225</v>
      </c>
      <c r="J42" s="56">
        <f t="shared" si="16"/>
        <v>304500000</v>
      </c>
      <c r="K42" s="57">
        <f t="shared" si="17"/>
        <v>32038500.375</v>
      </c>
      <c r="L42"/>
      <c r="M42" s="314">
        <f t="shared" si="13"/>
        <v>0</v>
      </c>
      <c r="N42" s="310"/>
      <c r="O42" s="315"/>
      <c r="P42" s="315"/>
      <c r="Q42" s="315"/>
      <c r="R42" s="31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55"/>
      <c r="CZ42" s="55"/>
      <c r="DA42" s="55"/>
      <c r="DB42" s="55"/>
      <c r="DC42" s="55"/>
      <c r="DD42" s="55"/>
      <c r="DE42" s="55"/>
      <c r="DF42" s="55"/>
      <c r="DG42" s="55"/>
      <c r="DH42" s="55"/>
      <c r="DI42" s="55"/>
    </row>
    <row r="43" spans="1:113" x14ac:dyDescent="0.25">
      <c r="A43" s="152">
        <v>3</v>
      </c>
      <c r="B43" s="92" t="s">
        <v>524</v>
      </c>
      <c r="C43" s="80">
        <v>20000</v>
      </c>
      <c r="D43" s="142">
        <f>(2437.67+1771)/2</f>
        <v>2104.335</v>
      </c>
      <c r="E43" s="43">
        <v>9540</v>
      </c>
      <c r="F43" s="43"/>
      <c r="G43" s="166">
        <f t="shared" si="14"/>
        <v>9540</v>
      </c>
      <c r="H43" s="139">
        <f t="shared" si="18"/>
        <v>0</v>
      </c>
      <c r="I43" s="56">
        <f t="shared" si="15"/>
        <v>9540</v>
      </c>
      <c r="J43" s="56">
        <f t="shared" si="16"/>
        <v>190800000</v>
      </c>
      <c r="K43" s="57">
        <f t="shared" si="17"/>
        <v>20075355.899999999</v>
      </c>
      <c r="L43"/>
      <c r="M43" s="314">
        <f t="shared" si="13"/>
        <v>0</v>
      </c>
      <c r="N43" s="310"/>
      <c r="O43" s="315"/>
      <c r="P43" s="315"/>
      <c r="Q43" s="315"/>
      <c r="R43" s="31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c r="CN43" s="55"/>
      <c r="CO43" s="55"/>
      <c r="CP43" s="55"/>
      <c r="CQ43" s="55"/>
      <c r="CR43" s="55"/>
      <c r="CS43" s="55"/>
      <c r="CT43" s="55"/>
      <c r="CU43" s="55"/>
      <c r="CV43" s="55"/>
      <c r="CW43" s="55"/>
      <c r="CX43" s="55"/>
      <c r="CY43" s="55"/>
      <c r="CZ43" s="55"/>
      <c r="DA43" s="55"/>
      <c r="DB43" s="55"/>
      <c r="DC43" s="55"/>
      <c r="DD43" s="55"/>
      <c r="DE43" s="55"/>
      <c r="DF43" s="55"/>
      <c r="DG43" s="55"/>
      <c r="DH43" s="55"/>
      <c r="DI43" s="55"/>
    </row>
    <row r="44" spans="1:113" x14ac:dyDescent="0.25">
      <c r="A44" s="152">
        <v>4</v>
      </c>
      <c r="B44" s="92" t="s">
        <v>525</v>
      </c>
      <c r="C44" s="80">
        <v>20000</v>
      </c>
      <c r="D44" s="142">
        <f>(2437.67+1771)/2</f>
        <v>2104.335</v>
      </c>
      <c r="E44" s="43">
        <v>4905</v>
      </c>
      <c r="F44" s="43"/>
      <c r="G44" s="166">
        <f t="shared" si="14"/>
        <v>4905</v>
      </c>
      <c r="H44" s="139">
        <f t="shared" si="18"/>
        <v>0</v>
      </c>
      <c r="I44" s="56">
        <f t="shared" si="15"/>
        <v>4905</v>
      </c>
      <c r="J44" s="56">
        <f t="shared" si="16"/>
        <v>98100000</v>
      </c>
      <c r="K44" s="57">
        <f t="shared" si="17"/>
        <v>10321763.175000001</v>
      </c>
      <c r="L44"/>
      <c r="M44" s="314">
        <f t="shared" si="13"/>
        <v>0</v>
      </c>
      <c r="N44" s="310"/>
      <c r="O44" s="315"/>
      <c r="P44" s="315"/>
      <c r="Q44" s="315"/>
      <c r="R44" s="31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55"/>
      <c r="CB44" s="55"/>
      <c r="CC44" s="55"/>
      <c r="CD44" s="55"/>
      <c r="CE44" s="55"/>
      <c r="CF44" s="55"/>
      <c r="CG44" s="55"/>
      <c r="CH44" s="55"/>
      <c r="CI44" s="55"/>
      <c r="CJ44" s="55"/>
      <c r="CK44" s="55"/>
      <c r="CL44" s="55"/>
      <c r="CM44" s="55"/>
      <c r="CN44" s="55"/>
      <c r="CO44" s="55"/>
      <c r="CP44" s="55"/>
      <c r="CQ44" s="55"/>
      <c r="CR44" s="55"/>
      <c r="CS44" s="55"/>
      <c r="CT44" s="55"/>
      <c r="CU44" s="55"/>
      <c r="CV44" s="55"/>
      <c r="CW44" s="55"/>
      <c r="CX44" s="55"/>
      <c r="CY44" s="55"/>
      <c r="CZ44" s="55"/>
      <c r="DA44" s="55"/>
      <c r="DB44" s="55"/>
      <c r="DC44" s="55"/>
      <c r="DD44" s="55"/>
      <c r="DE44" s="55"/>
      <c r="DF44" s="55"/>
      <c r="DG44" s="55"/>
      <c r="DH44" s="55"/>
      <c r="DI44" s="55"/>
    </row>
    <row r="45" spans="1:113" ht="15.75" thickBot="1" x14ac:dyDescent="0.3">
      <c r="A45" s="153">
        <v>5</v>
      </c>
      <c r="B45" s="205" t="s">
        <v>526</v>
      </c>
      <c r="C45" s="82">
        <v>20000</v>
      </c>
      <c r="D45" s="145">
        <f>(2437.67+1771)/2</f>
        <v>2104.335</v>
      </c>
      <c r="E45" s="154">
        <v>3465</v>
      </c>
      <c r="F45" s="154"/>
      <c r="G45" s="197">
        <f t="shared" si="14"/>
        <v>3465</v>
      </c>
      <c r="H45" s="139">
        <f>10-10+10-10</f>
        <v>0</v>
      </c>
      <c r="I45" s="64">
        <f t="shared" si="15"/>
        <v>3465</v>
      </c>
      <c r="J45" s="64">
        <f t="shared" si="16"/>
        <v>69300000</v>
      </c>
      <c r="K45" s="65">
        <f t="shared" si="17"/>
        <v>7291520.7750000004</v>
      </c>
      <c r="L45"/>
      <c r="M45" s="314">
        <f t="shared" si="13"/>
        <v>0</v>
      </c>
      <c r="N45" s="310"/>
      <c r="O45" s="315"/>
      <c r="P45" s="315"/>
      <c r="Q45" s="315"/>
      <c r="R45" s="31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55"/>
      <c r="CB45" s="55"/>
      <c r="CC45" s="55"/>
      <c r="CD45" s="55"/>
      <c r="CE45" s="55"/>
      <c r="CF45" s="55"/>
      <c r="CG45" s="55"/>
      <c r="CH45" s="55"/>
      <c r="CI45" s="55"/>
      <c r="CJ45" s="55"/>
      <c r="CK45" s="55"/>
      <c r="CL45" s="55"/>
      <c r="CM45" s="55"/>
      <c r="CN45" s="55"/>
      <c r="CO45" s="55"/>
      <c r="CP45" s="55"/>
      <c r="CQ45" s="55"/>
      <c r="CR45" s="55"/>
      <c r="CS45" s="55"/>
      <c r="CT45" s="55"/>
      <c r="CU45" s="55"/>
      <c r="CV45" s="55"/>
      <c r="CW45" s="55"/>
      <c r="CX45" s="55"/>
      <c r="CY45" s="55"/>
      <c r="CZ45" s="55"/>
      <c r="DA45" s="55"/>
      <c r="DB45" s="55"/>
      <c r="DC45" s="55"/>
      <c r="DD45" s="55"/>
      <c r="DE45" s="55"/>
      <c r="DF45" s="55"/>
      <c r="DG45" s="55"/>
      <c r="DH45" s="55"/>
      <c r="DI45" s="55"/>
    </row>
    <row r="46" spans="1:113" ht="15.75" thickBot="1" x14ac:dyDescent="0.3">
      <c r="A46" s="128"/>
      <c r="B46" s="119" t="s">
        <v>725</v>
      </c>
      <c r="C46" s="36"/>
      <c r="D46" s="29"/>
      <c r="E46" s="29">
        <f>SUM(E41:E45)</f>
        <v>47954</v>
      </c>
      <c r="F46" s="29">
        <f>SUM(F41:F45)</f>
        <v>0</v>
      </c>
      <c r="G46" s="29">
        <f>SUM(G41:G45)</f>
        <v>47954</v>
      </c>
      <c r="H46" s="29">
        <f>SUM(H41:H45)</f>
        <v>0</v>
      </c>
      <c r="I46" s="29">
        <f>SUM(I41:I45)</f>
        <v>47954</v>
      </c>
      <c r="J46" s="29">
        <f t="shared" ref="J46:K46" si="19">SUM(J41:J45)</f>
        <v>959080000</v>
      </c>
      <c r="K46" s="47">
        <f t="shared" si="19"/>
        <v>100911280.59</v>
      </c>
      <c r="L46"/>
      <c r="M46" s="322">
        <f t="shared" si="13"/>
        <v>0</v>
      </c>
      <c r="N46" s="325"/>
      <c r="O46" s="325"/>
      <c r="P46" s="325"/>
      <c r="Q46" s="325"/>
      <c r="R46" s="325"/>
      <c r="S46" s="324"/>
      <c r="T46" s="324"/>
      <c r="U46" s="324"/>
      <c r="V46" s="324"/>
      <c r="W46" s="324"/>
      <c r="X46" s="324"/>
      <c r="Y46" s="324"/>
      <c r="Z46" s="324"/>
      <c r="AA46" s="324"/>
      <c r="AB46" s="324"/>
      <c r="AC46" s="324"/>
      <c r="AD46" s="324"/>
      <c r="AE46" s="324"/>
      <c r="AF46" s="324"/>
      <c r="AG46" s="324"/>
      <c r="AH46" s="324"/>
      <c r="AI46" s="324"/>
      <c r="AJ46" s="324"/>
      <c r="AK46" s="324"/>
      <c r="AL46" s="324"/>
      <c r="AM46" s="324"/>
      <c r="AN46" s="324"/>
      <c r="AO46" s="324"/>
      <c r="AP46" s="324"/>
      <c r="AQ46" s="324"/>
      <c r="AR46" s="324"/>
      <c r="AS46" s="324"/>
      <c r="AT46" s="324"/>
      <c r="AU46" s="324"/>
      <c r="AV46" s="324"/>
      <c r="AW46" s="324"/>
      <c r="AX46" s="324"/>
      <c r="AY46" s="324"/>
      <c r="AZ46" s="324"/>
      <c r="BA46" s="324"/>
      <c r="BB46" s="324"/>
      <c r="BC46" s="324"/>
      <c r="BD46" s="324"/>
      <c r="BE46" s="324"/>
      <c r="BF46" s="324"/>
      <c r="BG46" s="324"/>
      <c r="BH46" s="324"/>
      <c r="BI46" s="324"/>
      <c r="BJ46" s="324"/>
      <c r="BK46" s="324"/>
      <c r="BL46" s="324"/>
      <c r="BM46" s="324"/>
      <c r="BN46" s="324"/>
      <c r="BO46" s="324"/>
      <c r="BP46" s="324"/>
      <c r="BQ46" s="324"/>
      <c r="BR46" s="324"/>
      <c r="BS46" s="324"/>
      <c r="BT46" s="324"/>
      <c r="BU46" s="324"/>
      <c r="BV46" s="324"/>
      <c r="BW46" s="324"/>
      <c r="BX46" s="324"/>
      <c r="BY46" s="324"/>
      <c r="BZ46" s="324"/>
      <c r="CA46" s="324"/>
      <c r="CB46" s="324"/>
      <c r="CC46" s="324"/>
      <c r="CD46" s="324"/>
      <c r="CE46" s="324"/>
      <c r="CF46" s="324"/>
      <c r="CG46" s="324"/>
      <c r="CH46" s="324"/>
      <c r="CI46" s="324"/>
      <c r="CJ46" s="324"/>
      <c r="CK46" s="324"/>
      <c r="CL46" s="324"/>
      <c r="CM46" s="324"/>
      <c r="CN46" s="324"/>
      <c r="CO46" s="324"/>
      <c r="CP46" s="324"/>
      <c r="CQ46" s="324"/>
      <c r="CR46" s="324"/>
      <c r="CS46" s="324"/>
      <c r="CT46" s="324"/>
      <c r="CU46" s="324"/>
      <c r="CV46" s="324"/>
      <c r="CW46" s="324"/>
      <c r="CX46" s="324"/>
      <c r="CY46" s="324"/>
      <c r="CZ46" s="324"/>
      <c r="DA46" s="324"/>
      <c r="DB46" s="324"/>
      <c r="DC46" s="324"/>
      <c r="DD46" s="324"/>
      <c r="DE46" s="324"/>
      <c r="DF46" s="324"/>
      <c r="DG46" s="324"/>
      <c r="DH46" s="324"/>
      <c r="DI46" s="324"/>
    </row>
    <row r="47" spans="1:113" ht="15.75" thickBot="1" x14ac:dyDescent="0.3">
      <c r="B47" s="161"/>
      <c r="C47" s="162"/>
      <c r="D47" s="163"/>
      <c r="E47" s="164"/>
      <c r="F47" s="67"/>
      <c r="G47" s="164"/>
      <c r="H47" s="164"/>
      <c r="I47" s="164"/>
      <c r="J47" s="164"/>
      <c r="K47" s="163"/>
      <c r="L47"/>
      <c r="M47"/>
      <c r="N47"/>
      <c r="O47"/>
      <c r="P47"/>
      <c r="Q47"/>
      <c r="R47"/>
      <c r="S47"/>
      <c r="T47"/>
      <c r="U47"/>
      <c r="V47"/>
      <c r="W47"/>
      <c r="X47"/>
      <c r="Y47"/>
      <c r="Z47"/>
      <c r="AA47"/>
      <c r="AB47"/>
      <c r="AC47"/>
      <c r="AD47"/>
      <c r="AE47"/>
      <c r="AF47"/>
      <c r="AG47"/>
      <c r="AH47"/>
      <c r="AI47"/>
      <c r="AJ47"/>
      <c r="AK47"/>
    </row>
    <row r="48" spans="1:113" ht="15.75" thickBot="1" x14ac:dyDescent="0.3">
      <c r="A48" s="407" t="s">
        <v>657</v>
      </c>
      <c r="B48" s="414" t="s">
        <v>708</v>
      </c>
      <c r="C48" s="414" t="s">
        <v>1</v>
      </c>
      <c r="D48" s="415" t="s">
        <v>649</v>
      </c>
      <c r="E48" s="416" t="s">
        <v>19</v>
      </c>
      <c r="F48" s="416"/>
      <c r="G48" s="416"/>
      <c r="H48" s="416"/>
      <c r="I48" s="416"/>
      <c r="J48" s="410" t="s">
        <v>21</v>
      </c>
      <c r="K48" s="417" t="s">
        <v>602</v>
      </c>
      <c r="L48"/>
      <c r="M48" s="403" t="s">
        <v>601</v>
      </c>
      <c r="N48" s="403" t="s">
        <v>924</v>
      </c>
      <c r="O48" s="403"/>
      <c r="P48" s="403"/>
      <c r="Q48" s="403"/>
      <c r="R48" s="403"/>
      <c r="S48" s="403"/>
      <c r="T48" s="403"/>
      <c r="U48" s="403"/>
      <c r="V48" s="403"/>
      <c r="W48" s="403"/>
      <c r="X48" s="403"/>
      <c r="Y48" s="403"/>
      <c r="Z48" s="403"/>
      <c r="AA48" s="403"/>
      <c r="AB48" s="403"/>
      <c r="AC48" s="403"/>
      <c r="AD48" s="403"/>
      <c r="AE48" s="403"/>
      <c r="AF48" s="403"/>
      <c r="AG48" s="403"/>
      <c r="AH48" s="403"/>
      <c r="AI48" s="403"/>
      <c r="AJ48" s="403"/>
      <c r="AK48" s="403"/>
      <c r="AL48" s="403"/>
      <c r="AM48" s="403"/>
      <c r="AN48" s="403"/>
      <c r="AO48" s="403"/>
      <c r="AP48" s="403"/>
      <c r="AQ48" s="403"/>
      <c r="AR48" s="403"/>
      <c r="AS48" s="403"/>
      <c r="AT48" s="403"/>
      <c r="AU48" s="403"/>
      <c r="AV48" s="403"/>
      <c r="AW48" s="403"/>
      <c r="AX48" s="403"/>
      <c r="AY48" s="403"/>
      <c r="AZ48" s="403"/>
      <c r="BA48" s="403"/>
      <c r="BB48" s="403"/>
      <c r="BC48" s="403"/>
      <c r="BD48" s="403"/>
      <c r="BE48" s="403"/>
      <c r="BF48" s="403"/>
      <c r="BG48" s="403"/>
      <c r="BH48" s="403"/>
      <c r="BI48" s="403"/>
      <c r="BJ48" s="403"/>
      <c r="BK48" s="403"/>
      <c r="BL48" s="403"/>
      <c r="BM48" s="403"/>
      <c r="BN48" s="403"/>
      <c r="BO48" s="403"/>
      <c r="BP48" s="403"/>
      <c r="BQ48" s="403"/>
      <c r="BR48" s="403"/>
      <c r="BS48" s="403"/>
      <c r="BT48" s="403"/>
      <c r="BU48" s="403"/>
      <c r="BV48" s="403"/>
      <c r="BW48" s="403"/>
      <c r="BX48" s="403"/>
      <c r="BY48" s="403"/>
      <c r="BZ48" s="403"/>
      <c r="CA48" s="403"/>
      <c r="CB48" s="403"/>
      <c r="CC48" s="403"/>
      <c r="CD48" s="403"/>
      <c r="CE48" s="403"/>
      <c r="CF48" s="403"/>
      <c r="CG48" s="403"/>
      <c r="CH48" s="403"/>
      <c r="CI48" s="403"/>
      <c r="CJ48" s="403"/>
      <c r="CK48" s="403"/>
      <c r="CL48" s="403"/>
      <c r="CM48" s="403"/>
      <c r="CN48" s="403"/>
      <c r="CO48" s="403"/>
      <c r="CP48" s="403"/>
      <c r="CQ48" s="403"/>
      <c r="CR48" s="403"/>
      <c r="CS48" s="403"/>
      <c r="CT48" s="403"/>
      <c r="CU48" s="403"/>
      <c r="CV48" s="403"/>
      <c r="CW48" s="403"/>
      <c r="CX48" s="403"/>
      <c r="CY48" s="403"/>
      <c r="CZ48" s="403"/>
      <c r="DA48" s="403"/>
      <c r="DB48" s="403"/>
      <c r="DC48" s="403"/>
      <c r="DD48" s="403"/>
      <c r="DE48" s="403"/>
      <c r="DF48" s="403"/>
      <c r="DG48" s="403"/>
      <c r="DH48" s="403"/>
      <c r="DI48" s="403"/>
    </row>
    <row r="49" spans="1:113" ht="45.75" thickBot="1" x14ac:dyDescent="0.3">
      <c r="A49" s="408"/>
      <c r="B49" s="414"/>
      <c r="C49" s="414"/>
      <c r="D49" s="415"/>
      <c r="E49" s="68" t="s">
        <v>22</v>
      </c>
      <c r="F49" s="68" t="s">
        <v>600</v>
      </c>
      <c r="G49" s="68" t="s">
        <v>601</v>
      </c>
      <c r="H49" s="68" t="s">
        <v>589</v>
      </c>
      <c r="I49" s="68" t="s">
        <v>601</v>
      </c>
      <c r="J49" s="411"/>
      <c r="K49" s="418"/>
      <c r="L49"/>
      <c r="M49" s="403"/>
      <c r="N49" s="400" t="s">
        <v>925</v>
      </c>
      <c r="O49" s="400" t="s">
        <v>926</v>
      </c>
      <c r="P49" s="400"/>
      <c r="Q49" s="400"/>
      <c r="R49" s="400"/>
      <c r="S49" s="398"/>
      <c r="T49" s="398"/>
      <c r="U49" s="398"/>
      <c r="V49" s="398"/>
      <c r="W49" s="398"/>
      <c r="X49" s="398"/>
      <c r="Y49" s="398"/>
      <c r="Z49" s="398"/>
      <c r="AA49" s="398"/>
      <c r="AB49" s="398"/>
      <c r="AC49" s="398"/>
      <c r="AD49" s="398"/>
      <c r="AE49" s="398"/>
      <c r="AF49" s="398"/>
      <c r="AG49" s="398"/>
      <c r="AH49" s="398"/>
      <c r="AI49" s="398"/>
      <c r="AJ49" s="398"/>
      <c r="AK49" s="398"/>
      <c r="AL49" s="398"/>
      <c r="AM49" s="398"/>
      <c r="AN49" s="398"/>
      <c r="AO49" s="398"/>
      <c r="AP49" s="398"/>
      <c r="AQ49" s="398"/>
      <c r="AR49" s="398"/>
      <c r="AS49" s="398"/>
      <c r="AT49" s="398"/>
      <c r="AU49" s="398"/>
      <c r="AV49" s="398"/>
      <c r="AW49" s="398"/>
      <c r="AX49" s="398"/>
      <c r="AY49" s="398"/>
      <c r="AZ49" s="398"/>
      <c r="BA49" s="398"/>
      <c r="BB49" s="398"/>
      <c r="BC49" s="398"/>
      <c r="BD49" s="398"/>
      <c r="BE49" s="398"/>
      <c r="BF49" s="398"/>
      <c r="BG49" s="398"/>
      <c r="BH49" s="398"/>
      <c r="BI49" s="398"/>
      <c r="BJ49" s="398"/>
      <c r="BK49" s="398"/>
      <c r="BL49" s="398"/>
      <c r="BM49" s="398"/>
      <c r="BN49" s="398"/>
      <c r="BO49" s="398"/>
      <c r="BP49" s="398"/>
      <c r="BQ49" s="398"/>
      <c r="BR49" s="398"/>
      <c r="BS49" s="398"/>
      <c r="BT49" s="398"/>
      <c r="BU49" s="398"/>
      <c r="BV49" s="398"/>
      <c r="BW49" s="398"/>
      <c r="BX49" s="398"/>
      <c r="BY49" s="398"/>
      <c r="BZ49" s="398"/>
      <c r="CA49" s="398"/>
      <c r="CB49" s="398"/>
      <c r="CC49" s="398"/>
      <c r="CD49" s="398"/>
      <c r="CE49" s="398"/>
      <c r="CF49" s="398"/>
      <c r="CG49" s="398"/>
      <c r="CH49" s="398"/>
      <c r="CI49" s="398"/>
      <c r="CJ49" s="398"/>
      <c r="CK49" s="398"/>
      <c r="CL49" s="398"/>
      <c r="CM49" s="398"/>
      <c r="CN49" s="398"/>
      <c r="CO49" s="398"/>
      <c r="CP49" s="398"/>
      <c r="CQ49" s="398"/>
      <c r="CR49" s="398"/>
      <c r="CS49" s="398"/>
      <c r="CT49" s="398"/>
      <c r="CU49" s="398"/>
      <c r="CV49" s="398"/>
      <c r="CW49" s="398"/>
      <c r="CX49" s="398"/>
      <c r="CY49" s="398"/>
      <c r="CZ49" s="398"/>
      <c r="DA49" s="398"/>
      <c r="DB49" s="398"/>
      <c r="DC49" s="398"/>
      <c r="DD49" s="398"/>
      <c r="DE49" s="398"/>
      <c r="DF49" s="398"/>
      <c r="DG49" s="398"/>
      <c r="DH49" s="398"/>
      <c r="DI49" s="398"/>
    </row>
    <row r="50" spans="1:113" ht="15.75" thickBot="1" x14ac:dyDescent="0.3">
      <c r="A50" s="409"/>
      <c r="B50" s="185">
        <v>1</v>
      </c>
      <c r="C50" s="185">
        <v>2</v>
      </c>
      <c r="D50" s="185">
        <v>3</v>
      </c>
      <c r="E50" s="70">
        <v>4</v>
      </c>
      <c r="F50" s="70">
        <f>+E50+1</f>
        <v>5</v>
      </c>
      <c r="G50" s="70" t="s">
        <v>652</v>
      </c>
      <c r="H50" s="70">
        <v>7</v>
      </c>
      <c r="I50" s="71" t="s">
        <v>651</v>
      </c>
      <c r="J50" s="42" t="s">
        <v>650</v>
      </c>
      <c r="K50" s="42" t="s">
        <v>653</v>
      </c>
      <c r="L50"/>
      <c r="M50" s="403"/>
      <c r="N50" s="402"/>
      <c r="O50" s="402"/>
      <c r="P50" s="402"/>
      <c r="Q50" s="402"/>
      <c r="R50" s="402"/>
      <c r="S50" s="399"/>
      <c r="T50" s="399"/>
      <c r="U50" s="399"/>
      <c r="V50" s="399"/>
      <c r="W50" s="399"/>
      <c r="X50" s="399"/>
      <c r="Y50" s="399"/>
      <c r="Z50" s="399"/>
      <c r="AA50" s="399"/>
      <c r="AB50" s="399"/>
      <c r="AC50" s="399"/>
      <c r="AD50" s="399"/>
      <c r="AE50" s="399"/>
      <c r="AF50" s="399"/>
      <c r="AG50" s="399"/>
      <c r="AH50" s="399"/>
      <c r="AI50" s="399"/>
      <c r="AJ50" s="399"/>
      <c r="AK50" s="399"/>
      <c r="AL50" s="399"/>
      <c r="AM50" s="399"/>
      <c r="AN50" s="399"/>
      <c r="AO50" s="399"/>
      <c r="AP50" s="399"/>
      <c r="AQ50" s="399"/>
      <c r="AR50" s="399"/>
      <c r="AS50" s="399"/>
      <c r="AT50" s="399"/>
      <c r="AU50" s="399"/>
      <c r="AV50" s="399"/>
      <c r="AW50" s="399"/>
      <c r="AX50" s="399"/>
      <c r="AY50" s="399"/>
      <c r="AZ50" s="399"/>
      <c r="BA50" s="399"/>
      <c r="BB50" s="399"/>
      <c r="BC50" s="399"/>
      <c r="BD50" s="399"/>
      <c r="BE50" s="399"/>
      <c r="BF50" s="399"/>
      <c r="BG50" s="399"/>
      <c r="BH50" s="399"/>
      <c r="BI50" s="399"/>
      <c r="BJ50" s="399"/>
      <c r="BK50" s="399"/>
      <c r="BL50" s="399"/>
      <c r="BM50" s="399"/>
      <c r="BN50" s="399"/>
      <c r="BO50" s="399"/>
      <c r="BP50" s="399"/>
      <c r="BQ50" s="399"/>
      <c r="BR50" s="399"/>
      <c r="BS50" s="399"/>
      <c r="BT50" s="399"/>
      <c r="BU50" s="399"/>
      <c r="BV50" s="399"/>
      <c r="BW50" s="399"/>
      <c r="BX50" s="399"/>
      <c r="BY50" s="399"/>
      <c r="BZ50" s="399"/>
      <c r="CA50" s="399"/>
      <c r="CB50" s="399"/>
      <c r="CC50" s="399"/>
      <c r="CD50" s="399"/>
      <c r="CE50" s="399"/>
      <c r="CF50" s="399"/>
      <c r="CG50" s="399"/>
      <c r="CH50" s="399"/>
      <c r="CI50" s="399"/>
      <c r="CJ50" s="399"/>
      <c r="CK50" s="399"/>
      <c r="CL50" s="399"/>
      <c r="CM50" s="399"/>
      <c r="CN50" s="399"/>
      <c r="CO50" s="399"/>
      <c r="CP50" s="399"/>
      <c r="CQ50" s="399"/>
      <c r="CR50" s="399"/>
      <c r="CS50" s="399"/>
      <c r="CT50" s="399"/>
      <c r="CU50" s="399"/>
      <c r="CV50" s="399"/>
      <c r="CW50" s="399"/>
      <c r="CX50" s="399"/>
      <c r="CY50" s="399"/>
      <c r="CZ50" s="399"/>
      <c r="DA50" s="399"/>
      <c r="DB50" s="399"/>
      <c r="DC50" s="399"/>
      <c r="DD50" s="399"/>
      <c r="DE50" s="399"/>
      <c r="DF50" s="399"/>
      <c r="DG50" s="399"/>
      <c r="DH50" s="399"/>
      <c r="DI50" s="399"/>
    </row>
    <row r="51" spans="1:113" x14ac:dyDescent="0.25">
      <c r="A51" s="160"/>
      <c r="B51" s="73" t="s">
        <v>528</v>
      </c>
      <c r="C51" s="54"/>
      <c r="D51" s="54"/>
      <c r="E51" s="54"/>
      <c r="F51" s="54"/>
      <c r="G51" s="54"/>
      <c r="H51" s="54"/>
      <c r="I51" s="54"/>
      <c r="J51" s="54"/>
      <c r="K51" s="54"/>
      <c r="L51"/>
      <c r="M51" s="314">
        <f t="shared" ref="M51:M68" si="20">SUM(N51:DJ51)</f>
        <v>0</v>
      </c>
      <c r="N51" s="310"/>
      <c r="O51" s="315"/>
      <c r="P51" s="315"/>
      <c r="Q51" s="315"/>
      <c r="R51" s="31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row>
    <row r="52" spans="1:113" x14ac:dyDescent="0.25">
      <c r="A52" s="152">
        <v>1</v>
      </c>
      <c r="B52" s="92" t="s">
        <v>529</v>
      </c>
      <c r="C52" s="80">
        <v>20000</v>
      </c>
      <c r="D52" s="142">
        <v>266.38</v>
      </c>
      <c r="E52" s="43">
        <v>3790</v>
      </c>
      <c r="F52" s="43"/>
      <c r="G52" s="166">
        <f t="shared" ref="G52:G66" si="21">+E52+F52</f>
        <v>3790</v>
      </c>
      <c r="H52" s="166">
        <f>10-10</f>
        <v>0</v>
      </c>
      <c r="I52" s="56">
        <f t="shared" ref="I52:I61" si="22">+G52-H52</f>
        <v>3790</v>
      </c>
      <c r="J52" s="56">
        <f t="shared" ref="J52:J61" si="23">I52*C52</f>
        <v>75800000</v>
      </c>
      <c r="K52" s="57">
        <f t="shared" ref="K52:K61" si="24">+D52*I52</f>
        <v>1009580.2</v>
      </c>
      <c r="L52"/>
      <c r="M52" s="314">
        <f t="shared" si="20"/>
        <v>0</v>
      </c>
      <c r="N52" s="310"/>
      <c r="O52" s="315"/>
      <c r="P52" s="315"/>
      <c r="Q52" s="315"/>
      <c r="R52" s="31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row>
    <row r="53" spans="1:113" x14ac:dyDescent="0.25">
      <c r="A53" s="152">
        <v>2</v>
      </c>
      <c r="B53" s="92" t="s">
        <v>530</v>
      </c>
      <c r="C53" s="80">
        <v>20000</v>
      </c>
      <c r="D53" s="142">
        <v>266.38</v>
      </c>
      <c r="E53" s="43">
        <v>4605</v>
      </c>
      <c r="F53" s="43"/>
      <c r="G53" s="166">
        <f t="shared" si="21"/>
        <v>4605</v>
      </c>
      <c r="H53" s="166">
        <f t="shared" ref="H53:H54" si="25">10-10</f>
        <v>0</v>
      </c>
      <c r="I53" s="56">
        <f t="shared" si="22"/>
        <v>4605</v>
      </c>
      <c r="J53" s="56">
        <f t="shared" si="23"/>
        <v>92100000</v>
      </c>
      <c r="K53" s="57">
        <f t="shared" si="24"/>
        <v>1226679.8999999999</v>
      </c>
      <c r="L53"/>
      <c r="M53" s="314">
        <f t="shared" si="20"/>
        <v>0</v>
      </c>
      <c r="N53" s="310"/>
      <c r="O53" s="315"/>
      <c r="P53" s="315"/>
      <c r="Q53" s="315"/>
      <c r="R53" s="315"/>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row>
    <row r="54" spans="1:113" x14ac:dyDescent="0.25">
      <c r="A54" s="152">
        <v>3</v>
      </c>
      <c r="B54" s="92" t="s">
        <v>531</v>
      </c>
      <c r="C54" s="80">
        <v>16000</v>
      </c>
      <c r="D54" s="142">
        <v>266.38</v>
      </c>
      <c r="E54" s="43">
        <v>2530</v>
      </c>
      <c r="F54" s="43"/>
      <c r="G54" s="166">
        <f t="shared" si="21"/>
        <v>2530</v>
      </c>
      <c r="H54" s="166">
        <f t="shared" si="25"/>
        <v>0</v>
      </c>
      <c r="I54" s="56">
        <f t="shared" si="22"/>
        <v>2530</v>
      </c>
      <c r="J54" s="56">
        <f t="shared" si="23"/>
        <v>40480000</v>
      </c>
      <c r="K54" s="57">
        <f t="shared" si="24"/>
        <v>673941.4</v>
      </c>
      <c r="L54"/>
      <c r="M54" s="314">
        <f t="shared" si="20"/>
        <v>0</v>
      </c>
      <c r="N54" s="310"/>
      <c r="O54" s="315"/>
      <c r="P54" s="315"/>
      <c r="Q54" s="315"/>
      <c r="R54" s="31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row>
    <row r="55" spans="1:113" x14ac:dyDescent="0.25">
      <c r="A55" s="152">
        <v>4</v>
      </c>
      <c r="B55" s="60" t="s">
        <v>532</v>
      </c>
      <c r="C55" s="60"/>
      <c r="D55" s="60"/>
      <c r="E55" s="43">
        <v>0</v>
      </c>
      <c r="F55" s="43"/>
      <c r="G55" s="166">
        <f t="shared" si="21"/>
        <v>0</v>
      </c>
      <c r="H55" s="166"/>
      <c r="I55" s="56">
        <f t="shared" si="22"/>
        <v>0</v>
      </c>
      <c r="J55" s="56">
        <f t="shared" si="23"/>
        <v>0</v>
      </c>
      <c r="K55" s="57">
        <f t="shared" si="24"/>
        <v>0</v>
      </c>
      <c r="L55"/>
      <c r="M55" s="314">
        <f t="shared" si="20"/>
        <v>0</v>
      </c>
      <c r="N55" s="310"/>
      <c r="O55" s="315"/>
      <c r="P55" s="315"/>
      <c r="Q55" s="315"/>
      <c r="R55" s="315"/>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row>
    <row r="56" spans="1:113" x14ac:dyDescent="0.25">
      <c r="A56" s="152">
        <v>5</v>
      </c>
      <c r="B56" s="92" t="s">
        <v>533</v>
      </c>
      <c r="C56" s="80">
        <v>25000</v>
      </c>
      <c r="D56" s="142">
        <v>266.38</v>
      </c>
      <c r="E56" s="43">
        <v>4789</v>
      </c>
      <c r="F56" s="43"/>
      <c r="G56" s="166">
        <f t="shared" si="21"/>
        <v>4789</v>
      </c>
      <c r="H56" s="166">
        <f>10-10</f>
        <v>0</v>
      </c>
      <c r="I56" s="56">
        <f t="shared" si="22"/>
        <v>4789</v>
      </c>
      <c r="J56" s="56">
        <f t="shared" si="23"/>
        <v>119725000</v>
      </c>
      <c r="K56" s="57">
        <f t="shared" si="24"/>
        <v>1275693.82</v>
      </c>
      <c r="L56"/>
      <c r="M56" s="314">
        <f t="shared" si="20"/>
        <v>0</v>
      </c>
      <c r="N56" s="310"/>
      <c r="O56" s="315"/>
      <c r="P56" s="315"/>
      <c r="Q56" s="315"/>
      <c r="R56" s="315"/>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55"/>
      <c r="CB56" s="55"/>
      <c r="CC56" s="55"/>
      <c r="CD56" s="55"/>
      <c r="CE56" s="55"/>
      <c r="CF56" s="55"/>
      <c r="CG56" s="55"/>
      <c r="CH56" s="55"/>
      <c r="CI56" s="55"/>
      <c r="CJ56" s="55"/>
      <c r="CK56" s="55"/>
      <c r="CL56" s="55"/>
      <c r="CM56" s="55"/>
      <c r="CN56" s="55"/>
      <c r="CO56" s="55"/>
      <c r="CP56" s="55"/>
      <c r="CQ56" s="55"/>
      <c r="CR56" s="55"/>
      <c r="CS56" s="55"/>
      <c r="CT56" s="55"/>
      <c r="CU56" s="55"/>
      <c r="CV56" s="55"/>
      <c r="CW56" s="55"/>
      <c r="CX56" s="55"/>
      <c r="CY56" s="55"/>
      <c r="CZ56" s="55"/>
      <c r="DA56" s="55"/>
      <c r="DB56" s="55"/>
      <c r="DC56" s="55"/>
      <c r="DD56" s="55"/>
      <c r="DE56" s="55"/>
      <c r="DF56" s="55"/>
      <c r="DG56" s="55"/>
      <c r="DH56" s="55"/>
      <c r="DI56" s="55"/>
    </row>
    <row r="57" spans="1:113" x14ac:dyDescent="0.25">
      <c r="A57" s="152">
        <v>6</v>
      </c>
      <c r="B57" s="206" t="s">
        <v>534</v>
      </c>
      <c r="C57" s="80">
        <v>25000</v>
      </c>
      <c r="D57" s="142">
        <v>266.38</v>
      </c>
      <c r="E57" s="43">
        <v>4941</v>
      </c>
      <c r="F57" s="43"/>
      <c r="G57" s="166">
        <f t="shared" si="21"/>
        <v>4941</v>
      </c>
      <c r="H57" s="166"/>
      <c r="I57" s="56">
        <f t="shared" si="22"/>
        <v>4941</v>
      </c>
      <c r="J57" s="56">
        <f t="shared" si="23"/>
        <v>123525000</v>
      </c>
      <c r="K57" s="57">
        <f t="shared" si="24"/>
        <v>1316183.58</v>
      </c>
      <c r="L57"/>
      <c r="M57" s="314">
        <f t="shared" si="20"/>
        <v>0</v>
      </c>
      <c r="N57" s="310"/>
      <c r="O57" s="315"/>
      <c r="P57" s="315"/>
      <c r="Q57" s="315"/>
      <c r="R57" s="315"/>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55"/>
      <c r="CB57" s="55"/>
      <c r="CC57" s="55"/>
      <c r="CD57" s="55"/>
      <c r="CE57" s="55"/>
      <c r="CF57" s="55"/>
      <c r="CG57" s="55"/>
      <c r="CH57" s="55"/>
      <c r="CI57" s="55"/>
      <c r="CJ57" s="55"/>
      <c r="CK57" s="55"/>
      <c r="CL57" s="55"/>
      <c r="CM57" s="55"/>
      <c r="CN57" s="55"/>
      <c r="CO57" s="55"/>
      <c r="CP57" s="55"/>
      <c r="CQ57" s="55"/>
      <c r="CR57" s="55"/>
      <c r="CS57" s="55"/>
      <c r="CT57" s="55"/>
      <c r="CU57" s="55"/>
      <c r="CV57" s="55"/>
      <c r="CW57" s="55"/>
      <c r="CX57" s="55"/>
      <c r="CY57" s="55"/>
      <c r="CZ57" s="55"/>
      <c r="DA57" s="55"/>
      <c r="DB57" s="55"/>
      <c r="DC57" s="55"/>
      <c r="DD57" s="55"/>
      <c r="DE57" s="55"/>
      <c r="DF57" s="55"/>
      <c r="DG57" s="55"/>
      <c r="DH57" s="55"/>
      <c r="DI57" s="55"/>
    </row>
    <row r="58" spans="1:113" x14ac:dyDescent="0.25">
      <c r="A58" s="152">
        <v>7</v>
      </c>
      <c r="B58" s="206" t="s">
        <v>561</v>
      </c>
      <c r="C58" s="80">
        <f>+'[6]KEL F'!$AY$5</f>
        <v>28000</v>
      </c>
      <c r="D58" s="60">
        <v>2227.5</v>
      </c>
      <c r="E58" s="43">
        <v>6000</v>
      </c>
      <c r="F58" s="43"/>
      <c r="G58" s="166">
        <f t="shared" si="21"/>
        <v>6000</v>
      </c>
      <c r="H58" s="166">
        <f>200-200+400-400</f>
        <v>0</v>
      </c>
      <c r="I58" s="56">
        <f t="shared" si="22"/>
        <v>6000</v>
      </c>
      <c r="J58" s="56">
        <f t="shared" si="23"/>
        <v>168000000</v>
      </c>
      <c r="K58" s="57">
        <f t="shared" si="24"/>
        <v>13365000</v>
      </c>
      <c r="L58"/>
      <c r="M58" s="314">
        <f t="shared" si="20"/>
        <v>0</v>
      </c>
      <c r="N58" s="310"/>
      <c r="O58" s="315"/>
      <c r="P58" s="315"/>
      <c r="Q58" s="315"/>
      <c r="R58" s="315"/>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55"/>
      <c r="CA58" s="55"/>
      <c r="CB58" s="55"/>
      <c r="CC58" s="55"/>
      <c r="CD58" s="55"/>
      <c r="CE58" s="55"/>
      <c r="CF58" s="55"/>
      <c r="CG58" s="55"/>
      <c r="CH58" s="55"/>
      <c r="CI58" s="55"/>
      <c r="CJ58" s="55"/>
      <c r="CK58" s="55"/>
      <c r="CL58" s="55"/>
      <c r="CM58" s="55"/>
      <c r="CN58" s="55"/>
      <c r="CO58" s="55"/>
      <c r="CP58" s="55"/>
      <c r="CQ58" s="55"/>
      <c r="CR58" s="55"/>
      <c r="CS58" s="55"/>
      <c r="CT58" s="55"/>
      <c r="CU58" s="55"/>
      <c r="CV58" s="55"/>
      <c r="CW58" s="55"/>
      <c r="CX58" s="55"/>
      <c r="CY58" s="55"/>
      <c r="CZ58" s="55"/>
      <c r="DA58" s="55"/>
      <c r="DB58" s="55"/>
      <c r="DC58" s="55"/>
      <c r="DD58" s="55"/>
      <c r="DE58" s="55"/>
      <c r="DF58" s="55"/>
      <c r="DG58" s="55"/>
      <c r="DH58" s="55"/>
      <c r="DI58" s="55"/>
    </row>
    <row r="59" spans="1:113" x14ac:dyDescent="0.25">
      <c r="A59" s="152">
        <v>8</v>
      </c>
      <c r="B59" s="218" t="s">
        <v>562</v>
      </c>
      <c r="C59" s="80">
        <f>+'[6]KEL F'!$AZ$5</f>
        <v>28000</v>
      </c>
      <c r="D59" s="60">
        <v>2227.5</v>
      </c>
      <c r="E59" s="43">
        <v>0</v>
      </c>
      <c r="F59" s="43"/>
      <c r="G59" s="166">
        <f t="shared" si="21"/>
        <v>0</v>
      </c>
      <c r="H59" s="166"/>
      <c r="I59" s="56">
        <f t="shared" si="22"/>
        <v>0</v>
      </c>
      <c r="J59" s="56">
        <f t="shared" si="23"/>
        <v>0</v>
      </c>
      <c r="K59" s="57">
        <f t="shared" si="24"/>
        <v>0</v>
      </c>
      <c r="L59"/>
      <c r="M59" s="314">
        <f t="shared" si="20"/>
        <v>0</v>
      </c>
      <c r="N59" s="310"/>
      <c r="O59" s="315"/>
      <c r="P59" s="315"/>
      <c r="Q59" s="315"/>
      <c r="R59" s="31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55"/>
      <c r="CZ59" s="55"/>
      <c r="DA59" s="55"/>
      <c r="DB59" s="55"/>
      <c r="DC59" s="55"/>
      <c r="DD59" s="55"/>
      <c r="DE59" s="55"/>
      <c r="DF59" s="55"/>
      <c r="DG59" s="55"/>
      <c r="DH59" s="55"/>
      <c r="DI59" s="55"/>
    </row>
    <row r="60" spans="1:113" x14ac:dyDescent="0.25">
      <c r="A60" s="152">
        <v>9</v>
      </c>
      <c r="B60" s="60" t="s">
        <v>561</v>
      </c>
      <c r="C60" s="80">
        <v>32000</v>
      </c>
      <c r="D60" s="60">
        <v>2459.0500000000002</v>
      </c>
      <c r="E60" s="43">
        <v>2275</v>
      </c>
      <c r="F60" s="43">
        <f>15000+25000-40000+2000+10000</f>
        <v>12000</v>
      </c>
      <c r="G60" s="166">
        <f t="shared" si="21"/>
        <v>14275</v>
      </c>
      <c r="H60" s="43">
        <f>800+1200+275+2000</f>
        <v>4275</v>
      </c>
      <c r="I60" s="56">
        <f t="shared" si="22"/>
        <v>10000</v>
      </c>
      <c r="J60" s="56">
        <f t="shared" si="23"/>
        <v>320000000</v>
      </c>
      <c r="K60" s="57">
        <f t="shared" si="24"/>
        <v>24590500</v>
      </c>
      <c r="L60"/>
      <c r="M60" s="314">
        <f t="shared" si="20"/>
        <v>0</v>
      </c>
      <c r="N60" s="310"/>
      <c r="O60" s="315"/>
      <c r="P60" s="315"/>
      <c r="Q60" s="315"/>
      <c r="R60" s="31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row>
    <row r="61" spans="1:113" x14ac:dyDescent="0.25">
      <c r="A61" s="170">
        <v>10</v>
      </c>
      <c r="B61" s="121" t="s">
        <v>562</v>
      </c>
      <c r="C61" s="116">
        <v>32000</v>
      </c>
      <c r="D61" s="121">
        <v>2459.0500000000002</v>
      </c>
      <c r="E61" s="122">
        <v>1800</v>
      </c>
      <c r="F61" s="122">
        <f>15000+7000-22000+8000-8000</f>
        <v>0</v>
      </c>
      <c r="G61" s="194">
        <f t="shared" si="21"/>
        <v>1800</v>
      </c>
      <c r="H61" s="122">
        <f>300+300+100+1100</f>
        <v>1800</v>
      </c>
      <c r="I61" s="109">
        <f t="shared" si="22"/>
        <v>0</v>
      </c>
      <c r="J61" s="109">
        <f t="shared" si="23"/>
        <v>0</v>
      </c>
      <c r="K61" s="110">
        <f t="shared" si="24"/>
        <v>0</v>
      </c>
      <c r="L61"/>
      <c r="M61" s="314">
        <f t="shared" si="20"/>
        <v>0</v>
      </c>
      <c r="N61" s="310"/>
      <c r="O61" s="315"/>
      <c r="P61" s="315"/>
      <c r="Q61" s="315"/>
      <c r="R61" s="31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55"/>
      <c r="CZ61" s="55"/>
      <c r="DA61" s="55"/>
      <c r="DB61" s="55"/>
      <c r="DC61" s="55"/>
      <c r="DD61" s="55"/>
      <c r="DE61" s="55"/>
      <c r="DF61" s="55"/>
      <c r="DG61" s="55"/>
      <c r="DH61" s="55"/>
      <c r="DI61" s="55"/>
    </row>
    <row r="62" spans="1:113" x14ac:dyDescent="0.25">
      <c r="A62" s="152">
        <v>11</v>
      </c>
      <c r="B62" s="60" t="s">
        <v>821</v>
      </c>
      <c r="C62" s="116">
        <v>32000</v>
      </c>
      <c r="D62" s="252">
        <v>6215</v>
      </c>
      <c r="E62" s="43">
        <v>9600</v>
      </c>
      <c r="F62" s="43">
        <f>2000-2000+5000+15000-20000</f>
        <v>0</v>
      </c>
      <c r="G62" s="194">
        <f t="shared" si="21"/>
        <v>9600</v>
      </c>
      <c r="H62" s="80">
        <f>2000+200+1000+4800+200+1400</f>
        <v>9600</v>
      </c>
      <c r="I62" s="109">
        <f t="shared" ref="I62" si="26">+G62-H62</f>
        <v>0</v>
      </c>
      <c r="J62" s="109">
        <f t="shared" ref="J62" si="27">I62*C62</f>
        <v>0</v>
      </c>
      <c r="K62" s="110">
        <f t="shared" ref="K62" si="28">+D62*I62</f>
        <v>0</v>
      </c>
      <c r="L62"/>
      <c r="M62" s="314">
        <f t="shared" si="20"/>
        <v>0</v>
      </c>
      <c r="N62" s="310"/>
      <c r="O62" s="315"/>
      <c r="P62" s="315"/>
      <c r="Q62" s="315"/>
      <c r="R62" s="31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row>
    <row r="63" spans="1:113" x14ac:dyDescent="0.25">
      <c r="A63" s="152">
        <v>12</v>
      </c>
      <c r="B63" s="60" t="s">
        <v>911</v>
      </c>
      <c r="C63" s="80">
        <v>20000</v>
      </c>
      <c r="D63" s="252">
        <v>3560</v>
      </c>
      <c r="E63" s="43">
        <v>4900</v>
      </c>
      <c r="F63" s="43">
        <f>10000-10000</f>
        <v>0</v>
      </c>
      <c r="G63" s="194">
        <f t="shared" si="21"/>
        <v>4900</v>
      </c>
      <c r="H63" s="43">
        <f>100+5000-5100+1000+100</f>
        <v>1100</v>
      </c>
      <c r="I63" s="109">
        <f t="shared" ref="I63:I66" si="29">+G63-H63</f>
        <v>3800</v>
      </c>
      <c r="J63" s="109">
        <f t="shared" ref="J63:J66" si="30">I63*C63</f>
        <v>76000000</v>
      </c>
      <c r="K63" s="110">
        <f t="shared" ref="K63:K66" si="31">+D63*I63</f>
        <v>13528000</v>
      </c>
      <c r="L63"/>
      <c r="M63" s="314">
        <f t="shared" si="20"/>
        <v>0</v>
      </c>
      <c r="N63" s="310"/>
      <c r="O63" s="315"/>
      <c r="P63" s="315"/>
      <c r="Q63" s="315"/>
      <c r="R63" s="31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c r="CN63" s="55"/>
      <c r="CO63" s="55"/>
      <c r="CP63" s="55"/>
      <c r="CQ63" s="55"/>
      <c r="CR63" s="55"/>
      <c r="CS63" s="55"/>
      <c r="CT63" s="55"/>
      <c r="CU63" s="55"/>
      <c r="CV63" s="55"/>
      <c r="CW63" s="55"/>
      <c r="CX63" s="55"/>
      <c r="CY63" s="55"/>
      <c r="CZ63" s="55"/>
      <c r="DA63" s="55"/>
      <c r="DB63" s="55"/>
      <c r="DC63" s="55"/>
      <c r="DD63" s="55"/>
      <c r="DE63" s="55"/>
      <c r="DF63" s="55"/>
      <c r="DG63" s="55"/>
      <c r="DH63" s="55"/>
      <c r="DI63" s="55"/>
    </row>
    <row r="64" spans="1:113" x14ac:dyDescent="0.25">
      <c r="A64" s="152">
        <v>13</v>
      </c>
      <c r="B64" s="60" t="s">
        <v>912</v>
      </c>
      <c r="C64" s="80">
        <v>30000</v>
      </c>
      <c r="D64" s="252">
        <v>3560</v>
      </c>
      <c r="E64" s="43">
        <v>4800</v>
      </c>
      <c r="F64" s="43">
        <f>10000-10000</f>
        <v>0</v>
      </c>
      <c r="G64" s="194">
        <f t="shared" si="21"/>
        <v>4800</v>
      </c>
      <c r="H64" s="43">
        <f>200+5000-5200+1000+100</f>
        <v>1100</v>
      </c>
      <c r="I64" s="109">
        <f t="shared" si="29"/>
        <v>3700</v>
      </c>
      <c r="J64" s="109">
        <f t="shared" si="30"/>
        <v>111000000</v>
      </c>
      <c r="K64" s="110">
        <f t="shared" si="31"/>
        <v>13172000</v>
      </c>
      <c r="L64"/>
      <c r="M64" s="314">
        <f t="shared" si="20"/>
        <v>0</v>
      </c>
      <c r="N64" s="310"/>
      <c r="O64" s="315"/>
      <c r="P64" s="315"/>
      <c r="Q64" s="315"/>
      <c r="R64" s="31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55"/>
      <c r="CZ64" s="55"/>
      <c r="DA64" s="55"/>
      <c r="DB64" s="55"/>
      <c r="DC64" s="55"/>
      <c r="DD64" s="55"/>
      <c r="DE64" s="55"/>
      <c r="DF64" s="55"/>
      <c r="DG64" s="55"/>
      <c r="DH64" s="55"/>
      <c r="DI64" s="55"/>
    </row>
    <row r="65" spans="1:113" x14ac:dyDescent="0.25">
      <c r="A65" s="152"/>
      <c r="B65" s="60"/>
      <c r="C65" s="80"/>
      <c r="D65" s="60"/>
      <c r="E65" s="43">
        <v>0</v>
      </c>
      <c r="F65" s="43"/>
      <c r="G65" s="194">
        <f t="shared" si="21"/>
        <v>0</v>
      </c>
      <c r="H65" s="43"/>
      <c r="I65" s="109">
        <f t="shared" si="29"/>
        <v>0</v>
      </c>
      <c r="J65" s="109">
        <f t="shared" si="30"/>
        <v>0</v>
      </c>
      <c r="K65" s="110">
        <f t="shared" si="31"/>
        <v>0</v>
      </c>
      <c r="L65"/>
      <c r="M65" s="314">
        <f t="shared" si="20"/>
        <v>0</v>
      </c>
      <c r="N65" s="310"/>
      <c r="O65" s="315"/>
      <c r="P65" s="315"/>
      <c r="Q65" s="315"/>
      <c r="R65" s="31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BX65" s="55"/>
      <c r="BY65" s="55"/>
      <c r="BZ65" s="55"/>
      <c r="CA65" s="55"/>
      <c r="CB65" s="55"/>
      <c r="CC65" s="55"/>
      <c r="CD65" s="55"/>
      <c r="CE65" s="55"/>
      <c r="CF65" s="55"/>
      <c r="CG65" s="55"/>
      <c r="CH65" s="55"/>
      <c r="CI65" s="55"/>
      <c r="CJ65" s="55"/>
      <c r="CK65" s="55"/>
      <c r="CL65" s="55"/>
      <c r="CM65" s="55"/>
      <c r="CN65" s="55"/>
      <c r="CO65" s="55"/>
      <c r="CP65" s="55"/>
      <c r="CQ65" s="55"/>
      <c r="CR65" s="55"/>
      <c r="CS65" s="55"/>
      <c r="CT65" s="55"/>
      <c r="CU65" s="55"/>
      <c r="CV65" s="55"/>
      <c r="CW65" s="55"/>
      <c r="CX65" s="55"/>
      <c r="CY65" s="55"/>
      <c r="CZ65" s="55"/>
      <c r="DA65" s="55"/>
      <c r="DB65" s="55"/>
      <c r="DC65" s="55"/>
      <c r="DD65" s="55"/>
      <c r="DE65" s="55"/>
      <c r="DF65" s="55"/>
      <c r="DG65" s="55"/>
      <c r="DH65" s="55"/>
      <c r="DI65" s="55"/>
    </row>
    <row r="66" spans="1:113" x14ac:dyDescent="0.25">
      <c r="A66" s="152"/>
      <c r="B66" s="60"/>
      <c r="C66" s="80"/>
      <c r="D66" s="60"/>
      <c r="E66" s="43">
        <v>0</v>
      </c>
      <c r="F66" s="43"/>
      <c r="G66" s="194">
        <f t="shared" si="21"/>
        <v>0</v>
      </c>
      <c r="H66" s="43"/>
      <c r="I66" s="109">
        <f t="shared" si="29"/>
        <v>0</v>
      </c>
      <c r="J66" s="109">
        <f t="shared" si="30"/>
        <v>0</v>
      </c>
      <c r="K66" s="110">
        <f t="shared" si="31"/>
        <v>0</v>
      </c>
      <c r="L66"/>
      <c r="M66" s="314">
        <f t="shared" si="20"/>
        <v>0</v>
      </c>
      <c r="N66" s="310"/>
      <c r="O66" s="315"/>
      <c r="P66" s="315"/>
      <c r="Q66" s="315"/>
      <c r="R66" s="315"/>
      <c r="S66" s="55"/>
      <c r="T66" s="55"/>
      <c r="U66" s="55"/>
      <c r="V66" s="55"/>
      <c r="W66" s="55"/>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c r="BM66" s="55"/>
      <c r="BN66" s="55"/>
      <c r="BO66" s="55"/>
      <c r="BP66" s="55"/>
      <c r="BQ66" s="55"/>
      <c r="BR66" s="55"/>
      <c r="BS66" s="55"/>
      <c r="BT66" s="55"/>
      <c r="BU66" s="55"/>
      <c r="BV66" s="55"/>
      <c r="BW66" s="55"/>
      <c r="BX66" s="55"/>
      <c r="BY66" s="55"/>
      <c r="BZ66" s="55"/>
      <c r="CA66" s="55"/>
      <c r="CB66" s="55"/>
      <c r="CC66" s="55"/>
      <c r="CD66" s="55"/>
      <c r="CE66" s="55"/>
      <c r="CF66" s="55"/>
      <c r="CG66" s="55"/>
      <c r="CH66" s="55"/>
      <c r="CI66" s="55"/>
      <c r="CJ66" s="55"/>
      <c r="CK66" s="55"/>
      <c r="CL66" s="55"/>
      <c r="CM66" s="55"/>
      <c r="CN66" s="55"/>
      <c r="CO66" s="55"/>
      <c r="CP66" s="55"/>
      <c r="CQ66" s="55"/>
      <c r="CR66" s="55"/>
      <c r="CS66" s="55"/>
      <c r="CT66" s="55"/>
      <c r="CU66" s="55"/>
      <c r="CV66" s="55"/>
      <c r="CW66" s="55"/>
      <c r="CX66" s="55"/>
      <c r="CY66" s="55"/>
      <c r="CZ66" s="55"/>
      <c r="DA66" s="55"/>
      <c r="DB66" s="55"/>
      <c r="DC66" s="55"/>
      <c r="DD66" s="55"/>
      <c r="DE66" s="55"/>
      <c r="DF66" s="55"/>
      <c r="DG66" s="55"/>
      <c r="DH66" s="55"/>
      <c r="DI66" s="55"/>
    </row>
    <row r="67" spans="1:113" ht="15.75" thickBot="1" x14ac:dyDescent="0.3">
      <c r="A67" s="153"/>
      <c r="B67" s="156"/>
      <c r="C67" s="82"/>
      <c r="D67" s="156"/>
      <c r="E67" s="154"/>
      <c r="F67" s="154"/>
      <c r="G67" s="197"/>
      <c r="H67" s="154"/>
      <c r="I67" s="64"/>
      <c r="J67" s="64"/>
      <c r="K67" s="65"/>
      <c r="L67"/>
      <c r="M67" s="314">
        <f t="shared" si="20"/>
        <v>0</v>
      </c>
      <c r="N67" s="310"/>
      <c r="O67" s="315"/>
      <c r="P67" s="315"/>
      <c r="Q67" s="315"/>
      <c r="R67" s="315"/>
      <c r="S67" s="55"/>
      <c r="T67" s="55"/>
      <c r="U67" s="55"/>
      <c r="V67" s="55"/>
      <c r="W67" s="55"/>
      <c r="X67" s="55"/>
      <c r="Y67" s="55"/>
      <c r="Z67" s="55"/>
      <c r="AA67" s="55"/>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c r="BG67" s="55"/>
      <c r="BH67" s="55"/>
      <c r="BI67" s="55"/>
      <c r="BJ67" s="55"/>
      <c r="BK67" s="55"/>
      <c r="BL67" s="55"/>
      <c r="BM67" s="55"/>
      <c r="BN67" s="55"/>
      <c r="BO67" s="55"/>
      <c r="BP67" s="55"/>
      <c r="BQ67" s="55"/>
      <c r="BR67" s="55"/>
      <c r="BS67" s="55"/>
      <c r="BT67" s="55"/>
      <c r="BU67" s="55"/>
      <c r="BV67" s="55"/>
      <c r="BW67" s="55"/>
      <c r="BX67" s="55"/>
      <c r="BY67" s="55"/>
      <c r="BZ67" s="55"/>
      <c r="CA67" s="55"/>
      <c r="CB67" s="55"/>
      <c r="CC67" s="55"/>
      <c r="CD67" s="55"/>
      <c r="CE67" s="55"/>
      <c r="CF67" s="55"/>
      <c r="CG67" s="55"/>
      <c r="CH67" s="55"/>
      <c r="CI67" s="55"/>
      <c r="CJ67" s="55"/>
      <c r="CK67" s="55"/>
      <c r="CL67" s="55"/>
      <c r="CM67" s="55"/>
      <c r="CN67" s="55"/>
      <c r="CO67" s="55"/>
      <c r="CP67" s="55"/>
      <c r="CQ67" s="55"/>
      <c r="CR67" s="55"/>
      <c r="CS67" s="55"/>
      <c r="CT67" s="55"/>
      <c r="CU67" s="55"/>
      <c r="CV67" s="55"/>
      <c r="CW67" s="55"/>
      <c r="CX67" s="55"/>
      <c r="CY67" s="55"/>
      <c r="CZ67" s="55"/>
      <c r="DA67" s="55"/>
      <c r="DB67" s="55"/>
      <c r="DC67" s="55"/>
      <c r="DD67" s="55"/>
      <c r="DE67" s="55"/>
      <c r="DF67" s="55"/>
      <c r="DG67" s="55"/>
      <c r="DH67" s="55"/>
      <c r="DI67" s="55"/>
    </row>
    <row r="68" spans="1:113" ht="15.75" thickBot="1" x14ac:dyDescent="0.3">
      <c r="A68" s="128"/>
      <c r="B68" s="119" t="s">
        <v>726</v>
      </c>
      <c r="C68" s="36"/>
      <c r="D68" s="36"/>
      <c r="E68" s="29">
        <f>SUM(E52:E67)</f>
        <v>50030</v>
      </c>
      <c r="F68" s="29">
        <f>SUM(F52:F67)</f>
        <v>12000</v>
      </c>
      <c r="G68" s="29">
        <f t="shared" ref="G68:J68" si="32">SUM(G52:G67)</f>
        <v>62030</v>
      </c>
      <c r="H68" s="29">
        <f t="shared" si="32"/>
        <v>17875</v>
      </c>
      <c r="I68" s="29">
        <f t="shared" si="32"/>
        <v>44155</v>
      </c>
      <c r="J68" s="29">
        <f t="shared" si="32"/>
        <v>1126630000</v>
      </c>
      <c r="K68" s="47">
        <f>SUM(K52:K67)</f>
        <v>70157578.900000006</v>
      </c>
      <c r="L68"/>
      <c r="M68" s="322">
        <f t="shared" si="20"/>
        <v>0</v>
      </c>
      <c r="N68" s="325"/>
      <c r="O68" s="325"/>
      <c r="P68" s="325"/>
      <c r="Q68" s="325"/>
      <c r="R68" s="325"/>
      <c r="S68" s="324"/>
      <c r="T68" s="324"/>
      <c r="U68" s="324"/>
      <c r="V68" s="324"/>
      <c r="W68" s="324"/>
      <c r="X68" s="324"/>
      <c r="Y68" s="324"/>
      <c r="Z68" s="324"/>
      <c r="AA68" s="324"/>
      <c r="AB68" s="324"/>
      <c r="AC68" s="324"/>
      <c r="AD68" s="324"/>
      <c r="AE68" s="324"/>
      <c r="AF68" s="324"/>
      <c r="AG68" s="324"/>
      <c r="AH68" s="324"/>
      <c r="AI68" s="324"/>
      <c r="AJ68" s="324"/>
      <c r="AK68" s="324"/>
      <c r="AL68" s="324"/>
      <c r="AM68" s="324"/>
      <c r="AN68" s="324"/>
      <c r="AO68" s="324"/>
      <c r="AP68" s="324"/>
      <c r="AQ68" s="324"/>
      <c r="AR68" s="324"/>
      <c r="AS68" s="324"/>
      <c r="AT68" s="324"/>
      <c r="AU68" s="324"/>
      <c r="AV68" s="324"/>
      <c r="AW68" s="324"/>
      <c r="AX68" s="324"/>
      <c r="AY68" s="324"/>
      <c r="AZ68" s="324"/>
      <c r="BA68" s="324"/>
      <c r="BB68" s="324"/>
      <c r="BC68" s="324"/>
      <c r="BD68" s="324"/>
      <c r="BE68" s="324"/>
      <c r="BF68" s="324"/>
      <c r="BG68" s="324"/>
      <c r="BH68" s="324"/>
      <c r="BI68" s="324"/>
      <c r="BJ68" s="324"/>
      <c r="BK68" s="324"/>
      <c r="BL68" s="324"/>
      <c r="BM68" s="324"/>
      <c r="BN68" s="324"/>
      <c r="BO68" s="324"/>
      <c r="BP68" s="324"/>
      <c r="BQ68" s="324"/>
      <c r="BR68" s="324"/>
      <c r="BS68" s="324"/>
      <c r="BT68" s="324"/>
      <c r="BU68" s="324"/>
      <c r="BV68" s="324"/>
      <c r="BW68" s="324"/>
      <c r="BX68" s="324"/>
      <c r="BY68" s="324"/>
      <c r="BZ68" s="324"/>
      <c r="CA68" s="324"/>
      <c r="CB68" s="324"/>
      <c r="CC68" s="324"/>
      <c r="CD68" s="324"/>
      <c r="CE68" s="324"/>
      <c r="CF68" s="324"/>
      <c r="CG68" s="324"/>
      <c r="CH68" s="324"/>
      <c r="CI68" s="324"/>
      <c r="CJ68" s="324"/>
      <c r="CK68" s="324"/>
      <c r="CL68" s="324"/>
      <c r="CM68" s="324"/>
      <c r="CN68" s="324"/>
      <c r="CO68" s="324"/>
      <c r="CP68" s="324"/>
      <c r="CQ68" s="324"/>
      <c r="CR68" s="324"/>
      <c r="CS68" s="324"/>
      <c r="CT68" s="324"/>
      <c r="CU68" s="324"/>
      <c r="CV68" s="324"/>
      <c r="CW68" s="324"/>
      <c r="CX68" s="324"/>
      <c r="CY68" s="324"/>
      <c r="CZ68" s="324"/>
      <c r="DA68" s="324"/>
      <c r="DB68" s="324"/>
      <c r="DC68" s="324"/>
      <c r="DD68" s="324"/>
      <c r="DE68" s="324"/>
      <c r="DF68" s="324"/>
      <c r="DG68" s="324"/>
      <c r="DH68" s="324"/>
      <c r="DI68" s="324"/>
    </row>
    <row r="69" spans="1:113" x14ac:dyDescent="0.25">
      <c r="L69"/>
      <c r="M69"/>
      <c r="N69"/>
      <c r="O69"/>
      <c r="P69"/>
      <c r="Q69"/>
      <c r="R69"/>
      <c r="S69"/>
      <c r="T69"/>
      <c r="U69"/>
      <c r="V69"/>
      <c r="W69"/>
      <c r="X69"/>
      <c r="Y69"/>
      <c r="Z69"/>
      <c r="AA69"/>
      <c r="AB69"/>
      <c r="AC69"/>
      <c r="AD69"/>
      <c r="AE69"/>
      <c r="AF69"/>
      <c r="AG69"/>
      <c r="AH69"/>
      <c r="AI69"/>
      <c r="AJ69"/>
      <c r="AK69"/>
    </row>
    <row r="70" spans="1:113" ht="15.75" thickBot="1" x14ac:dyDescent="0.3">
      <c r="A70" s="103" t="s">
        <v>722</v>
      </c>
      <c r="L70"/>
      <c r="M70"/>
      <c r="N70"/>
      <c r="O70"/>
      <c r="P70"/>
      <c r="Q70"/>
      <c r="R70"/>
      <c r="S70"/>
      <c r="T70"/>
      <c r="U70"/>
      <c r="V70"/>
      <c r="W70"/>
      <c r="X70"/>
      <c r="Y70"/>
      <c r="Z70"/>
      <c r="AA70"/>
      <c r="AB70"/>
      <c r="AC70"/>
      <c r="AD70"/>
      <c r="AE70"/>
      <c r="AF70"/>
      <c r="AG70"/>
      <c r="AH70"/>
      <c r="AI70"/>
      <c r="AJ70"/>
      <c r="AK70"/>
    </row>
    <row r="71" spans="1:113" ht="15.75" thickBot="1" x14ac:dyDescent="0.3">
      <c r="A71" s="128"/>
      <c r="B71" s="41" t="s">
        <v>727</v>
      </c>
      <c r="C71" s="36"/>
      <c r="D71" s="36"/>
      <c r="E71" s="38">
        <f>+E11+E35+E46+E68</f>
        <v>146574</v>
      </c>
      <c r="F71" s="38">
        <f t="shared" ref="F71:K71" si="33">+F11+F35+F46+F68</f>
        <v>12000</v>
      </c>
      <c r="G71" s="38">
        <f t="shared" si="33"/>
        <v>158574</v>
      </c>
      <c r="H71" s="38">
        <f t="shared" si="33"/>
        <v>17875</v>
      </c>
      <c r="I71" s="38">
        <f t="shared" si="33"/>
        <v>140699</v>
      </c>
      <c r="J71" s="38">
        <f t="shared" si="33"/>
        <v>3304873000</v>
      </c>
      <c r="K71" s="202">
        <f t="shared" si="33"/>
        <v>245760403.15000001</v>
      </c>
      <c r="L71"/>
      <c r="M71"/>
      <c r="N71"/>
      <c r="O71"/>
      <c r="P71"/>
      <c r="Q71"/>
      <c r="R71"/>
      <c r="S71"/>
      <c r="T71"/>
      <c r="U71"/>
      <c r="V71"/>
      <c r="W71"/>
      <c r="X71"/>
      <c r="Y71"/>
      <c r="Z71"/>
      <c r="AA71"/>
      <c r="AB71"/>
      <c r="AC71"/>
      <c r="AD71"/>
      <c r="AE71"/>
      <c r="AF71"/>
      <c r="AG71"/>
      <c r="AH71"/>
      <c r="AI71"/>
      <c r="AJ71"/>
      <c r="AK71"/>
    </row>
    <row r="72" spans="1:113" x14ac:dyDescent="0.25">
      <c r="L72"/>
      <c r="M72"/>
      <c r="N72"/>
      <c r="O72"/>
      <c r="P72"/>
      <c r="Q72"/>
      <c r="R72"/>
      <c r="S72"/>
      <c r="T72"/>
      <c r="U72"/>
      <c r="V72"/>
      <c r="W72"/>
      <c r="X72"/>
      <c r="Y72"/>
      <c r="Z72"/>
      <c r="AA72"/>
      <c r="AB72"/>
      <c r="AC72"/>
      <c r="AD72"/>
      <c r="AE72"/>
      <c r="AF72"/>
      <c r="AG72"/>
      <c r="AH72"/>
      <c r="AI72"/>
      <c r="AJ72"/>
      <c r="AK72"/>
    </row>
    <row r="78" spans="1:113" x14ac:dyDescent="0.25">
      <c r="E78" s="19"/>
      <c r="F78" s="19"/>
      <c r="G78" s="19"/>
      <c r="H78" s="19"/>
      <c r="I78" s="19"/>
      <c r="J78" s="19"/>
      <c r="K78" s="26"/>
    </row>
    <row r="80" spans="1:113" x14ac:dyDescent="0.25">
      <c r="E80" s="186"/>
      <c r="F80" s="186"/>
      <c r="G80" s="186"/>
      <c r="H80" s="186"/>
      <c r="I80" s="186"/>
      <c r="J80" s="186"/>
      <c r="K80" s="186"/>
    </row>
  </sheetData>
  <mergeCells count="436">
    <mergeCell ref="K37:K38"/>
    <mergeCell ref="A48:A50"/>
    <mergeCell ref="B48:B49"/>
    <mergeCell ref="C48:C49"/>
    <mergeCell ref="D48:D49"/>
    <mergeCell ref="J48:J49"/>
    <mergeCell ref="K48:K49"/>
    <mergeCell ref="A37:A39"/>
    <mergeCell ref="B37:B38"/>
    <mergeCell ref="C37:C38"/>
    <mergeCell ref="D37:D38"/>
    <mergeCell ref="J37:J38"/>
    <mergeCell ref="E37:I37"/>
    <mergeCell ref="E48:I48"/>
    <mergeCell ref="K3:K4"/>
    <mergeCell ref="A13:A15"/>
    <mergeCell ref="B13:B14"/>
    <mergeCell ref="C13:C14"/>
    <mergeCell ref="D13:D14"/>
    <mergeCell ref="J13:J14"/>
    <mergeCell ref="K13:K14"/>
    <mergeCell ref="A3:A5"/>
    <mergeCell ref="B3:B4"/>
    <mergeCell ref="C3:C4"/>
    <mergeCell ref="D3:D4"/>
    <mergeCell ref="J3:J4"/>
    <mergeCell ref="E3:I3"/>
    <mergeCell ref="E13:I13"/>
    <mergeCell ref="AB4:AB5"/>
    <mergeCell ref="AC4:AC5"/>
    <mergeCell ref="AD4:AD5"/>
    <mergeCell ref="AE4:AE5"/>
    <mergeCell ref="AF4:AF5"/>
    <mergeCell ref="M3:M5"/>
    <mergeCell ref="N3:DI3"/>
    <mergeCell ref="N4:N5"/>
    <mergeCell ref="O4:O5"/>
    <mergeCell ref="P4:P5"/>
    <mergeCell ref="Q4:Q5"/>
    <mergeCell ref="R4:R5"/>
    <mergeCell ref="S4:S5"/>
    <mergeCell ref="T4:T5"/>
    <mergeCell ref="U4:U5"/>
    <mergeCell ref="V4:V5"/>
    <mergeCell ref="W4:W5"/>
    <mergeCell ref="X4:X5"/>
    <mergeCell ref="Y4:Y5"/>
    <mergeCell ref="Z4:Z5"/>
    <mergeCell ref="AA4:AA5"/>
    <mergeCell ref="AL4:AL5"/>
    <mergeCell ref="AM4:AM5"/>
    <mergeCell ref="AN4:AN5"/>
    <mergeCell ref="AO4:AO5"/>
    <mergeCell ref="AP4:AP5"/>
    <mergeCell ref="AG4:AG5"/>
    <mergeCell ref="AH4:AH5"/>
    <mergeCell ref="AI4:AI5"/>
    <mergeCell ref="AJ4:AJ5"/>
    <mergeCell ref="AK4:AK5"/>
    <mergeCell ref="AV4:AV5"/>
    <mergeCell ref="AW4:AW5"/>
    <mergeCell ref="AX4:AX5"/>
    <mergeCell ref="AY4:AY5"/>
    <mergeCell ref="AZ4:AZ5"/>
    <mergeCell ref="AQ4:AQ5"/>
    <mergeCell ref="AR4:AR5"/>
    <mergeCell ref="AS4:AS5"/>
    <mergeCell ref="AT4:AT5"/>
    <mergeCell ref="AU4:AU5"/>
    <mergeCell ref="BF4:BF5"/>
    <mergeCell ref="BG4:BG5"/>
    <mergeCell ref="BH4:BH5"/>
    <mergeCell ref="BI4:BI5"/>
    <mergeCell ref="BJ4:BJ5"/>
    <mergeCell ref="BA4:BA5"/>
    <mergeCell ref="BB4:BB5"/>
    <mergeCell ref="BC4:BC5"/>
    <mergeCell ref="BD4:BD5"/>
    <mergeCell ref="BE4:BE5"/>
    <mergeCell ref="BP4:BP5"/>
    <mergeCell ref="BQ4:BQ5"/>
    <mergeCell ref="BR4:BR5"/>
    <mergeCell ref="BS4:BS5"/>
    <mergeCell ref="BT4:BT5"/>
    <mergeCell ref="BK4:BK5"/>
    <mergeCell ref="BL4:BL5"/>
    <mergeCell ref="BM4:BM5"/>
    <mergeCell ref="BN4:BN5"/>
    <mergeCell ref="BO4:BO5"/>
    <mergeCell ref="BZ4:BZ5"/>
    <mergeCell ref="CA4:CA5"/>
    <mergeCell ref="CB4:CB5"/>
    <mergeCell ref="CC4:CC5"/>
    <mergeCell ref="CD4:CD5"/>
    <mergeCell ref="BU4:BU5"/>
    <mergeCell ref="BV4:BV5"/>
    <mergeCell ref="BW4:BW5"/>
    <mergeCell ref="BX4:BX5"/>
    <mergeCell ref="BY4:BY5"/>
    <mergeCell ref="CJ4:CJ5"/>
    <mergeCell ref="CK4:CK5"/>
    <mergeCell ref="CL4:CL5"/>
    <mergeCell ref="CM4:CM5"/>
    <mergeCell ref="CN4:CN5"/>
    <mergeCell ref="CE4:CE5"/>
    <mergeCell ref="CF4:CF5"/>
    <mergeCell ref="CG4:CG5"/>
    <mergeCell ref="CH4:CH5"/>
    <mergeCell ref="CI4:CI5"/>
    <mergeCell ref="DB4:DB5"/>
    <mergeCell ref="DC4:DC5"/>
    <mergeCell ref="CT4:CT5"/>
    <mergeCell ref="CU4:CU5"/>
    <mergeCell ref="CV4:CV5"/>
    <mergeCell ref="CW4:CW5"/>
    <mergeCell ref="CX4:CX5"/>
    <mergeCell ref="CO4:CO5"/>
    <mergeCell ref="CP4:CP5"/>
    <mergeCell ref="CQ4:CQ5"/>
    <mergeCell ref="CR4:CR5"/>
    <mergeCell ref="CS4:CS5"/>
    <mergeCell ref="DI4:DI5"/>
    <mergeCell ref="M13:M15"/>
    <mergeCell ref="N13:DI13"/>
    <mergeCell ref="N14:N15"/>
    <mergeCell ref="O14:O15"/>
    <mergeCell ref="P14:P15"/>
    <mergeCell ref="Q14:Q15"/>
    <mergeCell ref="R14:R15"/>
    <mergeCell ref="S14:S15"/>
    <mergeCell ref="T14:T15"/>
    <mergeCell ref="U14:U15"/>
    <mergeCell ref="V14:V15"/>
    <mergeCell ref="W14:W15"/>
    <mergeCell ref="X14:X15"/>
    <mergeCell ref="Y14:Y15"/>
    <mergeCell ref="Z14:Z15"/>
    <mergeCell ref="DD4:DD5"/>
    <mergeCell ref="DE4:DE5"/>
    <mergeCell ref="DF4:DF5"/>
    <mergeCell ref="DG4:DG5"/>
    <mergeCell ref="DH4:DH5"/>
    <mergeCell ref="CY4:CY5"/>
    <mergeCell ref="CZ4:CZ5"/>
    <mergeCell ref="DA4:DA5"/>
    <mergeCell ref="AF14:AF15"/>
    <mergeCell ref="AG14:AG15"/>
    <mergeCell ref="AH14:AH15"/>
    <mergeCell ref="AI14:AI15"/>
    <mergeCell ref="AJ14:AJ15"/>
    <mergeCell ref="AA14:AA15"/>
    <mergeCell ref="AB14:AB15"/>
    <mergeCell ref="AC14:AC15"/>
    <mergeCell ref="AD14:AD15"/>
    <mergeCell ref="AE14:AE15"/>
    <mergeCell ref="AP14:AP15"/>
    <mergeCell ref="AQ14:AQ15"/>
    <mergeCell ref="AR14:AR15"/>
    <mergeCell ref="AS14:AS15"/>
    <mergeCell ref="AT14:AT15"/>
    <mergeCell ref="AK14:AK15"/>
    <mergeCell ref="AL14:AL15"/>
    <mergeCell ref="AM14:AM15"/>
    <mergeCell ref="AN14:AN15"/>
    <mergeCell ref="AO14:AO15"/>
    <mergeCell ref="AZ14:AZ15"/>
    <mergeCell ref="BA14:BA15"/>
    <mergeCell ref="BB14:BB15"/>
    <mergeCell ref="BC14:BC15"/>
    <mergeCell ref="BD14:BD15"/>
    <mergeCell ref="AU14:AU15"/>
    <mergeCell ref="AV14:AV15"/>
    <mergeCell ref="AW14:AW15"/>
    <mergeCell ref="AX14:AX15"/>
    <mergeCell ref="AY14:AY15"/>
    <mergeCell ref="BJ14:BJ15"/>
    <mergeCell ref="BK14:BK15"/>
    <mergeCell ref="BL14:BL15"/>
    <mergeCell ref="BM14:BM15"/>
    <mergeCell ref="BN14:BN15"/>
    <mergeCell ref="BE14:BE15"/>
    <mergeCell ref="BF14:BF15"/>
    <mergeCell ref="BG14:BG15"/>
    <mergeCell ref="BH14:BH15"/>
    <mergeCell ref="BI14:BI15"/>
    <mergeCell ref="BT14:BT15"/>
    <mergeCell ref="BU14:BU15"/>
    <mergeCell ref="BV14:BV15"/>
    <mergeCell ref="BW14:BW15"/>
    <mergeCell ref="BX14:BX15"/>
    <mergeCell ref="BO14:BO15"/>
    <mergeCell ref="BP14:BP15"/>
    <mergeCell ref="BQ14:BQ15"/>
    <mergeCell ref="BR14:BR15"/>
    <mergeCell ref="BS14:BS15"/>
    <mergeCell ref="CD14:CD15"/>
    <mergeCell ref="CE14:CE15"/>
    <mergeCell ref="CF14:CF15"/>
    <mergeCell ref="CG14:CG15"/>
    <mergeCell ref="CH14:CH15"/>
    <mergeCell ref="BY14:BY15"/>
    <mergeCell ref="BZ14:BZ15"/>
    <mergeCell ref="CA14:CA15"/>
    <mergeCell ref="CB14:CB15"/>
    <mergeCell ref="CC14:CC15"/>
    <mergeCell ref="CN14:CN15"/>
    <mergeCell ref="CO14:CO15"/>
    <mergeCell ref="CP14:CP15"/>
    <mergeCell ref="CQ14:CQ15"/>
    <mergeCell ref="CR14:CR15"/>
    <mergeCell ref="CI14:CI15"/>
    <mergeCell ref="CJ14:CJ15"/>
    <mergeCell ref="CK14:CK15"/>
    <mergeCell ref="CL14:CL15"/>
    <mergeCell ref="CM14:CM15"/>
    <mergeCell ref="DF14:DF15"/>
    <mergeCell ref="DG14:DG15"/>
    <mergeCell ref="CX14:CX15"/>
    <mergeCell ref="CY14:CY15"/>
    <mergeCell ref="CZ14:CZ15"/>
    <mergeCell ref="DA14:DA15"/>
    <mergeCell ref="DB14:DB15"/>
    <mergeCell ref="CS14:CS15"/>
    <mergeCell ref="CT14:CT15"/>
    <mergeCell ref="CU14:CU15"/>
    <mergeCell ref="CV14:CV15"/>
    <mergeCell ref="CW14:CW15"/>
    <mergeCell ref="Z38:Z39"/>
    <mergeCell ref="AA38:AA39"/>
    <mergeCell ref="AB38:AB39"/>
    <mergeCell ref="AC38:AC39"/>
    <mergeCell ref="AD38:AD39"/>
    <mergeCell ref="DH14:DH15"/>
    <mergeCell ref="DI14:DI15"/>
    <mergeCell ref="M37:M39"/>
    <mergeCell ref="N37:DI37"/>
    <mergeCell ref="N38:N39"/>
    <mergeCell ref="O38:O39"/>
    <mergeCell ref="P38:P39"/>
    <mergeCell ref="Q38:Q39"/>
    <mergeCell ref="R38:R39"/>
    <mergeCell ref="S38:S39"/>
    <mergeCell ref="T38:T39"/>
    <mergeCell ref="U38:U39"/>
    <mergeCell ref="V38:V39"/>
    <mergeCell ref="W38:W39"/>
    <mergeCell ref="X38:X39"/>
    <mergeCell ref="Y38:Y39"/>
    <mergeCell ref="DC14:DC15"/>
    <mergeCell ref="DD14:DD15"/>
    <mergeCell ref="DE14:DE15"/>
    <mergeCell ref="AJ38:AJ39"/>
    <mergeCell ref="AK38:AK39"/>
    <mergeCell ref="AL38:AL39"/>
    <mergeCell ref="AM38:AM39"/>
    <mergeCell ref="AN38:AN39"/>
    <mergeCell ref="AE38:AE39"/>
    <mergeCell ref="AF38:AF39"/>
    <mergeCell ref="AG38:AG39"/>
    <mergeCell ref="AH38:AH39"/>
    <mergeCell ref="AI38:AI39"/>
    <mergeCell ref="AT38:AT39"/>
    <mergeCell ref="AU38:AU39"/>
    <mergeCell ref="AV38:AV39"/>
    <mergeCell ref="AW38:AW39"/>
    <mergeCell ref="AX38:AX39"/>
    <mergeCell ref="AO38:AO39"/>
    <mergeCell ref="AP38:AP39"/>
    <mergeCell ref="AQ38:AQ39"/>
    <mergeCell ref="AR38:AR39"/>
    <mergeCell ref="AS38:AS39"/>
    <mergeCell ref="BD38:BD39"/>
    <mergeCell ref="BE38:BE39"/>
    <mergeCell ref="BF38:BF39"/>
    <mergeCell ref="BG38:BG39"/>
    <mergeCell ref="BH38:BH39"/>
    <mergeCell ref="AY38:AY39"/>
    <mergeCell ref="AZ38:AZ39"/>
    <mergeCell ref="BA38:BA39"/>
    <mergeCell ref="BB38:BB39"/>
    <mergeCell ref="BC38:BC39"/>
    <mergeCell ref="BN38:BN39"/>
    <mergeCell ref="BO38:BO39"/>
    <mergeCell ref="BP38:BP39"/>
    <mergeCell ref="BQ38:BQ39"/>
    <mergeCell ref="BR38:BR39"/>
    <mergeCell ref="BI38:BI39"/>
    <mergeCell ref="BJ38:BJ39"/>
    <mergeCell ref="BK38:BK39"/>
    <mergeCell ref="BL38:BL39"/>
    <mergeCell ref="BM38:BM39"/>
    <mergeCell ref="BX38:BX39"/>
    <mergeCell ref="BY38:BY39"/>
    <mergeCell ref="BZ38:BZ39"/>
    <mergeCell ref="CA38:CA39"/>
    <mergeCell ref="CB38:CB39"/>
    <mergeCell ref="BS38:BS39"/>
    <mergeCell ref="BT38:BT39"/>
    <mergeCell ref="BU38:BU39"/>
    <mergeCell ref="BV38:BV39"/>
    <mergeCell ref="BW38:BW39"/>
    <mergeCell ref="CH38:CH39"/>
    <mergeCell ref="CI38:CI39"/>
    <mergeCell ref="CJ38:CJ39"/>
    <mergeCell ref="CK38:CK39"/>
    <mergeCell ref="CL38:CL39"/>
    <mergeCell ref="CC38:CC39"/>
    <mergeCell ref="CD38:CD39"/>
    <mergeCell ref="CE38:CE39"/>
    <mergeCell ref="CF38:CF39"/>
    <mergeCell ref="CG38:CG39"/>
    <mergeCell ref="CZ38:CZ39"/>
    <mergeCell ref="DA38:DA39"/>
    <mergeCell ref="CR38:CR39"/>
    <mergeCell ref="CS38:CS39"/>
    <mergeCell ref="CT38:CT39"/>
    <mergeCell ref="CU38:CU39"/>
    <mergeCell ref="CV38:CV39"/>
    <mergeCell ref="CM38:CM39"/>
    <mergeCell ref="CN38:CN39"/>
    <mergeCell ref="CO38:CO39"/>
    <mergeCell ref="CP38:CP39"/>
    <mergeCell ref="CQ38:CQ39"/>
    <mergeCell ref="DG38:DG39"/>
    <mergeCell ref="DH38:DH39"/>
    <mergeCell ref="DI38:DI39"/>
    <mergeCell ref="M48:M50"/>
    <mergeCell ref="N48:DI48"/>
    <mergeCell ref="N49:N50"/>
    <mergeCell ref="O49:O50"/>
    <mergeCell ref="P49:P50"/>
    <mergeCell ref="Q49:Q50"/>
    <mergeCell ref="R49:R50"/>
    <mergeCell ref="S49:S50"/>
    <mergeCell ref="T49:T50"/>
    <mergeCell ref="U49:U50"/>
    <mergeCell ref="V49:V50"/>
    <mergeCell ref="W49:W50"/>
    <mergeCell ref="X49:X50"/>
    <mergeCell ref="DB38:DB39"/>
    <mergeCell ref="DC38:DC39"/>
    <mergeCell ref="DD38:DD39"/>
    <mergeCell ref="DE38:DE39"/>
    <mergeCell ref="DF38:DF39"/>
    <mergeCell ref="CW38:CW39"/>
    <mergeCell ref="CX38:CX39"/>
    <mergeCell ref="CY38:CY39"/>
    <mergeCell ref="AD49:AD50"/>
    <mergeCell ref="AE49:AE50"/>
    <mergeCell ref="AF49:AF50"/>
    <mergeCell ref="AG49:AG50"/>
    <mergeCell ref="AH49:AH50"/>
    <mergeCell ref="Y49:Y50"/>
    <mergeCell ref="Z49:Z50"/>
    <mergeCell ref="AA49:AA50"/>
    <mergeCell ref="AB49:AB50"/>
    <mergeCell ref="AC49:AC50"/>
    <mergeCell ref="AN49:AN50"/>
    <mergeCell ref="AO49:AO50"/>
    <mergeCell ref="AP49:AP50"/>
    <mergeCell ref="AQ49:AQ50"/>
    <mergeCell ref="AR49:AR50"/>
    <mergeCell ref="AI49:AI50"/>
    <mergeCell ref="AJ49:AJ50"/>
    <mergeCell ref="AK49:AK50"/>
    <mergeCell ref="AL49:AL50"/>
    <mergeCell ref="AM49:AM50"/>
    <mergeCell ref="AX49:AX50"/>
    <mergeCell ref="AY49:AY50"/>
    <mergeCell ref="AZ49:AZ50"/>
    <mergeCell ref="BA49:BA50"/>
    <mergeCell ref="BB49:BB50"/>
    <mergeCell ref="AS49:AS50"/>
    <mergeCell ref="AT49:AT50"/>
    <mergeCell ref="AU49:AU50"/>
    <mergeCell ref="AV49:AV50"/>
    <mergeCell ref="AW49:AW50"/>
    <mergeCell ref="BH49:BH50"/>
    <mergeCell ref="BI49:BI50"/>
    <mergeCell ref="BJ49:BJ50"/>
    <mergeCell ref="BK49:BK50"/>
    <mergeCell ref="BL49:BL50"/>
    <mergeCell ref="BC49:BC50"/>
    <mergeCell ref="BD49:BD50"/>
    <mergeCell ref="BE49:BE50"/>
    <mergeCell ref="BF49:BF50"/>
    <mergeCell ref="BG49:BG50"/>
    <mergeCell ref="BR49:BR50"/>
    <mergeCell ref="BS49:BS50"/>
    <mergeCell ref="BT49:BT50"/>
    <mergeCell ref="BU49:BU50"/>
    <mergeCell ref="BV49:BV50"/>
    <mergeCell ref="BM49:BM50"/>
    <mergeCell ref="BN49:BN50"/>
    <mergeCell ref="BO49:BO50"/>
    <mergeCell ref="BP49:BP50"/>
    <mergeCell ref="BQ49:BQ50"/>
    <mergeCell ref="CB49:CB50"/>
    <mergeCell ref="CC49:CC50"/>
    <mergeCell ref="CD49:CD50"/>
    <mergeCell ref="CE49:CE50"/>
    <mergeCell ref="CF49:CF50"/>
    <mergeCell ref="BW49:BW50"/>
    <mergeCell ref="BX49:BX50"/>
    <mergeCell ref="BY49:BY50"/>
    <mergeCell ref="BZ49:BZ50"/>
    <mergeCell ref="CA49:CA50"/>
    <mergeCell ref="CL49:CL50"/>
    <mergeCell ref="CM49:CM50"/>
    <mergeCell ref="CN49:CN50"/>
    <mergeCell ref="CO49:CO50"/>
    <mergeCell ref="CP49:CP50"/>
    <mergeCell ref="CG49:CG50"/>
    <mergeCell ref="CH49:CH50"/>
    <mergeCell ref="CI49:CI50"/>
    <mergeCell ref="CJ49:CJ50"/>
    <mergeCell ref="CK49:CK50"/>
    <mergeCell ref="CV49:CV50"/>
    <mergeCell ref="CW49:CW50"/>
    <mergeCell ref="CX49:CX50"/>
    <mergeCell ref="CY49:CY50"/>
    <mergeCell ref="CZ49:CZ50"/>
    <mergeCell ref="CQ49:CQ50"/>
    <mergeCell ref="CR49:CR50"/>
    <mergeCell ref="CS49:CS50"/>
    <mergeCell ref="CT49:CT50"/>
    <mergeCell ref="CU49:CU50"/>
    <mergeCell ref="DF49:DF50"/>
    <mergeCell ref="DG49:DG50"/>
    <mergeCell ref="DH49:DH50"/>
    <mergeCell ref="DI49:DI50"/>
    <mergeCell ref="DA49:DA50"/>
    <mergeCell ref="DB49:DB50"/>
    <mergeCell ref="DC49:DC50"/>
    <mergeCell ref="DD49:DD50"/>
    <mergeCell ref="DE49:DE50"/>
  </mergeCells>
  <pageMargins left="0" right="0" top="0.19685039370078741" bottom="0.19685039370078741" header="0.19685039370078741" footer="0.19685039370078741"/>
  <pageSetup paperSize="9" scale="89" orientation="landscape" horizontalDpi="120" verticalDpi="72"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I79"/>
  <sheetViews>
    <sheetView zoomScale="80" zoomScaleNormal="80" workbookViewId="0">
      <selection activeCell="M3" sqref="M3:DI5"/>
    </sheetView>
  </sheetViews>
  <sheetFormatPr defaultRowHeight="15" x14ac:dyDescent="0.25"/>
  <cols>
    <col min="1" max="1" width="4.7109375" style="52" customWidth="1"/>
    <col min="2" max="2" width="35.7109375" style="52" customWidth="1"/>
    <col min="3" max="3" width="17" style="52" customWidth="1"/>
    <col min="4" max="4" width="15.85546875" style="52" customWidth="1"/>
    <col min="5" max="5" width="12.42578125" style="52" customWidth="1"/>
    <col min="6" max="6" width="17.7109375" style="52" customWidth="1"/>
    <col min="7" max="7" width="10.140625" style="52" customWidth="1"/>
    <col min="8" max="8" width="14.140625" style="52" customWidth="1"/>
    <col min="9" max="9" width="12.7109375" style="52" customWidth="1"/>
    <col min="10" max="10" width="14" style="52" customWidth="1"/>
    <col min="11" max="11" width="16.85546875" style="52" customWidth="1"/>
    <col min="12" max="12" width="9.140625" style="52"/>
    <col min="13" max="13" width="10.7109375" style="52" customWidth="1"/>
    <col min="14" max="14" width="15" style="52" bestFit="1" customWidth="1"/>
    <col min="15" max="16384" width="9.140625" style="52"/>
  </cols>
  <sheetData>
    <row r="1" spans="1:113" x14ac:dyDescent="0.25">
      <c r="L1"/>
      <c r="M1"/>
      <c r="N1"/>
      <c r="O1"/>
      <c r="P1"/>
      <c r="Q1"/>
      <c r="R1"/>
      <c r="S1"/>
      <c r="T1"/>
      <c r="U1"/>
      <c r="V1"/>
      <c r="W1"/>
      <c r="X1"/>
      <c r="Y1"/>
      <c r="Z1"/>
      <c r="AA1"/>
      <c r="AB1"/>
    </row>
    <row r="2" spans="1:113" ht="15.75" thickBot="1" x14ac:dyDescent="0.3">
      <c r="A2" s="207" t="s">
        <v>728</v>
      </c>
      <c r="B2" s="187"/>
      <c r="C2" s="187"/>
      <c r="D2" s="187"/>
      <c r="E2" s="187"/>
      <c r="F2" s="53" t="str">
        <f>A.Prangko!G3</f>
        <v>mei 2017</v>
      </c>
      <c r="G2" s="187"/>
      <c r="H2" s="187"/>
      <c r="I2" s="187"/>
      <c r="J2" s="187"/>
      <c r="K2" s="187"/>
      <c r="L2"/>
      <c r="M2"/>
      <c r="N2"/>
      <c r="O2"/>
      <c r="P2"/>
      <c r="Q2"/>
      <c r="R2"/>
      <c r="S2"/>
      <c r="T2"/>
      <c r="U2"/>
      <c r="V2"/>
      <c r="W2"/>
      <c r="X2"/>
      <c r="Y2"/>
      <c r="Z2"/>
      <c r="AA2"/>
      <c r="AB2"/>
    </row>
    <row r="3" spans="1:113" ht="15.75" thickBot="1" x14ac:dyDescent="0.3">
      <c r="A3" s="407" t="s">
        <v>657</v>
      </c>
      <c r="B3" s="414" t="s">
        <v>708</v>
      </c>
      <c r="C3" s="414" t="s">
        <v>1</v>
      </c>
      <c r="D3" s="415" t="s">
        <v>649</v>
      </c>
      <c r="E3" s="416" t="s">
        <v>19</v>
      </c>
      <c r="F3" s="416"/>
      <c r="G3" s="416"/>
      <c r="H3" s="416"/>
      <c r="I3" s="416"/>
      <c r="J3" s="410" t="s">
        <v>21</v>
      </c>
      <c r="K3" s="417" t="s">
        <v>602</v>
      </c>
      <c r="L3"/>
      <c r="M3" s="403" t="s">
        <v>601</v>
      </c>
      <c r="N3" s="403" t="s">
        <v>924</v>
      </c>
      <c r="O3" s="403"/>
      <c r="P3" s="403"/>
      <c r="Q3" s="403"/>
      <c r="R3" s="403"/>
      <c r="S3" s="403"/>
      <c r="T3" s="403"/>
      <c r="U3" s="403"/>
      <c r="V3" s="403"/>
      <c r="W3" s="403"/>
      <c r="X3" s="403"/>
      <c r="Y3" s="403"/>
      <c r="Z3" s="403"/>
      <c r="AA3" s="403"/>
      <c r="AB3" s="403"/>
      <c r="AC3" s="403"/>
      <c r="AD3" s="403"/>
      <c r="AE3" s="403"/>
      <c r="AF3" s="403"/>
      <c r="AG3" s="403"/>
      <c r="AH3" s="403"/>
      <c r="AI3" s="403"/>
      <c r="AJ3" s="403"/>
      <c r="AK3" s="403"/>
      <c r="AL3" s="403"/>
      <c r="AM3" s="403"/>
      <c r="AN3" s="403"/>
      <c r="AO3" s="403"/>
      <c r="AP3" s="403"/>
      <c r="AQ3" s="403"/>
      <c r="AR3" s="403"/>
      <c r="AS3" s="403"/>
      <c r="AT3" s="403"/>
      <c r="AU3" s="403"/>
      <c r="AV3" s="403"/>
      <c r="AW3" s="403"/>
      <c r="AX3" s="403"/>
      <c r="AY3" s="403"/>
      <c r="AZ3" s="403"/>
      <c r="BA3" s="403"/>
      <c r="BB3" s="403"/>
      <c r="BC3" s="403"/>
      <c r="BD3" s="403"/>
      <c r="BE3" s="403"/>
      <c r="BF3" s="403"/>
      <c r="BG3" s="403"/>
      <c r="BH3" s="403"/>
      <c r="BI3" s="403"/>
      <c r="BJ3" s="403"/>
      <c r="BK3" s="403"/>
      <c r="BL3" s="403"/>
      <c r="BM3" s="403"/>
      <c r="BN3" s="403"/>
      <c r="BO3" s="403"/>
      <c r="BP3" s="403"/>
      <c r="BQ3" s="403"/>
      <c r="BR3" s="403"/>
      <c r="BS3" s="403"/>
      <c r="BT3" s="403"/>
      <c r="BU3" s="403"/>
      <c r="BV3" s="403"/>
      <c r="BW3" s="403"/>
      <c r="BX3" s="403"/>
      <c r="BY3" s="403"/>
      <c r="BZ3" s="403"/>
      <c r="CA3" s="403"/>
      <c r="CB3" s="403"/>
      <c r="CC3" s="403"/>
      <c r="CD3" s="403"/>
      <c r="CE3" s="403"/>
      <c r="CF3" s="403"/>
      <c r="CG3" s="403"/>
      <c r="CH3" s="403"/>
      <c r="CI3" s="403"/>
      <c r="CJ3" s="403"/>
      <c r="CK3" s="403"/>
      <c r="CL3" s="403"/>
      <c r="CM3" s="403"/>
      <c r="CN3" s="403"/>
      <c r="CO3" s="403"/>
      <c r="CP3" s="403"/>
      <c r="CQ3" s="403"/>
      <c r="CR3" s="403"/>
      <c r="CS3" s="403"/>
      <c r="CT3" s="403"/>
      <c r="CU3" s="403"/>
      <c r="CV3" s="403"/>
      <c r="CW3" s="403"/>
      <c r="CX3" s="403"/>
      <c r="CY3" s="403"/>
      <c r="CZ3" s="403"/>
      <c r="DA3" s="403"/>
      <c r="DB3" s="403"/>
      <c r="DC3" s="403"/>
      <c r="DD3" s="403"/>
      <c r="DE3" s="403"/>
      <c r="DF3" s="403"/>
      <c r="DG3" s="403"/>
      <c r="DH3" s="403"/>
      <c r="DI3" s="403"/>
    </row>
    <row r="4" spans="1:113" ht="30.75" thickBot="1" x14ac:dyDescent="0.3">
      <c r="A4" s="408"/>
      <c r="B4" s="414"/>
      <c r="C4" s="414"/>
      <c r="D4" s="415"/>
      <c r="E4" s="68" t="s">
        <v>22</v>
      </c>
      <c r="F4" s="68" t="s">
        <v>600</v>
      </c>
      <c r="G4" s="68" t="s">
        <v>601</v>
      </c>
      <c r="H4" s="68" t="s">
        <v>589</v>
      </c>
      <c r="I4" s="68" t="s">
        <v>601</v>
      </c>
      <c r="J4" s="411"/>
      <c r="K4" s="418"/>
      <c r="L4"/>
      <c r="M4" s="403"/>
      <c r="N4" s="400" t="s">
        <v>925</v>
      </c>
      <c r="O4" s="400" t="s">
        <v>926</v>
      </c>
      <c r="P4" s="400"/>
      <c r="Q4" s="400"/>
      <c r="R4" s="400"/>
      <c r="S4" s="398"/>
      <c r="T4" s="398"/>
      <c r="U4" s="398"/>
      <c r="V4" s="398"/>
      <c r="W4" s="398"/>
      <c r="X4" s="398"/>
      <c r="Y4" s="398"/>
      <c r="Z4" s="398"/>
      <c r="AA4" s="398"/>
      <c r="AB4" s="398"/>
      <c r="AC4" s="398"/>
      <c r="AD4" s="398"/>
      <c r="AE4" s="398"/>
      <c r="AF4" s="398"/>
      <c r="AG4" s="398"/>
      <c r="AH4" s="398"/>
      <c r="AI4" s="398"/>
      <c r="AJ4" s="398"/>
      <c r="AK4" s="398"/>
      <c r="AL4" s="398"/>
      <c r="AM4" s="398"/>
      <c r="AN4" s="398"/>
      <c r="AO4" s="398"/>
      <c r="AP4" s="398"/>
      <c r="AQ4" s="398"/>
      <c r="AR4" s="398"/>
      <c r="AS4" s="398"/>
      <c r="AT4" s="398"/>
      <c r="AU4" s="398"/>
      <c r="AV4" s="398"/>
      <c r="AW4" s="398"/>
      <c r="AX4" s="398"/>
      <c r="AY4" s="398"/>
      <c r="AZ4" s="398"/>
      <c r="BA4" s="398"/>
      <c r="BB4" s="398"/>
      <c r="BC4" s="398"/>
      <c r="BD4" s="398"/>
      <c r="BE4" s="398"/>
      <c r="BF4" s="398"/>
      <c r="BG4" s="398"/>
      <c r="BH4" s="398"/>
      <c r="BI4" s="398"/>
      <c r="BJ4" s="398"/>
      <c r="BK4" s="398"/>
      <c r="BL4" s="398"/>
      <c r="BM4" s="398"/>
      <c r="BN4" s="398"/>
      <c r="BO4" s="398"/>
      <c r="BP4" s="398"/>
      <c r="BQ4" s="398"/>
      <c r="BR4" s="398"/>
      <c r="BS4" s="398"/>
      <c r="BT4" s="398"/>
      <c r="BU4" s="398"/>
      <c r="BV4" s="398"/>
      <c r="BW4" s="398"/>
      <c r="BX4" s="398"/>
      <c r="BY4" s="398"/>
      <c r="BZ4" s="398"/>
      <c r="CA4" s="398"/>
      <c r="CB4" s="398"/>
      <c r="CC4" s="398"/>
      <c r="CD4" s="398"/>
      <c r="CE4" s="398"/>
      <c r="CF4" s="398"/>
      <c r="CG4" s="398"/>
      <c r="CH4" s="398"/>
      <c r="CI4" s="398"/>
      <c r="CJ4" s="398"/>
      <c r="CK4" s="398"/>
      <c r="CL4" s="398"/>
      <c r="CM4" s="398"/>
      <c r="CN4" s="398"/>
      <c r="CO4" s="398"/>
      <c r="CP4" s="398"/>
      <c r="CQ4" s="398"/>
      <c r="CR4" s="398"/>
      <c r="CS4" s="398"/>
      <c r="CT4" s="398"/>
      <c r="CU4" s="398"/>
      <c r="CV4" s="398"/>
      <c r="CW4" s="398"/>
      <c r="CX4" s="398"/>
      <c r="CY4" s="398"/>
      <c r="CZ4" s="398"/>
      <c r="DA4" s="398"/>
      <c r="DB4" s="398"/>
      <c r="DC4" s="398"/>
      <c r="DD4" s="398"/>
      <c r="DE4" s="398"/>
      <c r="DF4" s="398"/>
      <c r="DG4" s="398"/>
      <c r="DH4" s="398"/>
      <c r="DI4" s="398"/>
    </row>
    <row r="5" spans="1:113" ht="15.75" thickBot="1" x14ac:dyDescent="0.3">
      <c r="A5" s="409"/>
      <c r="B5" s="185">
        <v>1</v>
      </c>
      <c r="C5" s="185">
        <v>2</v>
      </c>
      <c r="D5" s="185">
        <v>3</v>
      </c>
      <c r="E5" s="70">
        <v>4</v>
      </c>
      <c r="F5" s="70">
        <f>+E5+1</f>
        <v>5</v>
      </c>
      <c r="G5" s="70" t="s">
        <v>652</v>
      </c>
      <c r="H5" s="70">
        <v>7</v>
      </c>
      <c r="I5" s="71" t="s">
        <v>651</v>
      </c>
      <c r="J5" s="42" t="s">
        <v>650</v>
      </c>
      <c r="K5" s="42" t="s">
        <v>653</v>
      </c>
      <c r="L5"/>
      <c r="M5" s="403"/>
      <c r="N5" s="402"/>
      <c r="O5" s="402"/>
      <c r="P5" s="402"/>
      <c r="Q5" s="402"/>
      <c r="R5" s="402"/>
      <c r="S5" s="399"/>
      <c r="T5" s="399"/>
      <c r="U5" s="399"/>
      <c r="V5" s="399"/>
      <c r="W5" s="399"/>
      <c r="X5" s="399"/>
      <c r="Y5" s="399"/>
      <c r="Z5" s="399"/>
      <c r="AA5" s="399"/>
      <c r="AB5" s="399"/>
      <c r="AC5" s="399"/>
      <c r="AD5" s="399"/>
      <c r="AE5" s="399"/>
      <c r="AF5" s="399"/>
      <c r="AG5" s="399"/>
      <c r="AH5" s="399"/>
      <c r="AI5" s="399"/>
      <c r="AJ5" s="399"/>
      <c r="AK5" s="399"/>
      <c r="AL5" s="399"/>
      <c r="AM5" s="399"/>
      <c r="AN5" s="399"/>
      <c r="AO5" s="399"/>
      <c r="AP5" s="399"/>
      <c r="AQ5" s="399"/>
      <c r="AR5" s="399"/>
      <c r="AS5" s="399"/>
      <c r="AT5" s="399"/>
      <c r="AU5" s="399"/>
      <c r="AV5" s="399"/>
      <c r="AW5" s="399"/>
      <c r="AX5" s="399"/>
      <c r="AY5" s="399"/>
      <c r="AZ5" s="399"/>
      <c r="BA5" s="399"/>
      <c r="BB5" s="399"/>
      <c r="BC5" s="399"/>
      <c r="BD5" s="399"/>
      <c r="BE5" s="399"/>
      <c r="BF5" s="399"/>
      <c r="BG5" s="399"/>
      <c r="BH5" s="399"/>
      <c r="BI5" s="399"/>
      <c r="BJ5" s="399"/>
      <c r="BK5" s="399"/>
      <c r="BL5" s="399"/>
      <c r="BM5" s="399"/>
      <c r="BN5" s="399"/>
      <c r="BO5" s="399"/>
      <c r="BP5" s="399"/>
      <c r="BQ5" s="399"/>
      <c r="BR5" s="399"/>
      <c r="BS5" s="399"/>
      <c r="BT5" s="399"/>
      <c r="BU5" s="399"/>
      <c r="BV5" s="399"/>
      <c r="BW5" s="399"/>
      <c r="BX5" s="399"/>
      <c r="BY5" s="399"/>
      <c r="BZ5" s="399"/>
      <c r="CA5" s="399"/>
      <c r="CB5" s="399"/>
      <c r="CC5" s="399"/>
      <c r="CD5" s="399"/>
      <c r="CE5" s="399"/>
      <c r="CF5" s="399"/>
      <c r="CG5" s="399"/>
      <c r="CH5" s="399"/>
      <c r="CI5" s="399"/>
      <c r="CJ5" s="399"/>
      <c r="CK5" s="399"/>
      <c r="CL5" s="399"/>
      <c r="CM5" s="399"/>
      <c r="CN5" s="399"/>
      <c r="CO5" s="399"/>
      <c r="CP5" s="399"/>
      <c r="CQ5" s="399"/>
      <c r="CR5" s="399"/>
      <c r="CS5" s="399"/>
      <c r="CT5" s="399"/>
      <c r="CU5" s="399"/>
      <c r="CV5" s="399"/>
      <c r="CW5" s="399"/>
      <c r="CX5" s="399"/>
      <c r="CY5" s="399"/>
      <c r="CZ5" s="399"/>
      <c r="DA5" s="399"/>
      <c r="DB5" s="399"/>
      <c r="DC5" s="399"/>
      <c r="DD5" s="399"/>
      <c r="DE5" s="399"/>
      <c r="DF5" s="399"/>
      <c r="DG5" s="399"/>
      <c r="DH5" s="399"/>
      <c r="DI5" s="399"/>
    </row>
    <row r="6" spans="1:113" x14ac:dyDescent="0.25">
      <c r="A6" s="160"/>
      <c r="B6" s="177" t="s">
        <v>712</v>
      </c>
      <c r="C6" s="54"/>
      <c r="D6" s="54"/>
      <c r="E6" s="54"/>
      <c r="F6" s="54"/>
      <c r="G6" s="54"/>
      <c r="H6" s="54"/>
      <c r="I6" s="54"/>
      <c r="J6" s="54"/>
      <c r="K6" s="54"/>
      <c r="L6"/>
      <c r="M6" s="314">
        <f t="shared" ref="M6:M22" si="0">SUM(N6:DJ6)</f>
        <v>0</v>
      </c>
      <c r="N6" s="310"/>
      <c r="O6" s="315"/>
      <c r="P6" s="315"/>
      <c r="Q6" s="315"/>
      <c r="R6" s="31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row>
    <row r="7" spans="1:113" x14ac:dyDescent="0.25">
      <c r="A7" s="152">
        <v>1</v>
      </c>
      <c r="B7" s="199" t="s">
        <v>535</v>
      </c>
      <c r="C7" s="173">
        <v>100000</v>
      </c>
      <c r="D7" s="191">
        <v>13655.05</v>
      </c>
      <c r="E7" s="43">
        <v>0</v>
      </c>
      <c r="F7" s="60"/>
      <c r="G7" s="166">
        <f t="shared" ref="G7:G22" si="1">+E7+F7</f>
        <v>0</v>
      </c>
      <c r="H7" s="55"/>
      <c r="I7" s="56">
        <f t="shared" ref="I7:I22" si="2">+G7-H7</f>
        <v>0</v>
      </c>
      <c r="J7" s="56">
        <f t="shared" ref="J7:J22" si="3">I7*C7</f>
        <v>0</v>
      </c>
      <c r="K7" s="57">
        <f t="shared" ref="K7:K22" si="4">+D7*I7</f>
        <v>0</v>
      </c>
      <c r="L7"/>
      <c r="M7" s="314">
        <f t="shared" si="0"/>
        <v>0</v>
      </c>
      <c r="N7" s="310"/>
      <c r="O7" s="315"/>
      <c r="P7" s="315"/>
      <c r="Q7" s="315"/>
      <c r="R7" s="31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row>
    <row r="8" spans="1:113" x14ac:dyDescent="0.25">
      <c r="A8" s="152">
        <v>2</v>
      </c>
      <c r="B8" s="199" t="s">
        <v>536</v>
      </c>
      <c r="C8" s="173">
        <v>121500</v>
      </c>
      <c r="D8" s="191">
        <v>13312.42</v>
      </c>
      <c r="E8" s="43">
        <v>100</v>
      </c>
      <c r="F8" s="60"/>
      <c r="G8" s="166">
        <f t="shared" si="1"/>
        <v>100</v>
      </c>
      <c r="H8" s="55"/>
      <c r="I8" s="56">
        <f t="shared" si="2"/>
        <v>100</v>
      </c>
      <c r="J8" s="56">
        <f t="shared" si="3"/>
        <v>12150000</v>
      </c>
      <c r="K8" s="57">
        <f t="shared" si="4"/>
        <v>1331242</v>
      </c>
      <c r="L8"/>
      <c r="M8" s="314">
        <f t="shared" si="0"/>
        <v>0</v>
      </c>
      <c r="N8" s="310"/>
      <c r="O8" s="315"/>
      <c r="P8" s="315"/>
      <c r="Q8" s="315"/>
      <c r="R8" s="31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row>
    <row r="9" spans="1:113" x14ac:dyDescent="0.25">
      <c r="A9" s="152">
        <v>3</v>
      </c>
      <c r="B9" s="60" t="s">
        <v>537</v>
      </c>
      <c r="C9" s="43">
        <v>26000</v>
      </c>
      <c r="D9" s="60">
        <v>7823.48</v>
      </c>
      <c r="E9" s="43">
        <v>125</v>
      </c>
      <c r="F9" s="60"/>
      <c r="G9" s="166">
        <f t="shared" si="1"/>
        <v>125</v>
      </c>
      <c r="H9" s="55"/>
      <c r="I9" s="56">
        <f t="shared" si="2"/>
        <v>125</v>
      </c>
      <c r="J9" s="56">
        <f t="shared" si="3"/>
        <v>3250000</v>
      </c>
      <c r="K9" s="57">
        <f t="shared" si="4"/>
        <v>977935</v>
      </c>
      <c r="L9"/>
      <c r="M9" s="314">
        <f t="shared" si="0"/>
        <v>0</v>
      </c>
      <c r="N9" s="310"/>
      <c r="O9" s="315"/>
      <c r="P9" s="315"/>
      <c r="Q9" s="315"/>
      <c r="R9" s="31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row>
    <row r="10" spans="1:113" x14ac:dyDescent="0.25">
      <c r="A10" s="152">
        <v>4</v>
      </c>
      <c r="B10" s="60" t="s">
        <v>538</v>
      </c>
      <c r="C10" s="43">
        <v>53500</v>
      </c>
      <c r="D10" s="60">
        <v>8573.42</v>
      </c>
      <c r="E10" s="43">
        <v>100</v>
      </c>
      <c r="F10" s="60"/>
      <c r="G10" s="166">
        <f t="shared" si="1"/>
        <v>100</v>
      </c>
      <c r="H10" s="55"/>
      <c r="I10" s="56">
        <f t="shared" si="2"/>
        <v>100</v>
      </c>
      <c r="J10" s="56">
        <f t="shared" si="3"/>
        <v>5350000</v>
      </c>
      <c r="K10" s="57">
        <f t="shared" si="4"/>
        <v>857342</v>
      </c>
      <c r="L10"/>
      <c r="M10" s="314">
        <f t="shared" si="0"/>
        <v>0</v>
      </c>
      <c r="N10" s="310"/>
      <c r="O10" s="315"/>
      <c r="P10" s="315"/>
      <c r="Q10" s="315"/>
      <c r="R10" s="31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row>
    <row r="11" spans="1:113" x14ac:dyDescent="0.25">
      <c r="A11" s="152">
        <v>5</v>
      </c>
      <c r="B11" s="60" t="s">
        <v>539</v>
      </c>
      <c r="C11" s="43">
        <v>30000</v>
      </c>
      <c r="D11" s="60">
        <v>7725.32</v>
      </c>
      <c r="E11" s="43">
        <v>100</v>
      </c>
      <c r="F11" s="60"/>
      <c r="G11" s="166">
        <f t="shared" si="1"/>
        <v>100</v>
      </c>
      <c r="H11" s="55"/>
      <c r="I11" s="56">
        <f t="shared" si="2"/>
        <v>100</v>
      </c>
      <c r="J11" s="56">
        <f t="shared" si="3"/>
        <v>3000000</v>
      </c>
      <c r="K11" s="57">
        <f t="shared" si="4"/>
        <v>772532</v>
      </c>
      <c r="L11"/>
      <c r="M11" s="314">
        <f t="shared" si="0"/>
        <v>0</v>
      </c>
      <c r="N11" s="310"/>
      <c r="O11" s="315"/>
      <c r="P11" s="315"/>
      <c r="Q11" s="315"/>
      <c r="R11" s="31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5"/>
      <c r="DD11" s="55"/>
      <c r="DE11" s="55"/>
      <c r="DF11" s="55"/>
      <c r="DG11" s="55"/>
      <c r="DH11" s="55"/>
      <c r="DI11" s="55"/>
    </row>
    <row r="12" spans="1:113" x14ac:dyDescent="0.25">
      <c r="A12" s="152">
        <v>6</v>
      </c>
      <c r="B12" s="60" t="s">
        <v>563</v>
      </c>
      <c r="C12" s="43">
        <v>68000</v>
      </c>
      <c r="D12" s="60">
        <v>8917.64</v>
      </c>
      <c r="E12" s="43">
        <v>100</v>
      </c>
      <c r="F12" s="60"/>
      <c r="G12" s="166">
        <f t="shared" si="1"/>
        <v>100</v>
      </c>
      <c r="H12" s="55"/>
      <c r="I12" s="56">
        <f t="shared" si="2"/>
        <v>100</v>
      </c>
      <c r="J12" s="56">
        <f t="shared" si="3"/>
        <v>6800000</v>
      </c>
      <c r="K12" s="57">
        <f t="shared" si="4"/>
        <v>891764</v>
      </c>
      <c r="L12"/>
      <c r="M12" s="314">
        <f t="shared" si="0"/>
        <v>0</v>
      </c>
      <c r="N12" s="310"/>
      <c r="O12" s="315"/>
      <c r="P12" s="315"/>
      <c r="Q12" s="315"/>
      <c r="R12" s="31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row>
    <row r="13" spans="1:113" x14ac:dyDescent="0.25">
      <c r="A13" s="152">
        <v>7</v>
      </c>
      <c r="B13" s="60" t="s">
        <v>564</v>
      </c>
      <c r="C13" s="43">
        <v>58000</v>
      </c>
      <c r="D13" s="60">
        <v>10857.7</v>
      </c>
      <c r="E13" s="43">
        <v>50</v>
      </c>
      <c r="F13" s="60"/>
      <c r="G13" s="166">
        <f t="shared" si="1"/>
        <v>50</v>
      </c>
      <c r="H13" s="55"/>
      <c r="I13" s="56">
        <f t="shared" si="2"/>
        <v>50</v>
      </c>
      <c r="J13" s="56">
        <f t="shared" si="3"/>
        <v>2900000</v>
      </c>
      <c r="K13" s="57">
        <f t="shared" si="4"/>
        <v>542885</v>
      </c>
      <c r="L13"/>
      <c r="M13" s="314">
        <f t="shared" si="0"/>
        <v>0</v>
      </c>
      <c r="N13" s="310"/>
      <c r="O13" s="315"/>
      <c r="P13" s="315"/>
      <c r="Q13" s="315"/>
      <c r="R13" s="31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c r="CN13" s="55"/>
      <c r="CO13" s="55"/>
      <c r="CP13" s="55"/>
      <c r="CQ13" s="55"/>
      <c r="CR13" s="55"/>
      <c r="CS13" s="55"/>
      <c r="CT13" s="55"/>
      <c r="CU13" s="55"/>
      <c r="CV13" s="55"/>
      <c r="CW13" s="55"/>
      <c r="CX13" s="55"/>
      <c r="CY13" s="55"/>
      <c r="CZ13" s="55"/>
      <c r="DA13" s="55"/>
      <c r="DB13" s="55"/>
      <c r="DC13" s="55"/>
      <c r="DD13" s="55"/>
      <c r="DE13" s="55"/>
      <c r="DF13" s="55"/>
      <c r="DG13" s="55"/>
      <c r="DH13" s="55"/>
      <c r="DI13" s="55"/>
    </row>
    <row r="14" spans="1:113" x14ac:dyDescent="0.25">
      <c r="A14" s="152">
        <v>8</v>
      </c>
      <c r="B14" s="60" t="s">
        <v>565</v>
      </c>
      <c r="C14" s="43">
        <v>20000</v>
      </c>
      <c r="D14" s="60">
        <v>7464.84</v>
      </c>
      <c r="E14" s="43">
        <v>100</v>
      </c>
      <c r="F14" s="60"/>
      <c r="G14" s="166">
        <f t="shared" si="1"/>
        <v>100</v>
      </c>
      <c r="H14" s="55"/>
      <c r="I14" s="56">
        <f t="shared" si="2"/>
        <v>100</v>
      </c>
      <c r="J14" s="56">
        <f t="shared" si="3"/>
        <v>2000000</v>
      </c>
      <c r="K14" s="57">
        <f t="shared" si="4"/>
        <v>746484</v>
      </c>
      <c r="L14"/>
      <c r="M14" s="314">
        <f t="shared" si="0"/>
        <v>0</v>
      </c>
      <c r="N14" s="310"/>
      <c r="O14" s="315"/>
      <c r="P14" s="315"/>
      <c r="Q14" s="315"/>
      <c r="R14" s="31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55"/>
      <c r="CZ14" s="55"/>
      <c r="DA14" s="55"/>
      <c r="DB14" s="55"/>
      <c r="DC14" s="55"/>
      <c r="DD14" s="55"/>
      <c r="DE14" s="55"/>
      <c r="DF14" s="55"/>
      <c r="DG14" s="55"/>
      <c r="DH14" s="55"/>
      <c r="DI14" s="55"/>
    </row>
    <row r="15" spans="1:113" x14ac:dyDescent="0.25">
      <c r="A15" s="152">
        <v>9</v>
      </c>
      <c r="B15" s="60" t="s">
        <v>566</v>
      </c>
      <c r="C15" s="43">
        <v>32000</v>
      </c>
      <c r="D15" s="60">
        <v>8231.24</v>
      </c>
      <c r="E15" s="43">
        <v>125</v>
      </c>
      <c r="F15" s="60"/>
      <c r="G15" s="166">
        <f t="shared" si="1"/>
        <v>125</v>
      </c>
      <c r="H15" s="55"/>
      <c r="I15" s="56">
        <f t="shared" si="2"/>
        <v>125</v>
      </c>
      <c r="J15" s="56">
        <f t="shared" si="3"/>
        <v>4000000</v>
      </c>
      <c r="K15" s="57">
        <f t="shared" si="4"/>
        <v>1028905</v>
      </c>
      <c r="L15"/>
      <c r="M15" s="314">
        <f t="shared" si="0"/>
        <v>0</v>
      </c>
      <c r="N15" s="310"/>
      <c r="O15" s="315"/>
      <c r="P15" s="315"/>
      <c r="Q15" s="315"/>
      <c r="R15" s="31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c r="CN15" s="55"/>
      <c r="CO15" s="55"/>
      <c r="CP15" s="55"/>
      <c r="CQ15" s="55"/>
      <c r="CR15" s="55"/>
      <c r="CS15" s="55"/>
      <c r="CT15" s="55"/>
      <c r="CU15" s="55"/>
      <c r="CV15" s="55"/>
      <c r="CW15" s="55"/>
      <c r="CX15" s="55"/>
      <c r="CY15" s="55"/>
      <c r="CZ15" s="55"/>
      <c r="DA15" s="55"/>
      <c r="DB15" s="55"/>
      <c r="DC15" s="55"/>
      <c r="DD15" s="55"/>
      <c r="DE15" s="55"/>
      <c r="DF15" s="55"/>
      <c r="DG15" s="55"/>
      <c r="DH15" s="55"/>
      <c r="DI15" s="55"/>
    </row>
    <row r="16" spans="1:113" x14ac:dyDescent="0.25">
      <c r="A16" s="152">
        <v>10</v>
      </c>
      <c r="B16" s="60" t="s">
        <v>567</v>
      </c>
      <c r="C16" s="43">
        <v>68000</v>
      </c>
      <c r="D16" s="60">
        <v>7604.44</v>
      </c>
      <c r="E16" s="43">
        <v>125</v>
      </c>
      <c r="F16" s="60"/>
      <c r="G16" s="166">
        <f t="shared" si="1"/>
        <v>125</v>
      </c>
      <c r="H16" s="55"/>
      <c r="I16" s="56">
        <f t="shared" si="2"/>
        <v>125</v>
      </c>
      <c r="J16" s="56">
        <f t="shared" si="3"/>
        <v>8500000</v>
      </c>
      <c r="K16" s="57">
        <f t="shared" si="4"/>
        <v>950555</v>
      </c>
      <c r="L16"/>
      <c r="M16" s="314">
        <f t="shared" si="0"/>
        <v>0</v>
      </c>
      <c r="N16" s="310"/>
      <c r="O16" s="315"/>
      <c r="P16" s="315"/>
      <c r="Q16" s="315"/>
      <c r="R16" s="31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row>
    <row r="17" spans="1:113" x14ac:dyDescent="0.25">
      <c r="A17" s="152">
        <v>11</v>
      </c>
      <c r="B17" s="60" t="s">
        <v>582</v>
      </c>
      <c r="C17" s="43">
        <v>25000</v>
      </c>
      <c r="D17" s="60">
        <v>9714</v>
      </c>
      <c r="E17" s="102">
        <v>100</v>
      </c>
      <c r="F17" s="60"/>
      <c r="G17" s="166">
        <f t="shared" si="1"/>
        <v>100</v>
      </c>
      <c r="H17" s="55"/>
      <c r="I17" s="56">
        <f t="shared" si="2"/>
        <v>100</v>
      </c>
      <c r="J17" s="56">
        <f t="shared" si="3"/>
        <v>2500000</v>
      </c>
      <c r="K17" s="57">
        <f t="shared" si="4"/>
        <v>971400</v>
      </c>
      <c r="L17"/>
      <c r="M17" s="314">
        <f t="shared" si="0"/>
        <v>0</v>
      </c>
      <c r="N17" s="310"/>
      <c r="O17" s="315"/>
      <c r="P17" s="315"/>
      <c r="Q17" s="315"/>
      <c r="R17" s="31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5"/>
      <c r="CR17" s="55"/>
      <c r="CS17" s="55"/>
      <c r="CT17" s="55"/>
      <c r="CU17" s="55"/>
      <c r="CV17" s="55"/>
      <c r="CW17" s="55"/>
      <c r="CX17" s="55"/>
      <c r="CY17" s="55"/>
      <c r="CZ17" s="55"/>
      <c r="DA17" s="55"/>
      <c r="DB17" s="55"/>
      <c r="DC17" s="55"/>
      <c r="DD17" s="55"/>
      <c r="DE17" s="55"/>
      <c r="DF17" s="55"/>
      <c r="DG17" s="55"/>
      <c r="DH17" s="55"/>
      <c r="DI17" s="55"/>
    </row>
    <row r="18" spans="1:113" x14ac:dyDescent="0.25">
      <c r="A18" s="152">
        <v>12</v>
      </c>
      <c r="B18" s="60" t="s">
        <v>583</v>
      </c>
      <c r="C18" s="43">
        <v>20000</v>
      </c>
      <c r="D18" s="60">
        <v>7434</v>
      </c>
      <c r="E18" s="43">
        <v>125</v>
      </c>
      <c r="F18" s="60"/>
      <c r="G18" s="166">
        <f t="shared" si="1"/>
        <v>125</v>
      </c>
      <c r="H18" s="55"/>
      <c r="I18" s="56">
        <f t="shared" si="2"/>
        <v>125</v>
      </c>
      <c r="J18" s="56">
        <f t="shared" si="3"/>
        <v>2500000</v>
      </c>
      <c r="K18" s="57">
        <f t="shared" si="4"/>
        <v>929250</v>
      </c>
      <c r="L18"/>
      <c r="M18" s="314">
        <f t="shared" si="0"/>
        <v>0</v>
      </c>
      <c r="N18" s="310"/>
      <c r="O18" s="315"/>
      <c r="P18" s="315"/>
      <c r="Q18" s="315"/>
      <c r="R18" s="31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row>
    <row r="19" spans="1:113" x14ac:dyDescent="0.25">
      <c r="A19" s="152">
        <v>13</v>
      </c>
      <c r="B19" s="60" t="s">
        <v>584</v>
      </c>
      <c r="C19" s="43">
        <v>28000</v>
      </c>
      <c r="D19" s="60">
        <v>8026.5</v>
      </c>
      <c r="E19" s="43">
        <v>125</v>
      </c>
      <c r="F19" s="60"/>
      <c r="G19" s="166">
        <f t="shared" si="1"/>
        <v>125</v>
      </c>
      <c r="H19" s="55"/>
      <c r="I19" s="56">
        <f t="shared" si="2"/>
        <v>125</v>
      </c>
      <c r="J19" s="56">
        <f t="shared" si="3"/>
        <v>3500000</v>
      </c>
      <c r="K19" s="57">
        <f t="shared" si="4"/>
        <v>1003312.5</v>
      </c>
      <c r="L19"/>
      <c r="M19" s="314">
        <f t="shared" si="0"/>
        <v>0</v>
      </c>
      <c r="N19" s="310"/>
      <c r="O19" s="315"/>
      <c r="P19" s="315"/>
      <c r="Q19" s="315"/>
      <c r="R19" s="31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row>
    <row r="20" spans="1:113" x14ac:dyDescent="0.25">
      <c r="A20" s="152">
        <v>14</v>
      </c>
      <c r="B20" s="60" t="s">
        <v>585</v>
      </c>
      <c r="C20" s="43">
        <v>26000</v>
      </c>
      <c r="D20" s="60">
        <v>9134.44</v>
      </c>
      <c r="E20" s="43">
        <v>125</v>
      </c>
      <c r="F20" s="60"/>
      <c r="G20" s="166">
        <f t="shared" si="1"/>
        <v>125</v>
      </c>
      <c r="H20" s="55"/>
      <c r="I20" s="56">
        <f t="shared" si="2"/>
        <v>125</v>
      </c>
      <c r="J20" s="56">
        <f t="shared" si="3"/>
        <v>3250000</v>
      </c>
      <c r="K20" s="57">
        <f t="shared" si="4"/>
        <v>1141805</v>
      </c>
      <c r="L20"/>
      <c r="M20" s="314">
        <f t="shared" si="0"/>
        <v>0</v>
      </c>
      <c r="N20" s="310"/>
      <c r="O20" s="315"/>
      <c r="P20" s="315"/>
      <c r="Q20" s="315"/>
      <c r="R20" s="31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row>
    <row r="21" spans="1:113" x14ac:dyDescent="0.25">
      <c r="A21" s="152">
        <v>15</v>
      </c>
      <c r="B21" s="60" t="s">
        <v>586</v>
      </c>
      <c r="C21" s="43">
        <v>28000</v>
      </c>
      <c r="D21" s="60">
        <v>7491.52</v>
      </c>
      <c r="E21" s="43">
        <v>125</v>
      </c>
      <c r="F21" s="60"/>
      <c r="G21" s="166">
        <f t="shared" si="1"/>
        <v>125</v>
      </c>
      <c r="H21" s="55"/>
      <c r="I21" s="56">
        <f t="shared" si="2"/>
        <v>125</v>
      </c>
      <c r="J21" s="56">
        <f t="shared" si="3"/>
        <v>3500000</v>
      </c>
      <c r="K21" s="57">
        <f t="shared" si="4"/>
        <v>936440</v>
      </c>
      <c r="L21"/>
      <c r="M21" s="314">
        <f t="shared" si="0"/>
        <v>0</v>
      </c>
      <c r="N21" s="310"/>
      <c r="O21" s="315"/>
      <c r="P21" s="315"/>
      <c r="Q21" s="315"/>
      <c r="R21" s="31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row>
    <row r="22" spans="1:113" ht="15.75" thickBot="1" x14ac:dyDescent="0.3">
      <c r="A22" s="153">
        <v>16</v>
      </c>
      <c r="B22" s="156" t="s">
        <v>587</v>
      </c>
      <c r="C22" s="154">
        <v>27500</v>
      </c>
      <c r="D22" s="156">
        <v>7944.28</v>
      </c>
      <c r="E22" s="154">
        <v>298</v>
      </c>
      <c r="F22" s="156"/>
      <c r="G22" s="197">
        <f t="shared" si="1"/>
        <v>298</v>
      </c>
      <c r="H22" s="58"/>
      <c r="I22" s="64">
        <f t="shared" si="2"/>
        <v>298</v>
      </c>
      <c r="J22" s="64">
        <f t="shared" si="3"/>
        <v>8195000</v>
      </c>
      <c r="K22" s="65">
        <f t="shared" si="4"/>
        <v>2367395.44</v>
      </c>
      <c r="L22"/>
      <c r="M22" s="314">
        <f t="shared" si="0"/>
        <v>0</v>
      </c>
      <c r="N22" s="310"/>
      <c r="O22" s="315"/>
      <c r="P22" s="315"/>
      <c r="Q22" s="315"/>
      <c r="R22" s="31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row>
    <row r="23" spans="1:113" ht="15.75" thickBot="1" x14ac:dyDescent="0.3">
      <c r="A23" s="128"/>
      <c r="B23" s="41" t="s">
        <v>719</v>
      </c>
      <c r="C23" s="36"/>
      <c r="D23" s="36"/>
      <c r="E23" s="38">
        <f>SUM(E8:E22)</f>
        <v>1823</v>
      </c>
      <c r="F23" s="41"/>
      <c r="G23" s="38">
        <f>SUM(G8:G22)</f>
        <v>1823</v>
      </c>
      <c r="H23" s="38">
        <f>SUM(H8:H22)</f>
        <v>0</v>
      </c>
      <c r="I23" s="38">
        <f>SUM(I8:I22)</f>
        <v>1823</v>
      </c>
      <c r="J23" s="38">
        <f t="shared" ref="J23:K23" si="5">SUM(J8:J22)</f>
        <v>71395000</v>
      </c>
      <c r="K23" s="184">
        <f t="shared" si="5"/>
        <v>15449246.939999999</v>
      </c>
      <c r="L23"/>
      <c r="M23" s="322">
        <f t="shared" ref="M23" si="6">SUM(N23:DJ23)</f>
        <v>0</v>
      </c>
      <c r="N23" s="325"/>
      <c r="O23" s="325"/>
      <c r="P23" s="325"/>
      <c r="Q23" s="325"/>
      <c r="R23" s="325"/>
      <c r="S23" s="324"/>
      <c r="T23" s="324"/>
      <c r="U23" s="324"/>
      <c r="V23" s="324"/>
      <c r="W23" s="324"/>
      <c r="X23" s="324"/>
      <c r="Y23" s="324"/>
      <c r="Z23" s="324"/>
      <c r="AA23" s="324"/>
      <c r="AB23" s="324"/>
      <c r="AC23" s="324"/>
      <c r="AD23" s="324"/>
      <c r="AE23" s="324"/>
      <c r="AF23" s="324"/>
      <c r="AG23" s="324"/>
      <c r="AH23" s="324"/>
      <c r="AI23" s="324"/>
      <c r="AJ23" s="324"/>
      <c r="AK23" s="324"/>
      <c r="AL23" s="324"/>
      <c r="AM23" s="324"/>
      <c r="AN23" s="324"/>
      <c r="AO23" s="324"/>
      <c r="AP23" s="324"/>
      <c r="AQ23" s="324"/>
      <c r="AR23" s="324"/>
      <c r="AS23" s="324"/>
      <c r="AT23" s="324"/>
      <c r="AU23" s="324"/>
      <c r="AV23" s="324"/>
      <c r="AW23" s="324"/>
      <c r="AX23" s="324"/>
      <c r="AY23" s="324"/>
      <c r="AZ23" s="324"/>
      <c r="BA23" s="324"/>
      <c r="BB23" s="324"/>
      <c r="BC23" s="324"/>
      <c r="BD23" s="324"/>
      <c r="BE23" s="324"/>
      <c r="BF23" s="324"/>
      <c r="BG23" s="324"/>
      <c r="BH23" s="324"/>
      <c r="BI23" s="324"/>
      <c r="BJ23" s="324"/>
      <c r="BK23" s="324"/>
      <c r="BL23" s="324"/>
      <c r="BM23" s="324"/>
      <c r="BN23" s="324"/>
      <c r="BO23" s="324"/>
      <c r="BP23" s="324"/>
      <c r="BQ23" s="324"/>
      <c r="BR23" s="324"/>
      <c r="BS23" s="324"/>
      <c r="BT23" s="324"/>
      <c r="BU23" s="324"/>
      <c r="BV23" s="324"/>
      <c r="BW23" s="324"/>
      <c r="BX23" s="324"/>
      <c r="BY23" s="324"/>
      <c r="BZ23" s="324"/>
      <c r="CA23" s="324"/>
      <c r="CB23" s="324"/>
      <c r="CC23" s="324"/>
      <c r="CD23" s="324"/>
      <c r="CE23" s="324"/>
      <c r="CF23" s="324"/>
      <c r="CG23" s="324"/>
      <c r="CH23" s="324"/>
      <c r="CI23" s="324"/>
      <c r="CJ23" s="324"/>
      <c r="CK23" s="324"/>
      <c r="CL23" s="324"/>
      <c r="CM23" s="324"/>
      <c r="CN23" s="324"/>
      <c r="CO23" s="324"/>
      <c r="CP23" s="324"/>
      <c r="CQ23" s="324"/>
      <c r="CR23" s="324"/>
      <c r="CS23" s="324"/>
      <c r="CT23" s="324"/>
      <c r="CU23" s="324"/>
      <c r="CV23" s="324"/>
      <c r="CW23" s="324"/>
      <c r="CX23" s="324"/>
      <c r="CY23" s="324"/>
      <c r="CZ23" s="324"/>
      <c r="DA23" s="324"/>
      <c r="DB23" s="324"/>
      <c r="DC23" s="324"/>
      <c r="DD23" s="324"/>
      <c r="DE23" s="324"/>
      <c r="DF23" s="324"/>
      <c r="DG23" s="324"/>
      <c r="DH23" s="324"/>
      <c r="DI23" s="324"/>
    </row>
    <row r="24" spans="1:113" ht="15.75" thickBot="1" x14ac:dyDescent="0.3">
      <c r="B24" s="161"/>
      <c r="C24" s="162"/>
      <c r="D24" s="163"/>
      <c r="E24" s="164"/>
      <c r="F24" s="67"/>
      <c r="G24" s="164"/>
      <c r="H24" s="164"/>
      <c r="I24" s="164"/>
      <c r="J24" s="164"/>
      <c r="K24" s="163"/>
      <c r="L24"/>
      <c r="M24"/>
      <c r="N24"/>
      <c r="O24"/>
      <c r="P24"/>
      <c r="Q24"/>
      <c r="R24"/>
      <c r="S24"/>
      <c r="T24"/>
      <c r="U24"/>
      <c r="V24"/>
      <c r="W24"/>
      <c r="X24"/>
      <c r="Y24"/>
      <c r="Z24"/>
      <c r="AA24"/>
      <c r="AB24"/>
    </row>
    <row r="25" spans="1:113" ht="15.75" thickBot="1" x14ac:dyDescent="0.3">
      <c r="A25" s="407" t="s">
        <v>657</v>
      </c>
      <c r="B25" s="414" t="s">
        <v>708</v>
      </c>
      <c r="C25" s="414" t="s">
        <v>1</v>
      </c>
      <c r="D25" s="415" t="s">
        <v>649</v>
      </c>
      <c r="E25" s="416" t="s">
        <v>19</v>
      </c>
      <c r="F25" s="416"/>
      <c r="G25" s="416"/>
      <c r="H25" s="416"/>
      <c r="I25" s="416"/>
      <c r="J25" s="410" t="s">
        <v>21</v>
      </c>
      <c r="K25" s="417" t="s">
        <v>602</v>
      </c>
      <c r="L25"/>
      <c r="M25" s="403" t="s">
        <v>601</v>
      </c>
      <c r="N25" s="403" t="s">
        <v>924</v>
      </c>
      <c r="O25" s="403"/>
      <c r="P25" s="403"/>
      <c r="Q25" s="403"/>
      <c r="R25" s="403"/>
      <c r="S25" s="403"/>
      <c r="T25" s="403"/>
      <c r="U25" s="403"/>
      <c r="V25" s="403"/>
      <c r="W25" s="403"/>
      <c r="X25" s="403"/>
      <c r="Y25" s="403"/>
      <c r="Z25" s="403"/>
      <c r="AA25" s="403"/>
      <c r="AB25" s="403"/>
      <c r="AC25" s="403"/>
      <c r="AD25" s="403"/>
      <c r="AE25" s="403"/>
      <c r="AF25" s="403"/>
      <c r="AG25" s="403"/>
      <c r="AH25" s="403"/>
      <c r="AI25" s="403"/>
      <c r="AJ25" s="403"/>
      <c r="AK25" s="403"/>
      <c r="AL25" s="403"/>
      <c r="AM25" s="403"/>
      <c r="AN25" s="403"/>
      <c r="AO25" s="403"/>
      <c r="AP25" s="403"/>
      <c r="AQ25" s="403"/>
      <c r="AR25" s="403"/>
      <c r="AS25" s="403"/>
      <c r="AT25" s="403"/>
      <c r="AU25" s="403"/>
      <c r="AV25" s="403"/>
      <c r="AW25" s="403"/>
      <c r="AX25" s="403"/>
      <c r="AY25" s="403"/>
      <c r="AZ25" s="403"/>
      <c r="BA25" s="403"/>
      <c r="BB25" s="403"/>
      <c r="BC25" s="403"/>
      <c r="BD25" s="403"/>
      <c r="BE25" s="403"/>
      <c r="BF25" s="403"/>
      <c r="BG25" s="403"/>
      <c r="BH25" s="403"/>
      <c r="BI25" s="403"/>
      <c r="BJ25" s="403"/>
      <c r="BK25" s="403"/>
      <c r="BL25" s="403"/>
      <c r="BM25" s="403"/>
      <c r="BN25" s="403"/>
      <c r="BO25" s="403"/>
      <c r="BP25" s="403"/>
      <c r="BQ25" s="403"/>
      <c r="BR25" s="403"/>
      <c r="BS25" s="403"/>
      <c r="BT25" s="403"/>
      <c r="BU25" s="403"/>
      <c r="BV25" s="403"/>
      <c r="BW25" s="403"/>
      <c r="BX25" s="403"/>
      <c r="BY25" s="403"/>
      <c r="BZ25" s="403"/>
      <c r="CA25" s="403"/>
      <c r="CB25" s="403"/>
      <c r="CC25" s="403"/>
      <c r="CD25" s="403"/>
      <c r="CE25" s="403"/>
      <c r="CF25" s="403"/>
      <c r="CG25" s="403"/>
      <c r="CH25" s="403"/>
      <c r="CI25" s="403"/>
      <c r="CJ25" s="403"/>
      <c r="CK25" s="403"/>
      <c r="CL25" s="403"/>
      <c r="CM25" s="403"/>
      <c r="CN25" s="403"/>
      <c r="CO25" s="403"/>
      <c r="CP25" s="403"/>
      <c r="CQ25" s="403"/>
      <c r="CR25" s="403"/>
      <c r="CS25" s="403"/>
      <c r="CT25" s="403"/>
      <c r="CU25" s="403"/>
      <c r="CV25" s="403"/>
      <c r="CW25" s="403"/>
      <c r="CX25" s="403"/>
      <c r="CY25" s="403"/>
      <c r="CZ25" s="403"/>
      <c r="DA25" s="403"/>
      <c r="DB25" s="403"/>
      <c r="DC25" s="403"/>
      <c r="DD25" s="403"/>
      <c r="DE25" s="403"/>
      <c r="DF25" s="403"/>
      <c r="DG25" s="403"/>
      <c r="DH25" s="403"/>
      <c r="DI25" s="403"/>
    </row>
    <row r="26" spans="1:113" ht="30.75" thickBot="1" x14ac:dyDescent="0.3">
      <c r="A26" s="408"/>
      <c r="B26" s="414"/>
      <c r="C26" s="414"/>
      <c r="D26" s="415"/>
      <c r="E26" s="68" t="s">
        <v>22</v>
      </c>
      <c r="F26" s="68" t="s">
        <v>600</v>
      </c>
      <c r="G26" s="68" t="s">
        <v>601</v>
      </c>
      <c r="H26" s="68" t="s">
        <v>589</v>
      </c>
      <c r="I26" s="68" t="s">
        <v>601</v>
      </c>
      <c r="J26" s="411"/>
      <c r="K26" s="418"/>
      <c r="L26"/>
      <c r="M26" s="403"/>
      <c r="N26" s="400" t="s">
        <v>925</v>
      </c>
      <c r="O26" s="400" t="s">
        <v>926</v>
      </c>
      <c r="P26" s="400"/>
      <c r="Q26" s="400"/>
      <c r="R26" s="400"/>
      <c r="S26" s="398"/>
      <c r="T26" s="398"/>
      <c r="U26" s="398"/>
      <c r="V26" s="398"/>
      <c r="W26" s="398"/>
      <c r="X26" s="398"/>
      <c r="Y26" s="398"/>
      <c r="Z26" s="398"/>
      <c r="AA26" s="398"/>
      <c r="AB26" s="398"/>
      <c r="AC26" s="398"/>
      <c r="AD26" s="398"/>
      <c r="AE26" s="398"/>
      <c r="AF26" s="398"/>
      <c r="AG26" s="398"/>
      <c r="AH26" s="398"/>
      <c r="AI26" s="398"/>
      <c r="AJ26" s="398"/>
      <c r="AK26" s="398"/>
      <c r="AL26" s="398"/>
      <c r="AM26" s="398"/>
      <c r="AN26" s="398"/>
      <c r="AO26" s="398"/>
      <c r="AP26" s="398"/>
      <c r="AQ26" s="398"/>
      <c r="AR26" s="398"/>
      <c r="AS26" s="398"/>
      <c r="AT26" s="398"/>
      <c r="AU26" s="398"/>
      <c r="AV26" s="398"/>
      <c r="AW26" s="398"/>
      <c r="AX26" s="398"/>
      <c r="AY26" s="398"/>
      <c r="AZ26" s="398"/>
      <c r="BA26" s="398"/>
      <c r="BB26" s="398"/>
      <c r="BC26" s="398"/>
      <c r="BD26" s="398"/>
      <c r="BE26" s="398"/>
      <c r="BF26" s="398"/>
      <c r="BG26" s="398"/>
      <c r="BH26" s="398"/>
      <c r="BI26" s="398"/>
      <c r="BJ26" s="398"/>
      <c r="BK26" s="398"/>
      <c r="BL26" s="398"/>
      <c r="BM26" s="398"/>
      <c r="BN26" s="398"/>
      <c r="BO26" s="398"/>
      <c r="BP26" s="398"/>
      <c r="BQ26" s="398"/>
      <c r="BR26" s="398"/>
      <c r="BS26" s="398"/>
      <c r="BT26" s="398"/>
      <c r="BU26" s="398"/>
      <c r="BV26" s="398"/>
      <c r="BW26" s="398"/>
      <c r="BX26" s="398"/>
      <c r="BY26" s="398"/>
      <c r="BZ26" s="398"/>
      <c r="CA26" s="398"/>
      <c r="CB26" s="398"/>
      <c r="CC26" s="398"/>
      <c r="CD26" s="398"/>
      <c r="CE26" s="398"/>
      <c r="CF26" s="398"/>
      <c r="CG26" s="398"/>
      <c r="CH26" s="398"/>
      <c r="CI26" s="398"/>
      <c r="CJ26" s="398"/>
      <c r="CK26" s="398"/>
      <c r="CL26" s="398"/>
      <c r="CM26" s="398"/>
      <c r="CN26" s="398"/>
      <c r="CO26" s="398"/>
      <c r="CP26" s="398"/>
      <c r="CQ26" s="398"/>
      <c r="CR26" s="398"/>
      <c r="CS26" s="398"/>
      <c r="CT26" s="398"/>
      <c r="CU26" s="398"/>
      <c r="CV26" s="398"/>
      <c r="CW26" s="398"/>
      <c r="CX26" s="398"/>
      <c r="CY26" s="398"/>
      <c r="CZ26" s="398"/>
      <c r="DA26" s="398"/>
      <c r="DB26" s="398"/>
      <c r="DC26" s="398"/>
      <c r="DD26" s="398"/>
      <c r="DE26" s="398"/>
      <c r="DF26" s="398"/>
      <c r="DG26" s="398"/>
      <c r="DH26" s="398"/>
      <c r="DI26" s="398"/>
    </row>
    <row r="27" spans="1:113" ht="15.75" thickBot="1" x14ac:dyDescent="0.3">
      <c r="A27" s="409"/>
      <c r="B27" s="185">
        <v>1</v>
      </c>
      <c r="C27" s="185">
        <v>2</v>
      </c>
      <c r="D27" s="185">
        <v>3</v>
      </c>
      <c r="E27" s="70">
        <v>4</v>
      </c>
      <c r="F27" s="70">
        <f>+E27+1</f>
        <v>5</v>
      </c>
      <c r="G27" s="70" t="s">
        <v>652</v>
      </c>
      <c r="H27" s="70">
        <v>7</v>
      </c>
      <c r="I27" s="71" t="s">
        <v>651</v>
      </c>
      <c r="J27" s="42" t="s">
        <v>650</v>
      </c>
      <c r="K27" s="42" t="s">
        <v>653</v>
      </c>
      <c r="L27"/>
      <c r="M27" s="403"/>
      <c r="N27" s="402"/>
      <c r="O27" s="402"/>
      <c r="P27" s="402"/>
      <c r="Q27" s="402"/>
      <c r="R27" s="402"/>
      <c r="S27" s="399"/>
      <c r="T27" s="399"/>
      <c r="U27" s="399"/>
      <c r="V27" s="399"/>
      <c r="W27" s="399"/>
      <c r="X27" s="399"/>
      <c r="Y27" s="399"/>
      <c r="Z27" s="399"/>
      <c r="AA27" s="399"/>
      <c r="AB27" s="399"/>
      <c r="AC27" s="399"/>
      <c r="AD27" s="399"/>
      <c r="AE27" s="399"/>
      <c r="AF27" s="399"/>
      <c r="AG27" s="399"/>
      <c r="AH27" s="399"/>
      <c r="AI27" s="399"/>
      <c r="AJ27" s="399"/>
      <c r="AK27" s="399"/>
      <c r="AL27" s="399"/>
      <c r="AM27" s="399"/>
      <c r="AN27" s="399"/>
      <c r="AO27" s="399"/>
      <c r="AP27" s="399"/>
      <c r="AQ27" s="399"/>
      <c r="AR27" s="399"/>
      <c r="AS27" s="399"/>
      <c r="AT27" s="399"/>
      <c r="AU27" s="399"/>
      <c r="AV27" s="399"/>
      <c r="AW27" s="399"/>
      <c r="AX27" s="399"/>
      <c r="AY27" s="399"/>
      <c r="AZ27" s="399"/>
      <c r="BA27" s="399"/>
      <c r="BB27" s="399"/>
      <c r="BC27" s="399"/>
      <c r="BD27" s="399"/>
      <c r="BE27" s="399"/>
      <c r="BF27" s="399"/>
      <c r="BG27" s="399"/>
      <c r="BH27" s="399"/>
      <c r="BI27" s="399"/>
      <c r="BJ27" s="399"/>
      <c r="BK27" s="399"/>
      <c r="BL27" s="399"/>
      <c r="BM27" s="399"/>
      <c r="BN27" s="399"/>
      <c r="BO27" s="399"/>
      <c r="BP27" s="399"/>
      <c r="BQ27" s="399"/>
      <c r="BR27" s="399"/>
      <c r="BS27" s="399"/>
      <c r="BT27" s="399"/>
      <c r="BU27" s="399"/>
      <c r="BV27" s="399"/>
      <c r="BW27" s="399"/>
      <c r="BX27" s="399"/>
      <c r="BY27" s="399"/>
      <c r="BZ27" s="399"/>
      <c r="CA27" s="399"/>
      <c r="CB27" s="399"/>
      <c r="CC27" s="399"/>
      <c r="CD27" s="399"/>
      <c r="CE27" s="399"/>
      <c r="CF27" s="399"/>
      <c r="CG27" s="399"/>
      <c r="CH27" s="399"/>
      <c r="CI27" s="399"/>
      <c r="CJ27" s="399"/>
      <c r="CK27" s="399"/>
      <c r="CL27" s="399"/>
      <c r="CM27" s="399"/>
      <c r="CN27" s="399"/>
      <c r="CO27" s="399"/>
      <c r="CP27" s="399"/>
      <c r="CQ27" s="399"/>
      <c r="CR27" s="399"/>
      <c r="CS27" s="399"/>
      <c r="CT27" s="399"/>
      <c r="CU27" s="399"/>
      <c r="CV27" s="399"/>
      <c r="CW27" s="399"/>
      <c r="CX27" s="399"/>
      <c r="CY27" s="399"/>
      <c r="CZ27" s="399"/>
      <c r="DA27" s="399"/>
      <c r="DB27" s="399"/>
      <c r="DC27" s="399"/>
      <c r="DD27" s="399"/>
      <c r="DE27" s="399"/>
      <c r="DF27" s="399"/>
      <c r="DG27" s="399"/>
      <c r="DH27" s="399"/>
      <c r="DI27" s="399"/>
    </row>
    <row r="28" spans="1:113" x14ac:dyDescent="0.25">
      <c r="A28" s="160"/>
      <c r="B28" s="177" t="s">
        <v>713</v>
      </c>
      <c r="C28" s="54"/>
      <c r="D28" s="54"/>
      <c r="E28" s="54"/>
      <c r="F28" s="54"/>
      <c r="G28" s="54"/>
      <c r="H28" s="54"/>
      <c r="I28" s="54"/>
      <c r="J28" s="54"/>
      <c r="K28" s="54"/>
      <c r="L28"/>
      <c r="M28" s="314">
        <f t="shared" ref="M28:M44" si="7">SUM(N28:DJ28)</f>
        <v>0</v>
      </c>
      <c r="N28" s="310"/>
      <c r="O28" s="315"/>
      <c r="P28" s="315"/>
      <c r="Q28" s="315"/>
      <c r="R28" s="31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5"/>
      <c r="DF28" s="55"/>
      <c r="DG28" s="55"/>
      <c r="DH28" s="55"/>
      <c r="DI28" s="55"/>
    </row>
    <row r="29" spans="1:113" x14ac:dyDescent="0.25">
      <c r="A29" s="152">
        <v>1</v>
      </c>
      <c r="B29" s="60" t="s">
        <v>599</v>
      </c>
      <c r="C29" s="219">
        <v>72000</v>
      </c>
      <c r="D29" s="175">
        <v>22219.98</v>
      </c>
      <c r="E29" s="43">
        <v>150</v>
      </c>
      <c r="F29" s="43"/>
      <c r="G29" s="166">
        <f t="shared" ref="G29:G44" si="8">+E29+F29</f>
        <v>150</v>
      </c>
      <c r="H29" s="166"/>
      <c r="I29" s="56">
        <f t="shared" ref="I29:I44" si="9">+G29-H29</f>
        <v>150</v>
      </c>
      <c r="J29" s="56">
        <f t="shared" ref="J29:J44" si="10">I29*C29</f>
        <v>10800000</v>
      </c>
      <c r="K29" s="57">
        <f t="shared" ref="K29:K44" si="11">+D29*I29</f>
        <v>3332997</v>
      </c>
      <c r="L29"/>
      <c r="M29" s="314">
        <f t="shared" si="7"/>
        <v>0</v>
      </c>
      <c r="N29" s="310"/>
      <c r="O29" s="315"/>
      <c r="P29" s="315"/>
      <c r="Q29" s="315"/>
      <c r="R29" s="31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5"/>
      <c r="DF29" s="55"/>
      <c r="DG29" s="55"/>
      <c r="DH29" s="55"/>
      <c r="DI29" s="55"/>
    </row>
    <row r="30" spans="1:113" x14ac:dyDescent="0.25">
      <c r="A30" s="152">
        <v>2</v>
      </c>
      <c r="B30" s="60" t="s">
        <v>607</v>
      </c>
      <c r="C30" s="219">
        <v>85000</v>
      </c>
      <c r="D30" s="175">
        <v>18383.419999999998</v>
      </c>
      <c r="E30" s="43">
        <v>150</v>
      </c>
      <c r="F30" s="43"/>
      <c r="G30" s="166">
        <f t="shared" si="8"/>
        <v>150</v>
      </c>
      <c r="H30" s="166"/>
      <c r="I30" s="56">
        <f t="shared" si="9"/>
        <v>150</v>
      </c>
      <c r="J30" s="56">
        <f t="shared" si="10"/>
        <v>12750000</v>
      </c>
      <c r="K30" s="57">
        <f t="shared" si="11"/>
        <v>2757512.9999999995</v>
      </c>
      <c r="L30"/>
      <c r="M30" s="314">
        <f t="shared" si="7"/>
        <v>0</v>
      </c>
      <c r="N30" s="310"/>
      <c r="O30" s="315"/>
      <c r="P30" s="315"/>
      <c r="Q30" s="315"/>
      <c r="R30" s="31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row>
    <row r="31" spans="1:113" x14ac:dyDescent="0.25">
      <c r="A31" s="152">
        <v>3</v>
      </c>
      <c r="B31" s="60" t="s">
        <v>608</v>
      </c>
      <c r="C31" s="219">
        <v>31000</v>
      </c>
      <c r="D31" s="175">
        <v>9187.64</v>
      </c>
      <c r="E31" s="43">
        <v>150</v>
      </c>
      <c r="F31" s="43"/>
      <c r="G31" s="166">
        <f t="shared" si="8"/>
        <v>150</v>
      </c>
      <c r="H31" s="166"/>
      <c r="I31" s="56">
        <f t="shared" si="9"/>
        <v>150</v>
      </c>
      <c r="J31" s="56">
        <f t="shared" si="10"/>
        <v>4650000</v>
      </c>
      <c r="K31" s="57">
        <f t="shared" si="11"/>
        <v>1378146</v>
      </c>
      <c r="L31"/>
      <c r="M31" s="314">
        <f t="shared" si="7"/>
        <v>0</v>
      </c>
      <c r="N31" s="310"/>
      <c r="O31" s="315"/>
      <c r="P31" s="315"/>
      <c r="Q31" s="315"/>
      <c r="R31" s="31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row>
    <row r="32" spans="1:113" x14ac:dyDescent="0.25">
      <c r="A32" s="152">
        <v>4</v>
      </c>
      <c r="B32" s="60" t="s">
        <v>609</v>
      </c>
      <c r="C32" s="219">
        <v>40000</v>
      </c>
      <c r="D32" s="175">
        <v>3786.16</v>
      </c>
      <c r="E32" s="43">
        <v>150</v>
      </c>
      <c r="F32" s="43"/>
      <c r="G32" s="166">
        <f t="shared" si="8"/>
        <v>150</v>
      </c>
      <c r="H32" s="166"/>
      <c r="I32" s="56">
        <f t="shared" si="9"/>
        <v>150</v>
      </c>
      <c r="J32" s="56">
        <f t="shared" si="10"/>
        <v>6000000</v>
      </c>
      <c r="K32" s="57">
        <f t="shared" si="11"/>
        <v>567924</v>
      </c>
      <c r="L32"/>
      <c r="M32" s="314">
        <f t="shared" si="7"/>
        <v>0</v>
      </c>
      <c r="N32" s="310"/>
      <c r="O32" s="315"/>
      <c r="P32" s="315"/>
      <c r="Q32" s="315"/>
      <c r="R32" s="31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row>
    <row r="33" spans="1:113" x14ac:dyDescent="0.25">
      <c r="A33" s="152">
        <v>5</v>
      </c>
      <c r="B33" s="60" t="s">
        <v>610</v>
      </c>
      <c r="C33" s="219">
        <v>64000</v>
      </c>
      <c r="D33" s="175">
        <v>8699.2800000000007</v>
      </c>
      <c r="E33" s="43">
        <v>148</v>
      </c>
      <c r="F33" s="43"/>
      <c r="G33" s="166">
        <f t="shared" si="8"/>
        <v>148</v>
      </c>
      <c r="H33" s="166">
        <f>2-2</f>
        <v>0</v>
      </c>
      <c r="I33" s="56">
        <f t="shared" si="9"/>
        <v>148</v>
      </c>
      <c r="J33" s="56">
        <f t="shared" si="10"/>
        <v>9472000</v>
      </c>
      <c r="K33" s="57">
        <f t="shared" si="11"/>
        <v>1287493.4400000002</v>
      </c>
      <c r="L33"/>
      <c r="M33" s="314">
        <f t="shared" si="7"/>
        <v>0</v>
      </c>
      <c r="N33" s="310"/>
      <c r="O33" s="315"/>
      <c r="P33" s="315"/>
      <c r="Q33" s="315"/>
      <c r="R33" s="31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row>
    <row r="34" spans="1:113" x14ac:dyDescent="0.25">
      <c r="A34" s="152">
        <v>6</v>
      </c>
      <c r="B34" s="60" t="s">
        <v>611</v>
      </c>
      <c r="C34" s="219">
        <v>19000</v>
      </c>
      <c r="D34" s="175">
        <v>8511.35</v>
      </c>
      <c r="E34" s="43">
        <v>150</v>
      </c>
      <c r="F34" s="43"/>
      <c r="G34" s="166">
        <f t="shared" si="8"/>
        <v>150</v>
      </c>
      <c r="H34" s="166"/>
      <c r="I34" s="56">
        <f t="shared" si="9"/>
        <v>150</v>
      </c>
      <c r="J34" s="56">
        <f t="shared" si="10"/>
        <v>2850000</v>
      </c>
      <c r="K34" s="57">
        <f t="shared" si="11"/>
        <v>1276702.5</v>
      </c>
      <c r="L34"/>
      <c r="M34" s="314">
        <f t="shared" si="7"/>
        <v>0</v>
      </c>
      <c r="N34" s="310"/>
      <c r="O34" s="315"/>
      <c r="P34" s="315"/>
      <c r="Q34" s="315"/>
      <c r="R34" s="31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row>
    <row r="35" spans="1:113" x14ac:dyDescent="0.25">
      <c r="A35" s="152">
        <v>7</v>
      </c>
      <c r="B35" s="60" t="s">
        <v>615</v>
      </c>
      <c r="C35" s="219">
        <v>28000</v>
      </c>
      <c r="D35" s="175">
        <v>7480.84</v>
      </c>
      <c r="E35" s="43">
        <v>150</v>
      </c>
      <c r="F35" s="43"/>
      <c r="G35" s="166">
        <f t="shared" si="8"/>
        <v>150</v>
      </c>
      <c r="H35" s="166"/>
      <c r="I35" s="56">
        <f t="shared" si="9"/>
        <v>150</v>
      </c>
      <c r="J35" s="56">
        <f t="shared" si="10"/>
        <v>4200000</v>
      </c>
      <c r="K35" s="57">
        <f t="shared" si="11"/>
        <v>1122126</v>
      </c>
      <c r="L35"/>
      <c r="M35" s="314">
        <f t="shared" si="7"/>
        <v>0</v>
      </c>
      <c r="N35" s="310"/>
      <c r="O35" s="315"/>
      <c r="P35" s="315"/>
      <c r="Q35" s="315"/>
      <c r="R35" s="31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c r="CN35" s="55"/>
      <c r="CO35" s="55"/>
      <c r="CP35" s="55"/>
      <c r="CQ35" s="55"/>
      <c r="CR35" s="55"/>
      <c r="CS35" s="55"/>
      <c r="CT35" s="55"/>
      <c r="CU35" s="55"/>
      <c r="CV35" s="55"/>
      <c r="CW35" s="55"/>
      <c r="CX35" s="55"/>
      <c r="CY35" s="55"/>
      <c r="CZ35" s="55"/>
      <c r="DA35" s="55"/>
      <c r="DB35" s="55"/>
      <c r="DC35" s="55"/>
      <c r="DD35" s="55"/>
      <c r="DE35" s="55"/>
      <c r="DF35" s="55"/>
      <c r="DG35" s="55"/>
      <c r="DH35" s="55"/>
      <c r="DI35" s="55"/>
    </row>
    <row r="36" spans="1:113" x14ac:dyDescent="0.25">
      <c r="A36" s="152">
        <v>8</v>
      </c>
      <c r="B36" s="60" t="s">
        <v>625</v>
      </c>
      <c r="C36" s="219">
        <v>22000</v>
      </c>
      <c r="D36" s="175">
        <v>8990</v>
      </c>
      <c r="E36" s="43">
        <v>150</v>
      </c>
      <c r="F36" s="43"/>
      <c r="G36" s="166">
        <f t="shared" si="8"/>
        <v>150</v>
      </c>
      <c r="H36" s="166"/>
      <c r="I36" s="56">
        <f t="shared" si="9"/>
        <v>150</v>
      </c>
      <c r="J36" s="56">
        <f t="shared" si="10"/>
        <v>3300000</v>
      </c>
      <c r="K36" s="57">
        <f t="shared" si="11"/>
        <v>1348500</v>
      </c>
      <c r="L36"/>
      <c r="M36" s="314">
        <f t="shared" si="7"/>
        <v>0</v>
      </c>
      <c r="N36" s="310"/>
      <c r="O36" s="315"/>
      <c r="P36" s="315"/>
      <c r="Q36" s="315"/>
      <c r="R36" s="31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55"/>
      <c r="CB36" s="55"/>
      <c r="CC36" s="55"/>
      <c r="CD36" s="55"/>
      <c r="CE36" s="55"/>
      <c r="CF36" s="55"/>
      <c r="CG36" s="55"/>
      <c r="CH36" s="55"/>
      <c r="CI36" s="55"/>
      <c r="CJ36" s="55"/>
      <c r="CK36" s="55"/>
      <c r="CL36" s="55"/>
      <c r="CM36" s="55"/>
      <c r="CN36" s="55"/>
      <c r="CO36" s="55"/>
      <c r="CP36" s="55"/>
      <c r="CQ36" s="55"/>
      <c r="CR36" s="55"/>
      <c r="CS36" s="55"/>
      <c r="CT36" s="55"/>
      <c r="CU36" s="55"/>
      <c r="CV36" s="55"/>
      <c r="CW36" s="55"/>
      <c r="CX36" s="55"/>
      <c r="CY36" s="55"/>
      <c r="CZ36" s="55"/>
      <c r="DA36" s="55"/>
      <c r="DB36" s="55"/>
      <c r="DC36" s="55"/>
      <c r="DD36" s="55"/>
      <c r="DE36" s="55"/>
      <c r="DF36" s="55"/>
      <c r="DG36" s="55"/>
      <c r="DH36" s="55"/>
      <c r="DI36" s="55"/>
    </row>
    <row r="37" spans="1:113" x14ac:dyDescent="0.25">
      <c r="A37" s="152">
        <v>9</v>
      </c>
      <c r="B37" s="60" t="s">
        <v>626</v>
      </c>
      <c r="C37" s="219">
        <v>18000</v>
      </c>
      <c r="D37" s="175">
        <v>9672.82</v>
      </c>
      <c r="E37" s="43">
        <v>140</v>
      </c>
      <c r="F37" s="43"/>
      <c r="G37" s="166">
        <f t="shared" si="8"/>
        <v>140</v>
      </c>
      <c r="H37" s="166"/>
      <c r="I37" s="56">
        <f t="shared" si="9"/>
        <v>140</v>
      </c>
      <c r="J37" s="56">
        <f t="shared" si="10"/>
        <v>2520000</v>
      </c>
      <c r="K37" s="57">
        <f t="shared" si="11"/>
        <v>1354194.8</v>
      </c>
      <c r="L37"/>
      <c r="M37" s="314">
        <f t="shared" si="7"/>
        <v>0</v>
      </c>
      <c r="N37" s="310"/>
      <c r="O37" s="315"/>
      <c r="P37" s="315"/>
      <c r="Q37" s="315"/>
      <c r="R37" s="31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55"/>
      <c r="CB37" s="55"/>
      <c r="CC37" s="55"/>
      <c r="CD37" s="55"/>
      <c r="CE37" s="55"/>
      <c r="CF37" s="55"/>
      <c r="CG37" s="55"/>
      <c r="CH37" s="55"/>
      <c r="CI37" s="55"/>
      <c r="CJ37" s="55"/>
      <c r="CK37" s="55"/>
      <c r="CL37" s="55"/>
      <c r="CM37" s="55"/>
      <c r="CN37" s="55"/>
      <c r="CO37" s="55"/>
      <c r="CP37" s="55"/>
      <c r="CQ37" s="55"/>
      <c r="CR37" s="55"/>
      <c r="CS37" s="55"/>
      <c r="CT37" s="55"/>
      <c r="CU37" s="55"/>
      <c r="CV37" s="55"/>
      <c r="CW37" s="55"/>
      <c r="CX37" s="55"/>
      <c r="CY37" s="55"/>
      <c r="CZ37" s="55"/>
      <c r="DA37" s="55"/>
      <c r="DB37" s="55"/>
      <c r="DC37" s="55"/>
      <c r="DD37" s="55"/>
      <c r="DE37" s="55"/>
      <c r="DF37" s="55"/>
      <c r="DG37" s="55"/>
      <c r="DH37" s="55"/>
      <c r="DI37" s="55"/>
    </row>
    <row r="38" spans="1:113" x14ac:dyDescent="0.25">
      <c r="A38" s="152">
        <v>10</v>
      </c>
      <c r="B38" s="60" t="s">
        <v>627</v>
      </c>
      <c r="C38" s="219">
        <v>49000</v>
      </c>
      <c r="D38" s="175">
        <v>15174.44</v>
      </c>
      <c r="E38" s="43">
        <v>140</v>
      </c>
      <c r="F38" s="43"/>
      <c r="G38" s="166">
        <f t="shared" si="8"/>
        <v>140</v>
      </c>
      <c r="H38" s="166"/>
      <c r="I38" s="56">
        <f t="shared" si="9"/>
        <v>140</v>
      </c>
      <c r="J38" s="56">
        <f t="shared" si="10"/>
        <v>6860000</v>
      </c>
      <c r="K38" s="57">
        <f t="shared" si="11"/>
        <v>2124421.6</v>
      </c>
      <c r="L38"/>
      <c r="M38" s="314">
        <f t="shared" si="7"/>
        <v>0</v>
      </c>
      <c r="N38" s="310"/>
      <c r="O38" s="315"/>
      <c r="P38" s="315"/>
      <c r="Q38" s="315"/>
      <c r="R38" s="31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55"/>
      <c r="CZ38" s="55"/>
      <c r="DA38" s="55"/>
      <c r="DB38" s="55"/>
      <c r="DC38" s="55"/>
      <c r="DD38" s="55"/>
      <c r="DE38" s="55"/>
      <c r="DF38" s="55"/>
      <c r="DG38" s="55"/>
      <c r="DH38" s="55"/>
      <c r="DI38" s="55"/>
    </row>
    <row r="39" spans="1:113" x14ac:dyDescent="0.25">
      <c r="A39" s="152">
        <v>11</v>
      </c>
      <c r="B39" s="60" t="s">
        <v>628</v>
      </c>
      <c r="C39" s="219">
        <v>20000</v>
      </c>
      <c r="D39" s="175">
        <v>12321.45</v>
      </c>
      <c r="E39" s="43">
        <v>150</v>
      </c>
      <c r="F39" s="43"/>
      <c r="G39" s="166">
        <f t="shared" si="8"/>
        <v>150</v>
      </c>
      <c r="H39" s="166"/>
      <c r="I39" s="56">
        <f t="shared" si="9"/>
        <v>150</v>
      </c>
      <c r="J39" s="56">
        <f t="shared" si="10"/>
        <v>3000000</v>
      </c>
      <c r="K39" s="57">
        <f t="shared" si="11"/>
        <v>1848217.5</v>
      </c>
      <c r="L39"/>
      <c r="M39" s="314">
        <f t="shared" si="7"/>
        <v>0</v>
      </c>
      <c r="N39" s="310"/>
      <c r="O39" s="315"/>
      <c r="P39" s="315"/>
      <c r="Q39" s="315"/>
      <c r="R39" s="31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55"/>
      <c r="CZ39" s="55"/>
      <c r="DA39" s="55"/>
      <c r="DB39" s="55"/>
      <c r="DC39" s="55"/>
      <c r="DD39" s="55"/>
      <c r="DE39" s="55"/>
      <c r="DF39" s="55"/>
      <c r="DG39" s="55"/>
      <c r="DH39" s="55"/>
      <c r="DI39" s="55"/>
    </row>
    <row r="40" spans="1:113" x14ac:dyDescent="0.25">
      <c r="A40" s="152">
        <v>12</v>
      </c>
      <c r="B40" s="60" t="s">
        <v>630</v>
      </c>
      <c r="C40" s="219">
        <v>20000</v>
      </c>
      <c r="D40" s="175">
        <v>12321.45</v>
      </c>
      <c r="E40" s="43">
        <v>150</v>
      </c>
      <c r="F40" s="43"/>
      <c r="G40" s="166">
        <f t="shared" si="8"/>
        <v>150</v>
      </c>
      <c r="H40" s="166"/>
      <c r="I40" s="56">
        <f t="shared" si="9"/>
        <v>150</v>
      </c>
      <c r="J40" s="56">
        <f t="shared" si="10"/>
        <v>3000000</v>
      </c>
      <c r="K40" s="57">
        <f t="shared" si="11"/>
        <v>1848217.5</v>
      </c>
      <c r="L40"/>
      <c r="M40" s="314">
        <f t="shared" si="7"/>
        <v>0</v>
      </c>
      <c r="N40" s="310"/>
      <c r="O40" s="315"/>
      <c r="P40" s="315"/>
      <c r="Q40" s="315"/>
      <c r="R40" s="31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row>
    <row r="41" spans="1:113" x14ac:dyDescent="0.25">
      <c r="A41" s="152">
        <v>13</v>
      </c>
      <c r="B41" s="60" t="s">
        <v>640</v>
      </c>
      <c r="C41" s="219">
        <v>15000</v>
      </c>
      <c r="D41" s="193">
        <v>7573.4</v>
      </c>
      <c r="E41" s="43">
        <v>120</v>
      </c>
      <c r="F41" s="43"/>
      <c r="G41" s="166">
        <f t="shared" si="8"/>
        <v>120</v>
      </c>
      <c r="H41" s="166"/>
      <c r="I41" s="56">
        <f t="shared" si="9"/>
        <v>120</v>
      </c>
      <c r="J41" s="56">
        <f t="shared" si="10"/>
        <v>1800000</v>
      </c>
      <c r="K41" s="57">
        <f t="shared" si="11"/>
        <v>908808</v>
      </c>
      <c r="L41"/>
      <c r="M41" s="314">
        <f t="shared" si="7"/>
        <v>0</v>
      </c>
      <c r="N41" s="310"/>
      <c r="O41" s="315"/>
      <c r="P41" s="315"/>
      <c r="Q41" s="315"/>
      <c r="R41" s="31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row>
    <row r="42" spans="1:113" x14ac:dyDescent="0.25">
      <c r="A42" s="152">
        <v>14</v>
      </c>
      <c r="B42" s="60" t="s">
        <v>641</v>
      </c>
      <c r="C42" s="219">
        <v>26000</v>
      </c>
      <c r="D42" s="193">
        <v>8341.74</v>
      </c>
      <c r="E42" s="43">
        <v>150</v>
      </c>
      <c r="F42" s="43"/>
      <c r="G42" s="166">
        <f t="shared" si="8"/>
        <v>150</v>
      </c>
      <c r="H42" s="166"/>
      <c r="I42" s="56">
        <f t="shared" si="9"/>
        <v>150</v>
      </c>
      <c r="J42" s="56">
        <f t="shared" si="10"/>
        <v>3900000</v>
      </c>
      <c r="K42" s="57">
        <f t="shared" si="11"/>
        <v>1251261</v>
      </c>
      <c r="L42"/>
      <c r="M42" s="314">
        <f t="shared" si="7"/>
        <v>0</v>
      </c>
      <c r="N42" s="310"/>
      <c r="O42" s="315"/>
      <c r="P42" s="315"/>
      <c r="Q42" s="315"/>
      <c r="R42" s="31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55"/>
      <c r="CZ42" s="55"/>
      <c r="DA42" s="55"/>
      <c r="DB42" s="55"/>
      <c r="DC42" s="55"/>
      <c r="DD42" s="55"/>
      <c r="DE42" s="55"/>
      <c r="DF42" s="55"/>
      <c r="DG42" s="55"/>
      <c r="DH42" s="55"/>
      <c r="DI42" s="55"/>
    </row>
    <row r="43" spans="1:113" x14ac:dyDescent="0.25">
      <c r="A43" s="152">
        <v>15</v>
      </c>
      <c r="B43" s="60" t="s">
        <v>582</v>
      </c>
      <c r="C43" s="219">
        <v>25000</v>
      </c>
      <c r="D43" s="193">
        <v>8873.92</v>
      </c>
      <c r="E43" s="43">
        <v>120</v>
      </c>
      <c r="F43" s="43"/>
      <c r="G43" s="166">
        <f t="shared" si="8"/>
        <v>120</v>
      </c>
      <c r="H43" s="166"/>
      <c r="I43" s="56">
        <f t="shared" si="9"/>
        <v>120</v>
      </c>
      <c r="J43" s="56">
        <f t="shared" si="10"/>
        <v>3000000</v>
      </c>
      <c r="K43" s="57">
        <f t="shared" si="11"/>
        <v>1064870.3999999999</v>
      </c>
      <c r="L43"/>
      <c r="M43" s="314">
        <f t="shared" si="7"/>
        <v>0</v>
      </c>
      <c r="N43" s="310"/>
      <c r="O43" s="315"/>
      <c r="P43" s="315"/>
      <c r="Q43" s="315"/>
      <c r="R43" s="31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c r="CN43" s="55"/>
      <c r="CO43" s="55"/>
      <c r="CP43" s="55"/>
      <c r="CQ43" s="55"/>
      <c r="CR43" s="55"/>
      <c r="CS43" s="55"/>
      <c r="CT43" s="55"/>
      <c r="CU43" s="55"/>
      <c r="CV43" s="55"/>
      <c r="CW43" s="55"/>
      <c r="CX43" s="55"/>
      <c r="CY43" s="55"/>
      <c r="CZ43" s="55"/>
      <c r="DA43" s="55"/>
      <c r="DB43" s="55"/>
      <c r="DC43" s="55"/>
      <c r="DD43" s="55"/>
      <c r="DE43" s="55"/>
      <c r="DF43" s="55"/>
      <c r="DG43" s="55"/>
      <c r="DH43" s="55"/>
      <c r="DI43" s="55"/>
    </row>
    <row r="44" spans="1:113" ht="15.75" thickBot="1" x14ac:dyDescent="0.3">
      <c r="A44" s="58"/>
      <c r="B44" s="156"/>
      <c r="C44" s="156"/>
      <c r="D44" s="192"/>
      <c r="E44" s="154"/>
      <c r="F44" s="154"/>
      <c r="G44" s="197">
        <f t="shared" si="8"/>
        <v>0</v>
      </c>
      <c r="H44" s="197"/>
      <c r="I44" s="64">
        <f t="shared" si="9"/>
        <v>0</v>
      </c>
      <c r="J44" s="64">
        <f t="shared" si="10"/>
        <v>0</v>
      </c>
      <c r="K44" s="65">
        <f t="shared" si="11"/>
        <v>0</v>
      </c>
      <c r="L44"/>
      <c r="M44" s="314">
        <f t="shared" si="7"/>
        <v>0</v>
      </c>
      <c r="N44" s="310"/>
      <c r="O44" s="315"/>
      <c r="P44" s="315"/>
      <c r="Q44" s="315"/>
      <c r="R44" s="31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55"/>
      <c r="CB44" s="55"/>
      <c r="CC44" s="55"/>
      <c r="CD44" s="55"/>
      <c r="CE44" s="55"/>
      <c r="CF44" s="55"/>
      <c r="CG44" s="55"/>
      <c r="CH44" s="55"/>
      <c r="CI44" s="55"/>
      <c r="CJ44" s="55"/>
      <c r="CK44" s="55"/>
      <c r="CL44" s="55"/>
      <c r="CM44" s="55"/>
      <c r="CN44" s="55"/>
      <c r="CO44" s="55"/>
      <c r="CP44" s="55"/>
      <c r="CQ44" s="55"/>
      <c r="CR44" s="55"/>
      <c r="CS44" s="55"/>
      <c r="CT44" s="55"/>
      <c r="CU44" s="55"/>
      <c r="CV44" s="55"/>
      <c r="CW44" s="55"/>
      <c r="CX44" s="55"/>
      <c r="CY44" s="55"/>
      <c r="CZ44" s="55"/>
      <c r="DA44" s="55"/>
      <c r="DB44" s="55"/>
      <c r="DC44" s="55"/>
      <c r="DD44" s="55"/>
      <c r="DE44" s="55"/>
      <c r="DF44" s="55"/>
      <c r="DG44" s="55"/>
      <c r="DH44" s="55"/>
      <c r="DI44" s="55"/>
    </row>
    <row r="45" spans="1:113" ht="15.75" thickBot="1" x14ac:dyDescent="0.3">
      <c r="A45" s="128"/>
      <c r="B45" s="36" t="s">
        <v>616</v>
      </c>
      <c r="C45" s="36"/>
      <c r="D45" s="36"/>
      <c r="E45" s="29">
        <f t="shared" ref="E45:K45" si="12">SUM(E29:E44)</f>
        <v>2168</v>
      </c>
      <c r="F45" s="29">
        <f t="shared" si="12"/>
        <v>0</v>
      </c>
      <c r="G45" s="29">
        <f t="shared" si="12"/>
        <v>2168</v>
      </c>
      <c r="H45" s="29">
        <f t="shared" si="12"/>
        <v>0</v>
      </c>
      <c r="I45" s="36">
        <f t="shared" si="12"/>
        <v>2168</v>
      </c>
      <c r="J45" s="29">
        <f t="shared" si="12"/>
        <v>78102000</v>
      </c>
      <c r="K45" s="149">
        <f t="shared" si="12"/>
        <v>23471392.739999998</v>
      </c>
      <c r="L45"/>
      <c r="M45" s="322">
        <f t="shared" ref="M45" si="13">SUM(N45:DJ45)</f>
        <v>0</v>
      </c>
      <c r="N45" s="325"/>
      <c r="O45" s="325"/>
      <c r="P45" s="325"/>
      <c r="Q45" s="325"/>
      <c r="R45" s="325"/>
      <c r="S45" s="324"/>
      <c r="T45" s="324"/>
      <c r="U45" s="324"/>
      <c r="V45" s="324"/>
      <c r="W45" s="324"/>
      <c r="X45" s="324"/>
      <c r="Y45" s="324"/>
      <c r="Z45" s="324"/>
      <c r="AA45" s="324"/>
      <c r="AB45" s="324"/>
      <c r="AC45" s="324"/>
      <c r="AD45" s="324"/>
      <c r="AE45" s="324"/>
      <c r="AF45" s="324"/>
      <c r="AG45" s="324"/>
      <c r="AH45" s="324"/>
      <c r="AI45" s="324"/>
      <c r="AJ45" s="324"/>
      <c r="AK45" s="324"/>
      <c r="AL45" s="324"/>
      <c r="AM45" s="324"/>
      <c r="AN45" s="324"/>
      <c r="AO45" s="324"/>
      <c r="AP45" s="324"/>
      <c r="AQ45" s="324"/>
      <c r="AR45" s="324"/>
      <c r="AS45" s="324"/>
      <c r="AT45" s="324"/>
      <c r="AU45" s="324"/>
      <c r="AV45" s="324"/>
      <c r="AW45" s="324"/>
      <c r="AX45" s="324"/>
      <c r="AY45" s="324"/>
      <c r="AZ45" s="324"/>
      <c r="BA45" s="324"/>
      <c r="BB45" s="324"/>
      <c r="BC45" s="324"/>
      <c r="BD45" s="324"/>
      <c r="BE45" s="324"/>
      <c r="BF45" s="324"/>
      <c r="BG45" s="324"/>
      <c r="BH45" s="324"/>
      <c r="BI45" s="324"/>
      <c r="BJ45" s="324"/>
      <c r="BK45" s="324"/>
      <c r="BL45" s="324"/>
      <c r="BM45" s="324"/>
      <c r="BN45" s="324"/>
      <c r="BO45" s="324"/>
      <c r="BP45" s="324"/>
      <c r="BQ45" s="324"/>
      <c r="BR45" s="324"/>
      <c r="BS45" s="324"/>
      <c r="BT45" s="324"/>
      <c r="BU45" s="324"/>
      <c r="BV45" s="324"/>
      <c r="BW45" s="324"/>
      <c r="BX45" s="324"/>
      <c r="BY45" s="324"/>
      <c r="BZ45" s="324"/>
      <c r="CA45" s="324"/>
      <c r="CB45" s="324"/>
      <c r="CC45" s="324"/>
      <c r="CD45" s="324"/>
      <c r="CE45" s="324"/>
      <c r="CF45" s="324"/>
      <c r="CG45" s="324"/>
      <c r="CH45" s="324"/>
      <c r="CI45" s="324"/>
      <c r="CJ45" s="324"/>
      <c r="CK45" s="324"/>
      <c r="CL45" s="324"/>
      <c r="CM45" s="324"/>
      <c r="CN45" s="324"/>
      <c r="CO45" s="324"/>
      <c r="CP45" s="324"/>
      <c r="CQ45" s="324"/>
      <c r="CR45" s="324"/>
      <c r="CS45" s="324"/>
      <c r="CT45" s="324"/>
      <c r="CU45" s="324"/>
      <c r="CV45" s="324"/>
      <c r="CW45" s="324"/>
      <c r="CX45" s="324"/>
      <c r="CY45" s="324"/>
      <c r="CZ45" s="324"/>
      <c r="DA45" s="324"/>
      <c r="DB45" s="324"/>
      <c r="DC45" s="324"/>
      <c r="DD45" s="324"/>
      <c r="DE45" s="324"/>
      <c r="DF45" s="324"/>
      <c r="DG45" s="324"/>
      <c r="DH45" s="324"/>
      <c r="DI45" s="324"/>
    </row>
    <row r="46" spans="1:113" ht="15.75" thickBot="1" x14ac:dyDescent="0.3">
      <c r="L46"/>
      <c r="M46"/>
      <c r="N46"/>
      <c r="O46"/>
      <c r="P46"/>
      <c r="Q46"/>
      <c r="R46"/>
      <c r="S46"/>
      <c r="T46"/>
      <c r="U46"/>
      <c r="V46"/>
      <c r="W46"/>
      <c r="X46"/>
      <c r="Y46"/>
      <c r="Z46"/>
      <c r="AA46"/>
      <c r="AB46"/>
    </row>
    <row r="47" spans="1:113" ht="15.75" thickBot="1" x14ac:dyDescent="0.3">
      <c r="A47" s="407" t="s">
        <v>657</v>
      </c>
      <c r="B47" s="414" t="s">
        <v>708</v>
      </c>
      <c r="C47" s="414" t="s">
        <v>1</v>
      </c>
      <c r="D47" s="415" t="s">
        <v>649</v>
      </c>
      <c r="E47" s="416" t="s">
        <v>19</v>
      </c>
      <c r="F47" s="416"/>
      <c r="G47" s="416"/>
      <c r="H47" s="416"/>
      <c r="I47" s="416"/>
      <c r="J47" s="410" t="s">
        <v>21</v>
      </c>
      <c r="K47" s="417" t="s">
        <v>602</v>
      </c>
      <c r="L47"/>
      <c r="M47" s="403" t="s">
        <v>601</v>
      </c>
      <c r="N47" s="403" t="s">
        <v>924</v>
      </c>
      <c r="O47" s="403"/>
      <c r="P47" s="403"/>
      <c r="Q47" s="403"/>
      <c r="R47" s="403"/>
      <c r="S47" s="403"/>
      <c r="T47" s="403"/>
      <c r="U47" s="403"/>
      <c r="V47" s="403"/>
      <c r="W47" s="403"/>
      <c r="X47" s="403"/>
      <c r="Y47" s="403"/>
      <c r="Z47" s="403"/>
      <c r="AA47" s="403"/>
      <c r="AB47" s="403"/>
      <c r="AC47" s="403"/>
      <c r="AD47" s="403"/>
      <c r="AE47" s="403"/>
      <c r="AF47" s="403"/>
      <c r="AG47" s="403"/>
      <c r="AH47" s="403"/>
      <c r="AI47" s="403"/>
      <c r="AJ47" s="403"/>
      <c r="AK47" s="403"/>
      <c r="AL47" s="403"/>
      <c r="AM47" s="403"/>
      <c r="AN47" s="403"/>
      <c r="AO47" s="403"/>
      <c r="AP47" s="403"/>
      <c r="AQ47" s="403"/>
      <c r="AR47" s="403"/>
      <c r="AS47" s="403"/>
      <c r="AT47" s="403"/>
      <c r="AU47" s="403"/>
      <c r="AV47" s="403"/>
      <c r="AW47" s="403"/>
      <c r="AX47" s="403"/>
      <c r="AY47" s="403"/>
      <c r="AZ47" s="403"/>
      <c r="BA47" s="403"/>
      <c r="BB47" s="403"/>
      <c r="BC47" s="403"/>
      <c r="BD47" s="403"/>
      <c r="BE47" s="403"/>
      <c r="BF47" s="403"/>
      <c r="BG47" s="403"/>
      <c r="BH47" s="403"/>
      <c r="BI47" s="403"/>
      <c r="BJ47" s="403"/>
      <c r="BK47" s="403"/>
      <c r="BL47" s="403"/>
      <c r="BM47" s="403"/>
      <c r="BN47" s="403"/>
      <c r="BO47" s="403"/>
      <c r="BP47" s="403"/>
      <c r="BQ47" s="403"/>
      <c r="BR47" s="403"/>
      <c r="BS47" s="403"/>
      <c r="BT47" s="403"/>
      <c r="BU47" s="403"/>
      <c r="BV47" s="403"/>
      <c r="BW47" s="403"/>
      <c r="BX47" s="403"/>
      <c r="BY47" s="403"/>
      <c r="BZ47" s="403"/>
      <c r="CA47" s="403"/>
      <c r="CB47" s="403"/>
      <c r="CC47" s="403"/>
      <c r="CD47" s="403"/>
      <c r="CE47" s="403"/>
      <c r="CF47" s="403"/>
      <c r="CG47" s="403"/>
      <c r="CH47" s="403"/>
      <c r="CI47" s="403"/>
      <c r="CJ47" s="403"/>
      <c r="CK47" s="403"/>
      <c r="CL47" s="403"/>
      <c r="CM47" s="403"/>
      <c r="CN47" s="403"/>
      <c r="CO47" s="403"/>
      <c r="CP47" s="403"/>
      <c r="CQ47" s="403"/>
      <c r="CR47" s="403"/>
      <c r="CS47" s="403"/>
      <c r="CT47" s="403"/>
      <c r="CU47" s="403"/>
      <c r="CV47" s="403"/>
      <c r="CW47" s="403"/>
      <c r="CX47" s="403"/>
      <c r="CY47" s="403"/>
      <c r="CZ47" s="403"/>
      <c r="DA47" s="403"/>
      <c r="DB47" s="403"/>
      <c r="DC47" s="403"/>
      <c r="DD47" s="403"/>
      <c r="DE47" s="403"/>
      <c r="DF47" s="403"/>
      <c r="DG47" s="403"/>
      <c r="DH47" s="403"/>
      <c r="DI47" s="403"/>
    </row>
    <row r="48" spans="1:113" ht="30.75" thickBot="1" x14ac:dyDescent="0.3">
      <c r="A48" s="408"/>
      <c r="B48" s="414"/>
      <c r="C48" s="414"/>
      <c r="D48" s="415"/>
      <c r="E48" s="68" t="s">
        <v>22</v>
      </c>
      <c r="F48" s="68" t="s">
        <v>600</v>
      </c>
      <c r="G48" s="68" t="s">
        <v>601</v>
      </c>
      <c r="H48" s="68" t="s">
        <v>589</v>
      </c>
      <c r="I48" s="68" t="s">
        <v>601</v>
      </c>
      <c r="J48" s="411"/>
      <c r="K48" s="418"/>
      <c r="L48"/>
      <c r="M48" s="403"/>
      <c r="N48" s="400" t="s">
        <v>925</v>
      </c>
      <c r="O48" s="400" t="s">
        <v>926</v>
      </c>
      <c r="P48" s="400"/>
      <c r="Q48" s="400"/>
      <c r="R48" s="400"/>
      <c r="S48" s="398"/>
      <c r="T48" s="398"/>
      <c r="U48" s="398"/>
      <c r="V48" s="398"/>
      <c r="W48" s="398"/>
      <c r="X48" s="398"/>
      <c r="Y48" s="398"/>
      <c r="Z48" s="398"/>
      <c r="AA48" s="398"/>
      <c r="AB48" s="398"/>
      <c r="AC48" s="398"/>
      <c r="AD48" s="398"/>
      <c r="AE48" s="398"/>
      <c r="AF48" s="398"/>
      <c r="AG48" s="398"/>
      <c r="AH48" s="398"/>
      <c r="AI48" s="398"/>
      <c r="AJ48" s="398"/>
      <c r="AK48" s="398"/>
      <c r="AL48" s="398"/>
      <c r="AM48" s="398"/>
      <c r="AN48" s="398"/>
      <c r="AO48" s="398"/>
      <c r="AP48" s="398"/>
      <c r="AQ48" s="398"/>
      <c r="AR48" s="398"/>
      <c r="AS48" s="398"/>
      <c r="AT48" s="398"/>
      <c r="AU48" s="398"/>
      <c r="AV48" s="398"/>
      <c r="AW48" s="398"/>
      <c r="AX48" s="398"/>
      <c r="AY48" s="398"/>
      <c r="AZ48" s="398"/>
      <c r="BA48" s="398"/>
      <c r="BB48" s="398"/>
      <c r="BC48" s="398"/>
      <c r="BD48" s="398"/>
      <c r="BE48" s="398"/>
      <c r="BF48" s="398"/>
      <c r="BG48" s="398"/>
      <c r="BH48" s="398"/>
      <c r="BI48" s="398"/>
      <c r="BJ48" s="398"/>
      <c r="BK48" s="398"/>
      <c r="BL48" s="398"/>
      <c r="BM48" s="398"/>
      <c r="BN48" s="398"/>
      <c r="BO48" s="398"/>
      <c r="BP48" s="398"/>
      <c r="BQ48" s="398"/>
      <c r="BR48" s="398"/>
      <c r="BS48" s="398"/>
      <c r="BT48" s="398"/>
      <c r="BU48" s="398"/>
      <c r="BV48" s="398"/>
      <c r="BW48" s="398"/>
      <c r="BX48" s="398"/>
      <c r="BY48" s="398"/>
      <c r="BZ48" s="398"/>
      <c r="CA48" s="398"/>
      <c r="CB48" s="398"/>
      <c r="CC48" s="398"/>
      <c r="CD48" s="398"/>
      <c r="CE48" s="398"/>
      <c r="CF48" s="398"/>
      <c r="CG48" s="398"/>
      <c r="CH48" s="398"/>
      <c r="CI48" s="398"/>
      <c r="CJ48" s="398"/>
      <c r="CK48" s="398"/>
      <c r="CL48" s="398"/>
      <c r="CM48" s="398"/>
      <c r="CN48" s="398"/>
      <c r="CO48" s="398"/>
      <c r="CP48" s="398"/>
      <c r="CQ48" s="398"/>
      <c r="CR48" s="398"/>
      <c r="CS48" s="398"/>
      <c r="CT48" s="398"/>
      <c r="CU48" s="398"/>
      <c r="CV48" s="398"/>
      <c r="CW48" s="398"/>
      <c r="CX48" s="398"/>
      <c r="CY48" s="398"/>
      <c r="CZ48" s="398"/>
      <c r="DA48" s="398"/>
      <c r="DB48" s="398"/>
      <c r="DC48" s="398"/>
      <c r="DD48" s="398"/>
      <c r="DE48" s="398"/>
      <c r="DF48" s="398"/>
      <c r="DG48" s="398"/>
      <c r="DH48" s="398"/>
      <c r="DI48" s="398"/>
    </row>
    <row r="49" spans="1:113" ht="15.75" thickBot="1" x14ac:dyDescent="0.3">
      <c r="A49" s="409"/>
      <c r="B49" s="224">
        <v>1</v>
      </c>
      <c r="C49" s="224">
        <v>2</v>
      </c>
      <c r="D49" s="224">
        <v>3</v>
      </c>
      <c r="E49" s="70">
        <v>4</v>
      </c>
      <c r="F49" s="70">
        <f>+E49+1</f>
        <v>5</v>
      </c>
      <c r="G49" s="70" t="s">
        <v>652</v>
      </c>
      <c r="H49" s="70">
        <v>7</v>
      </c>
      <c r="I49" s="71" t="s">
        <v>651</v>
      </c>
      <c r="J49" s="42" t="s">
        <v>650</v>
      </c>
      <c r="K49" s="42" t="s">
        <v>653</v>
      </c>
      <c r="L49"/>
      <c r="M49" s="403"/>
      <c r="N49" s="402"/>
      <c r="O49" s="402"/>
      <c r="P49" s="402"/>
      <c r="Q49" s="402"/>
      <c r="R49" s="402"/>
      <c r="S49" s="399"/>
      <c r="T49" s="399"/>
      <c r="U49" s="399"/>
      <c r="V49" s="399"/>
      <c r="W49" s="399"/>
      <c r="X49" s="399"/>
      <c r="Y49" s="399"/>
      <c r="Z49" s="399"/>
      <c r="AA49" s="399"/>
      <c r="AB49" s="399"/>
      <c r="AC49" s="399"/>
      <c r="AD49" s="399"/>
      <c r="AE49" s="399"/>
      <c r="AF49" s="399"/>
      <c r="AG49" s="399"/>
      <c r="AH49" s="399"/>
      <c r="AI49" s="399"/>
      <c r="AJ49" s="399"/>
      <c r="AK49" s="399"/>
      <c r="AL49" s="399"/>
      <c r="AM49" s="399"/>
      <c r="AN49" s="399"/>
      <c r="AO49" s="399"/>
      <c r="AP49" s="399"/>
      <c r="AQ49" s="399"/>
      <c r="AR49" s="399"/>
      <c r="AS49" s="399"/>
      <c r="AT49" s="399"/>
      <c r="AU49" s="399"/>
      <c r="AV49" s="399"/>
      <c r="AW49" s="399"/>
      <c r="AX49" s="399"/>
      <c r="AY49" s="399"/>
      <c r="AZ49" s="399"/>
      <c r="BA49" s="399"/>
      <c r="BB49" s="399"/>
      <c r="BC49" s="399"/>
      <c r="BD49" s="399"/>
      <c r="BE49" s="399"/>
      <c r="BF49" s="399"/>
      <c r="BG49" s="399"/>
      <c r="BH49" s="399"/>
      <c r="BI49" s="399"/>
      <c r="BJ49" s="399"/>
      <c r="BK49" s="399"/>
      <c r="BL49" s="399"/>
      <c r="BM49" s="399"/>
      <c r="BN49" s="399"/>
      <c r="BO49" s="399"/>
      <c r="BP49" s="399"/>
      <c r="BQ49" s="399"/>
      <c r="BR49" s="399"/>
      <c r="BS49" s="399"/>
      <c r="BT49" s="399"/>
      <c r="BU49" s="399"/>
      <c r="BV49" s="399"/>
      <c r="BW49" s="399"/>
      <c r="BX49" s="399"/>
      <c r="BY49" s="399"/>
      <c r="BZ49" s="399"/>
      <c r="CA49" s="399"/>
      <c r="CB49" s="399"/>
      <c r="CC49" s="399"/>
      <c r="CD49" s="399"/>
      <c r="CE49" s="399"/>
      <c r="CF49" s="399"/>
      <c r="CG49" s="399"/>
      <c r="CH49" s="399"/>
      <c r="CI49" s="399"/>
      <c r="CJ49" s="399"/>
      <c r="CK49" s="399"/>
      <c r="CL49" s="399"/>
      <c r="CM49" s="399"/>
      <c r="CN49" s="399"/>
      <c r="CO49" s="399"/>
      <c r="CP49" s="399"/>
      <c r="CQ49" s="399"/>
      <c r="CR49" s="399"/>
      <c r="CS49" s="399"/>
      <c r="CT49" s="399"/>
      <c r="CU49" s="399"/>
      <c r="CV49" s="399"/>
      <c r="CW49" s="399"/>
      <c r="CX49" s="399"/>
      <c r="CY49" s="399"/>
      <c r="CZ49" s="399"/>
      <c r="DA49" s="399"/>
      <c r="DB49" s="399"/>
      <c r="DC49" s="399"/>
      <c r="DD49" s="399"/>
      <c r="DE49" s="399"/>
      <c r="DF49" s="399"/>
      <c r="DG49" s="399"/>
      <c r="DH49" s="399"/>
      <c r="DI49" s="399"/>
    </row>
    <row r="50" spans="1:113" x14ac:dyDescent="0.25">
      <c r="A50" s="160"/>
      <c r="B50" s="177" t="s">
        <v>736</v>
      </c>
      <c r="C50" s="54"/>
      <c r="D50" s="54"/>
      <c r="E50" s="54"/>
      <c r="F50" s="54"/>
      <c r="G50" s="54"/>
      <c r="H50" s="54"/>
      <c r="I50" s="54"/>
      <c r="J50" s="54"/>
      <c r="K50" s="54"/>
      <c r="L50"/>
      <c r="M50" s="314">
        <f t="shared" ref="M50:M66" si="14">SUM(N50:DJ50)</f>
        <v>0</v>
      </c>
      <c r="N50" s="310"/>
      <c r="O50" s="315"/>
      <c r="P50" s="315"/>
      <c r="Q50" s="315"/>
      <c r="R50" s="31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row>
    <row r="51" spans="1:113" x14ac:dyDescent="0.25">
      <c r="A51" s="152">
        <v>1</v>
      </c>
      <c r="B51" s="213" t="s">
        <v>786</v>
      </c>
      <c r="C51" s="219">
        <v>42000</v>
      </c>
      <c r="D51" s="175">
        <v>11837.41</v>
      </c>
      <c r="E51" s="43">
        <v>70</v>
      </c>
      <c r="F51" s="43">
        <v>0</v>
      </c>
      <c r="G51" s="166">
        <f t="shared" ref="G51:G66" si="15">+E51+F51</f>
        <v>70</v>
      </c>
      <c r="H51" s="43">
        <v>0</v>
      </c>
      <c r="I51" s="56">
        <f t="shared" ref="I51:I66" si="16">+G51-H51</f>
        <v>70</v>
      </c>
      <c r="J51" s="56">
        <f t="shared" ref="J51:J66" si="17">I51*C51</f>
        <v>2940000</v>
      </c>
      <c r="K51" s="57">
        <f t="shared" ref="K51:K66" si="18">+D51*I51</f>
        <v>828618.7</v>
      </c>
      <c r="L51"/>
      <c r="M51" s="314">
        <f t="shared" si="14"/>
        <v>0</v>
      </c>
      <c r="N51" s="310"/>
      <c r="O51" s="315"/>
      <c r="P51" s="315"/>
      <c r="Q51" s="315"/>
      <c r="R51" s="31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row>
    <row r="52" spans="1:113" x14ac:dyDescent="0.25">
      <c r="A52" s="152">
        <v>2</v>
      </c>
      <c r="B52" s="213" t="s">
        <v>806</v>
      </c>
      <c r="C52" s="219">
        <v>72000</v>
      </c>
      <c r="D52" s="175">
        <v>31243</v>
      </c>
      <c r="E52" s="43">
        <v>5</v>
      </c>
      <c r="F52" s="43">
        <f>500-500</f>
        <v>0</v>
      </c>
      <c r="G52" s="166">
        <f t="shared" si="15"/>
        <v>5</v>
      </c>
      <c r="H52" s="166">
        <f>150-150+125+150+50-325+20-20</f>
        <v>0</v>
      </c>
      <c r="I52" s="56">
        <f t="shared" si="16"/>
        <v>5</v>
      </c>
      <c r="J52" s="56">
        <f t="shared" si="17"/>
        <v>360000</v>
      </c>
      <c r="K52" s="57">
        <f t="shared" si="18"/>
        <v>156215</v>
      </c>
      <c r="L52"/>
      <c r="M52" s="314">
        <f t="shared" si="14"/>
        <v>0</v>
      </c>
      <c r="N52" s="310"/>
      <c r="O52" s="315"/>
      <c r="P52" s="315"/>
      <c r="Q52" s="315"/>
      <c r="R52" s="31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row>
    <row r="53" spans="1:113" x14ac:dyDescent="0.25">
      <c r="A53" s="152">
        <v>3</v>
      </c>
      <c r="B53" s="213" t="s">
        <v>807</v>
      </c>
      <c r="C53" s="219">
        <v>41000</v>
      </c>
      <c r="D53" s="175">
        <v>16147.9</v>
      </c>
      <c r="E53" s="43">
        <v>57</v>
      </c>
      <c r="F53" s="43">
        <f>500-500</f>
        <v>0</v>
      </c>
      <c r="G53" s="166">
        <f t="shared" si="15"/>
        <v>57</v>
      </c>
      <c r="H53" s="166">
        <f>30+10-40</f>
        <v>0</v>
      </c>
      <c r="I53" s="56">
        <f t="shared" si="16"/>
        <v>57</v>
      </c>
      <c r="J53" s="56">
        <f t="shared" si="17"/>
        <v>2337000</v>
      </c>
      <c r="K53" s="57">
        <f t="shared" si="18"/>
        <v>920430.29999999993</v>
      </c>
      <c r="L53"/>
      <c r="M53" s="314">
        <f t="shared" si="14"/>
        <v>0</v>
      </c>
      <c r="N53" s="310"/>
      <c r="O53" s="315"/>
      <c r="P53" s="315"/>
      <c r="Q53" s="315"/>
      <c r="R53" s="315"/>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row>
    <row r="54" spans="1:113" x14ac:dyDescent="0.25">
      <c r="A54" s="152">
        <v>4</v>
      </c>
      <c r="B54" s="60" t="s">
        <v>824</v>
      </c>
      <c r="C54" s="219">
        <v>129000</v>
      </c>
      <c r="D54" s="266">
        <v>59279</v>
      </c>
      <c r="E54" s="43">
        <v>20</v>
      </c>
      <c r="F54" s="43">
        <f>500-500</f>
        <v>0</v>
      </c>
      <c r="G54" s="166">
        <f t="shared" si="15"/>
        <v>20</v>
      </c>
      <c r="H54" s="166">
        <f>480-480</f>
        <v>0</v>
      </c>
      <c r="I54" s="56">
        <f t="shared" si="16"/>
        <v>20</v>
      </c>
      <c r="J54" s="56">
        <f t="shared" si="17"/>
        <v>2580000</v>
      </c>
      <c r="K54" s="57">
        <f t="shared" si="18"/>
        <v>1185580</v>
      </c>
      <c r="L54"/>
      <c r="M54" s="314">
        <f t="shared" si="14"/>
        <v>0</v>
      </c>
      <c r="N54" s="310"/>
      <c r="O54" s="315"/>
      <c r="P54" s="315"/>
      <c r="Q54" s="315"/>
      <c r="R54" s="31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row>
    <row r="55" spans="1:113" x14ac:dyDescent="0.25">
      <c r="A55" s="152">
        <v>5</v>
      </c>
      <c r="B55" s="60"/>
      <c r="C55" s="219"/>
      <c r="D55" s="175">
        <v>0</v>
      </c>
      <c r="E55" s="43">
        <v>0</v>
      </c>
      <c r="F55" s="43"/>
      <c r="G55" s="166">
        <f t="shared" si="15"/>
        <v>0</v>
      </c>
      <c r="H55" s="166"/>
      <c r="I55" s="56">
        <f t="shared" si="16"/>
        <v>0</v>
      </c>
      <c r="J55" s="56">
        <f t="shared" si="17"/>
        <v>0</v>
      </c>
      <c r="K55" s="57">
        <f t="shared" si="18"/>
        <v>0</v>
      </c>
      <c r="L55"/>
      <c r="M55" s="314">
        <f t="shared" si="14"/>
        <v>0</v>
      </c>
      <c r="N55" s="310"/>
      <c r="O55" s="315"/>
      <c r="P55" s="315"/>
      <c r="Q55" s="315"/>
      <c r="R55" s="315"/>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row>
    <row r="56" spans="1:113" x14ac:dyDescent="0.25">
      <c r="A56" s="152">
        <v>6</v>
      </c>
      <c r="B56" s="60"/>
      <c r="C56" s="219"/>
      <c r="D56" s="175">
        <v>0</v>
      </c>
      <c r="E56" s="43">
        <v>0</v>
      </c>
      <c r="F56" s="43"/>
      <c r="G56" s="166">
        <f t="shared" si="15"/>
        <v>0</v>
      </c>
      <c r="H56" s="166"/>
      <c r="I56" s="56">
        <f t="shared" si="16"/>
        <v>0</v>
      </c>
      <c r="J56" s="56">
        <f t="shared" si="17"/>
        <v>0</v>
      </c>
      <c r="K56" s="57">
        <f t="shared" si="18"/>
        <v>0</v>
      </c>
      <c r="L56"/>
      <c r="M56" s="314">
        <f t="shared" si="14"/>
        <v>0</v>
      </c>
      <c r="N56" s="310"/>
      <c r="O56" s="315"/>
      <c r="P56" s="315"/>
      <c r="Q56" s="315"/>
      <c r="R56" s="315"/>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55"/>
      <c r="CB56" s="55"/>
      <c r="CC56" s="55"/>
      <c r="CD56" s="55"/>
      <c r="CE56" s="55"/>
      <c r="CF56" s="55"/>
      <c r="CG56" s="55"/>
      <c r="CH56" s="55"/>
      <c r="CI56" s="55"/>
      <c r="CJ56" s="55"/>
      <c r="CK56" s="55"/>
      <c r="CL56" s="55"/>
      <c r="CM56" s="55"/>
      <c r="CN56" s="55"/>
      <c r="CO56" s="55"/>
      <c r="CP56" s="55"/>
      <c r="CQ56" s="55"/>
      <c r="CR56" s="55"/>
      <c r="CS56" s="55"/>
      <c r="CT56" s="55"/>
      <c r="CU56" s="55"/>
      <c r="CV56" s="55"/>
      <c r="CW56" s="55"/>
      <c r="CX56" s="55"/>
      <c r="CY56" s="55"/>
      <c r="CZ56" s="55"/>
      <c r="DA56" s="55"/>
      <c r="DB56" s="55"/>
      <c r="DC56" s="55"/>
      <c r="DD56" s="55"/>
      <c r="DE56" s="55"/>
      <c r="DF56" s="55"/>
      <c r="DG56" s="55"/>
      <c r="DH56" s="55"/>
      <c r="DI56" s="55"/>
    </row>
    <row r="57" spans="1:113" x14ac:dyDescent="0.25">
      <c r="A57" s="152">
        <v>7</v>
      </c>
      <c r="B57" s="60"/>
      <c r="C57" s="219"/>
      <c r="D57" s="175">
        <v>0</v>
      </c>
      <c r="E57" s="43">
        <v>0</v>
      </c>
      <c r="F57" s="43"/>
      <c r="G57" s="166">
        <f t="shared" si="15"/>
        <v>0</v>
      </c>
      <c r="H57" s="166"/>
      <c r="I57" s="56">
        <f t="shared" si="16"/>
        <v>0</v>
      </c>
      <c r="J57" s="56">
        <f t="shared" si="17"/>
        <v>0</v>
      </c>
      <c r="K57" s="57">
        <f t="shared" si="18"/>
        <v>0</v>
      </c>
      <c r="L57"/>
      <c r="M57" s="314">
        <f t="shared" si="14"/>
        <v>0</v>
      </c>
      <c r="N57" s="310"/>
      <c r="O57" s="315"/>
      <c r="P57" s="315"/>
      <c r="Q57" s="315"/>
      <c r="R57" s="315"/>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55"/>
      <c r="CB57" s="55"/>
      <c r="CC57" s="55"/>
      <c r="CD57" s="55"/>
      <c r="CE57" s="55"/>
      <c r="CF57" s="55"/>
      <c r="CG57" s="55"/>
      <c r="CH57" s="55"/>
      <c r="CI57" s="55"/>
      <c r="CJ57" s="55"/>
      <c r="CK57" s="55"/>
      <c r="CL57" s="55"/>
      <c r="CM57" s="55"/>
      <c r="CN57" s="55"/>
      <c r="CO57" s="55"/>
      <c r="CP57" s="55"/>
      <c r="CQ57" s="55"/>
      <c r="CR57" s="55"/>
      <c r="CS57" s="55"/>
      <c r="CT57" s="55"/>
      <c r="CU57" s="55"/>
      <c r="CV57" s="55"/>
      <c r="CW57" s="55"/>
      <c r="CX57" s="55"/>
      <c r="CY57" s="55"/>
      <c r="CZ57" s="55"/>
      <c r="DA57" s="55"/>
      <c r="DB57" s="55"/>
      <c r="DC57" s="55"/>
      <c r="DD57" s="55"/>
      <c r="DE57" s="55"/>
      <c r="DF57" s="55"/>
      <c r="DG57" s="55"/>
      <c r="DH57" s="55"/>
      <c r="DI57" s="55"/>
    </row>
    <row r="58" spans="1:113" x14ac:dyDescent="0.25">
      <c r="A58" s="152">
        <v>8</v>
      </c>
      <c r="B58" s="60"/>
      <c r="C58" s="219"/>
      <c r="D58" s="175">
        <v>0</v>
      </c>
      <c r="E58" s="43">
        <v>0</v>
      </c>
      <c r="F58" s="43"/>
      <c r="G58" s="166">
        <f t="shared" si="15"/>
        <v>0</v>
      </c>
      <c r="H58" s="166"/>
      <c r="I58" s="56">
        <f t="shared" si="16"/>
        <v>0</v>
      </c>
      <c r="J58" s="56">
        <f t="shared" si="17"/>
        <v>0</v>
      </c>
      <c r="K58" s="57">
        <f t="shared" si="18"/>
        <v>0</v>
      </c>
      <c r="L58"/>
      <c r="M58" s="314">
        <f t="shared" si="14"/>
        <v>0</v>
      </c>
      <c r="N58" s="310"/>
      <c r="O58" s="315"/>
      <c r="P58" s="315"/>
      <c r="Q58" s="315"/>
      <c r="R58" s="315"/>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55"/>
      <c r="CA58" s="55"/>
      <c r="CB58" s="55"/>
      <c r="CC58" s="55"/>
      <c r="CD58" s="55"/>
      <c r="CE58" s="55"/>
      <c r="CF58" s="55"/>
      <c r="CG58" s="55"/>
      <c r="CH58" s="55"/>
      <c r="CI58" s="55"/>
      <c r="CJ58" s="55"/>
      <c r="CK58" s="55"/>
      <c r="CL58" s="55"/>
      <c r="CM58" s="55"/>
      <c r="CN58" s="55"/>
      <c r="CO58" s="55"/>
      <c r="CP58" s="55"/>
      <c r="CQ58" s="55"/>
      <c r="CR58" s="55"/>
      <c r="CS58" s="55"/>
      <c r="CT58" s="55"/>
      <c r="CU58" s="55"/>
      <c r="CV58" s="55"/>
      <c r="CW58" s="55"/>
      <c r="CX58" s="55"/>
      <c r="CY58" s="55"/>
      <c r="CZ58" s="55"/>
      <c r="DA58" s="55"/>
      <c r="DB58" s="55"/>
      <c r="DC58" s="55"/>
      <c r="DD58" s="55"/>
      <c r="DE58" s="55"/>
      <c r="DF58" s="55"/>
      <c r="DG58" s="55"/>
      <c r="DH58" s="55"/>
      <c r="DI58" s="55"/>
    </row>
    <row r="59" spans="1:113" x14ac:dyDescent="0.25">
      <c r="A59" s="152">
        <v>9</v>
      </c>
      <c r="B59" s="60"/>
      <c r="C59" s="219"/>
      <c r="D59" s="175">
        <v>0</v>
      </c>
      <c r="E59" s="43">
        <v>0</v>
      </c>
      <c r="F59" s="43"/>
      <c r="G59" s="166">
        <f t="shared" si="15"/>
        <v>0</v>
      </c>
      <c r="H59" s="166"/>
      <c r="I59" s="56">
        <f t="shared" si="16"/>
        <v>0</v>
      </c>
      <c r="J59" s="56">
        <f t="shared" si="17"/>
        <v>0</v>
      </c>
      <c r="K59" s="57">
        <f t="shared" si="18"/>
        <v>0</v>
      </c>
      <c r="L59"/>
      <c r="M59" s="314">
        <f t="shared" si="14"/>
        <v>0</v>
      </c>
      <c r="N59" s="310"/>
      <c r="O59" s="315"/>
      <c r="P59" s="315"/>
      <c r="Q59" s="315"/>
      <c r="R59" s="31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55"/>
      <c r="CZ59" s="55"/>
      <c r="DA59" s="55"/>
      <c r="DB59" s="55"/>
      <c r="DC59" s="55"/>
      <c r="DD59" s="55"/>
      <c r="DE59" s="55"/>
      <c r="DF59" s="55"/>
      <c r="DG59" s="55"/>
      <c r="DH59" s="55"/>
      <c r="DI59" s="55"/>
    </row>
    <row r="60" spans="1:113" x14ac:dyDescent="0.25">
      <c r="A60" s="152">
        <v>10</v>
      </c>
      <c r="B60" s="60"/>
      <c r="C60" s="219"/>
      <c r="D60" s="175">
        <v>0</v>
      </c>
      <c r="E60" s="43">
        <v>0</v>
      </c>
      <c r="F60" s="43"/>
      <c r="G60" s="166">
        <f t="shared" si="15"/>
        <v>0</v>
      </c>
      <c r="H60" s="166"/>
      <c r="I60" s="56">
        <f t="shared" si="16"/>
        <v>0</v>
      </c>
      <c r="J60" s="56">
        <f t="shared" si="17"/>
        <v>0</v>
      </c>
      <c r="K60" s="57">
        <f t="shared" si="18"/>
        <v>0</v>
      </c>
      <c r="L60"/>
      <c r="M60" s="314">
        <f t="shared" si="14"/>
        <v>0</v>
      </c>
      <c r="N60" s="310"/>
      <c r="O60" s="315"/>
      <c r="P60" s="315"/>
      <c r="Q60" s="315"/>
      <c r="R60" s="31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row>
    <row r="61" spans="1:113" x14ac:dyDescent="0.25">
      <c r="A61" s="152">
        <v>11</v>
      </c>
      <c r="B61" s="60"/>
      <c r="C61" s="219"/>
      <c r="D61" s="175">
        <v>0</v>
      </c>
      <c r="E61" s="43">
        <v>0</v>
      </c>
      <c r="F61" s="43"/>
      <c r="G61" s="166">
        <f t="shared" si="15"/>
        <v>0</v>
      </c>
      <c r="H61" s="166"/>
      <c r="I61" s="56">
        <f t="shared" si="16"/>
        <v>0</v>
      </c>
      <c r="J61" s="56">
        <f t="shared" si="17"/>
        <v>0</v>
      </c>
      <c r="K61" s="57">
        <f t="shared" si="18"/>
        <v>0</v>
      </c>
      <c r="L61"/>
      <c r="M61" s="314">
        <f t="shared" si="14"/>
        <v>0</v>
      </c>
      <c r="N61" s="310"/>
      <c r="O61" s="315"/>
      <c r="P61" s="315"/>
      <c r="Q61" s="315"/>
      <c r="R61" s="31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55"/>
      <c r="CZ61" s="55"/>
      <c r="DA61" s="55"/>
      <c r="DB61" s="55"/>
      <c r="DC61" s="55"/>
      <c r="DD61" s="55"/>
      <c r="DE61" s="55"/>
      <c r="DF61" s="55"/>
      <c r="DG61" s="55"/>
      <c r="DH61" s="55"/>
      <c r="DI61" s="55"/>
    </row>
    <row r="62" spans="1:113" x14ac:dyDescent="0.25">
      <c r="A62" s="152">
        <v>12</v>
      </c>
      <c r="B62" s="60"/>
      <c r="C62" s="219"/>
      <c r="D62" s="175">
        <v>0</v>
      </c>
      <c r="E62" s="43">
        <v>0</v>
      </c>
      <c r="F62" s="43"/>
      <c r="G62" s="166">
        <f t="shared" si="15"/>
        <v>0</v>
      </c>
      <c r="H62" s="166"/>
      <c r="I62" s="56">
        <f t="shared" si="16"/>
        <v>0</v>
      </c>
      <c r="J62" s="56">
        <f t="shared" si="17"/>
        <v>0</v>
      </c>
      <c r="K62" s="57">
        <f t="shared" si="18"/>
        <v>0</v>
      </c>
      <c r="L62"/>
      <c r="M62" s="314">
        <f t="shared" si="14"/>
        <v>0</v>
      </c>
      <c r="N62" s="310"/>
      <c r="O62" s="315"/>
      <c r="P62" s="315"/>
      <c r="Q62" s="315"/>
      <c r="R62" s="31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row>
    <row r="63" spans="1:113" x14ac:dyDescent="0.25">
      <c r="A63" s="152">
        <v>13</v>
      </c>
      <c r="B63" s="60"/>
      <c r="C63" s="219"/>
      <c r="D63" s="193">
        <v>0</v>
      </c>
      <c r="E63" s="43">
        <v>0</v>
      </c>
      <c r="F63" s="43"/>
      <c r="G63" s="166">
        <f t="shared" si="15"/>
        <v>0</v>
      </c>
      <c r="H63" s="166"/>
      <c r="I63" s="56">
        <f t="shared" si="16"/>
        <v>0</v>
      </c>
      <c r="J63" s="56">
        <f t="shared" si="17"/>
        <v>0</v>
      </c>
      <c r="K63" s="57">
        <f t="shared" si="18"/>
        <v>0</v>
      </c>
      <c r="L63"/>
      <c r="M63" s="314">
        <f t="shared" si="14"/>
        <v>0</v>
      </c>
      <c r="N63" s="310"/>
      <c r="O63" s="315"/>
      <c r="P63" s="315"/>
      <c r="Q63" s="315"/>
      <c r="R63" s="31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c r="CN63" s="55"/>
      <c r="CO63" s="55"/>
      <c r="CP63" s="55"/>
      <c r="CQ63" s="55"/>
      <c r="CR63" s="55"/>
      <c r="CS63" s="55"/>
      <c r="CT63" s="55"/>
      <c r="CU63" s="55"/>
      <c r="CV63" s="55"/>
      <c r="CW63" s="55"/>
      <c r="CX63" s="55"/>
      <c r="CY63" s="55"/>
      <c r="CZ63" s="55"/>
      <c r="DA63" s="55"/>
      <c r="DB63" s="55"/>
      <c r="DC63" s="55"/>
      <c r="DD63" s="55"/>
      <c r="DE63" s="55"/>
      <c r="DF63" s="55"/>
      <c r="DG63" s="55"/>
      <c r="DH63" s="55"/>
      <c r="DI63" s="55"/>
    </row>
    <row r="64" spans="1:113" x14ac:dyDescent="0.25">
      <c r="A64" s="152">
        <v>14</v>
      </c>
      <c r="B64" s="60"/>
      <c r="C64" s="219"/>
      <c r="D64" s="193">
        <v>0</v>
      </c>
      <c r="E64" s="43">
        <v>0</v>
      </c>
      <c r="F64" s="43"/>
      <c r="G64" s="166">
        <f t="shared" si="15"/>
        <v>0</v>
      </c>
      <c r="H64" s="166"/>
      <c r="I64" s="56">
        <f t="shared" si="16"/>
        <v>0</v>
      </c>
      <c r="J64" s="56">
        <f t="shared" si="17"/>
        <v>0</v>
      </c>
      <c r="K64" s="57">
        <f t="shared" si="18"/>
        <v>0</v>
      </c>
      <c r="L64"/>
      <c r="M64" s="314">
        <f t="shared" si="14"/>
        <v>0</v>
      </c>
      <c r="N64" s="310"/>
      <c r="O64" s="315"/>
      <c r="P64" s="315"/>
      <c r="Q64" s="315"/>
      <c r="R64" s="31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55"/>
      <c r="CZ64" s="55"/>
      <c r="DA64" s="55"/>
      <c r="DB64" s="55"/>
      <c r="DC64" s="55"/>
      <c r="DD64" s="55"/>
      <c r="DE64" s="55"/>
      <c r="DF64" s="55"/>
      <c r="DG64" s="55"/>
      <c r="DH64" s="55"/>
      <c r="DI64" s="55"/>
    </row>
    <row r="65" spans="1:113" x14ac:dyDescent="0.25">
      <c r="A65" s="152">
        <v>15</v>
      </c>
      <c r="B65" s="60"/>
      <c r="C65" s="219"/>
      <c r="D65" s="193">
        <v>0</v>
      </c>
      <c r="E65" s="43">
        <v>0</v>
      </c>
      <c r="F65" s="43"/>
      <c r="G65" s="166">
        <f t="shared" si="15"/>
        <v>0</v>
      </c>
      <c r="H65" s="166"/>
      <c r="I65" s="56">
        <f t="shared" si="16"/>
        <v>0</v>
      </c>
      <c r="J65" s="56">
        <f t="shared" si="17"/>
        <v>0</v>
      </c>
      <c r="K65" s="57">
        <f t="shared" si="18"/>
        <v>0</v>
      </c>
      <c r="L65"/>
      <c r="M65" s="314">
        <f t="shared" si="14"/>
        <v>0</v>
      </c>
      <c r="N65" s="310"/>
      <c r="O65" s="315"/>
      <c r="P65" s="315"/>
      <c r="Q65" s="315"/>
      <c r="R65" s="31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BX65" s="55"/>
      <c r="BY65" s="55"/>
      <c r="BZ65" s="55"/>
      <c r="CA65" s="55"/>
      <c r="CB65" s="55"/>
      <c r="CC65" s="55"/>
      <c r="CD65" s="55"/>
      <c r="CE65" s="55"/>
      <c r="CF65" s="55"/>
      <c r="CG65" s="55"/>
      <c r="CH65" s="55"/>
      <c r="CI65" s="55"/>
      <c r="CJ65" s="55"/>
      <c r="CK65" s="55"/>
      <c r="CL65" s="55"/>
      <c r="CM65" s="55"/>
      <c r="CN65" s="55"/>
      <c r="CO65" s="55"/>
      <c r="CP65" s="55"/>
      <c r="CQ65" s="55"/>
      <c r="CR65" s="55"/>
      <c r="CS65" s="55"/>
      <c r="CT65" s="55"/>
      <c r="CU65" s="55"/>
      <c r="CV65" s="55"/>
      <c r="CW65" s="55"/>
      <c r="CX65" s="55"/>
      <c r="CY65" s="55"/>
      <c r="CZ65" s="55"/>
      <c r="DA65" s="55"/>
      <c r="DB65" s="55"/>
      <c r="DC65" s="55"/>
      <c r="DD65" s="55"/>
      <c r="DE65" s="55"/>
      <c r="DF65" s="55"/>
      <c r="DG65" s="55"/>
      <c r="DH65" s="55"/>
      <c r="DI65" s="55"/>
    </row>
    <row r="66" spans="1:113" ht="15.75" thickBot="1" x14ac:dyDescent="0.3">
      <c r="A66" s="58"/>
      <c r="B66" s="156"/>
      <c r="C66" s="156"/>
      <c r="D66" s="192"/>
      <c r="E66" s="154"/>
      <c r="F66" s="154"/>
      <c r="G66" s="197">
        <f t="shared" si="15"/>
        <v>0</v>
      </c>
      <c r="H66" s="197"/>
      <c r="I66" s="64">
        <f t="shared" si="16"/>
        <v>0</v>
      </c>
      <c r="J66" s="64">
        <f t="shared" si="17"/>
        <v>0</v>
      </c>
      <c r="K66" s="65">
        <f t="shared" si="18"/>
        <v>0</v>
      </c>
      <c r="L66"/>
      <c r="M66" s="314">
        <f t="shared" si="14"/>
        <v>0</v>
      </c>
      <c r="N66" s="310"/>
      <c r="O66" s="315"/>
      <c r="P66" s="315"/>
      <c r="Q66" s="315"/>
      <c r="R66" s="315"/>
      <c r="S66" s="55"/>
      <c r="T66" s="55"/>
      <c r="U66" s="55"/>
      <c r="V66" s="55"/>
      <c r="W66" s="55"/>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c r="BM66" s="55"/>
      <c r="BN66" s="55"/>
      <c r="BO66" s="55"/>
      <c r="BP66" s="55"/>
      <c r="BQ66" s="55"/>
      <c r="BR66" s="55"/>
      <c r="BS66" s="55"/>
      <c r="BT66" s="55"/>
      <c r="BU66" s="55"/>
      <c r="BV66" s="55"/>
      <c r="BW66" s="55"/>
      <c r="BX66" s="55"/>
      <c r="BY66" s="55"/>
      <c r="BZ66" s="55"/>
      <c r="CA66" s="55"/>
      <c r="CB66" s="55"/>
      <c r="CC66" s="55"/>
      <c r="CD66" s="55"/>
      <c r="CE66" s="55"/>
      <c r="CF66" s="55"/>
      <c r="CG66" s="55"/>
      <c r="CH66" s="55"/>
      <c r="CI66" s="55"/>
      <c r="CJ66" s="55"/>
      <c r="CK66" s="55"/>
      <c r="CL66" s="55"/>
      <c r="CM66" s="55"/>
      <c r="CN66" s="55"/>
      <c r="CO66" s="55"/>
      <c r="CP66" s="55"/>
      <c r="CQ66" s="55"/>
      <c r="CR66" s="55"/>
      <c r="CS66" s="55"/>
      <c r="CT66" s="55"/>
      <c r="CU66" s="55"/>
      <c r="CV66" s="55"/>
      <c r="CW66" s="55"/>
      <c r="CX66" s="55"/>
      <c r="CY66" s="55"/>
      <c r="CZ66" s="55"/>
      <c r="DA66" s="55"/>
      <c r="DB66" s="55"/>
      <c r="DC66" s="55"/>
      <c r="DD66" s="55"/>
      <c r="DE66" s="55"/>
      <c r="DF66" s="55"/>
      <c r="DG66" s="55"/>
      <c r="DH66" s="55"/>
      <c r="DI66" s="55"/>
    </row>
    <row r="67" spans="1:113" ht="15.75" thickBot="1" x14ac:dyDescent="0.3">
      <c r="A67" s="128"/>
      <c r="B67" s="41" t="s">
        <v>768</v>
      </c>
      <c r="C67" s="36"/>
      <c r="D67" s="36"/>
      <c r="E67" s="29">
        <f t="shared" ref="E67:K67" si="19">SUM(E51:E66)</f>
        <v>152</v>
      </c>
      <c r="F67" s="29">
        <f t="shared" si="19"/>
        <v>0</v>
      </c>
      <c r="G67" s="29">
        <f t="shared" si="19"/>
        <v>152</v>
      </c>
      <c r="H67" s="29">
        <f t="shared" si="19"/>
        <v>0</v>
      </c>
      <c r="I67" s="36">
        <f t="shared" si="19"/>
        <v>152</v>
      </c>
      <c r="J67" s="29">
        <f t="shared" si="19"/>
        <v>8217000</v>
      </c>
      <c r="K67" s="149">
        <f t="shared" si="19"/>
        <v>3090844</v>
      </c>
      <c r="L67"/>
      <c r="M67" s="322">
        <f t="shared" ref="M67" si="20">SUM(N67:DJ67)</f>
        <v>0</v>
      </c>
      <c r="N67" s="325"/>
      <c r="O67" s="325"/>
      <c r="P67" s="325"/>
      <c r="Q67" s="325"/>
      <c r="R67" s="325"/>
      <c r="S67" s="324"/>
      <c r="T67" s="324"/>
      <c r="U67" s="324"/>
      <c r="V67" s="324"/>
      <c r="W67" s="324"/>
      <c r="X67" s="324"/>
      <c r="Y67" s="324"/>
      <c r="Z67" s="324"/>
      <c r="AA67" s="324"/>
      <c r="AB67" s="324"/>
      <c r="AC67" s="324"/>
      <c r="AD67" s="324"/>
      <c r="AE67" s="324"/>
      <c r="AF67" s="324"/>
      <c r="AG67" s="324"/>
      <c r="AH67" s="324"/>
      <c r="AI67" s="324"/>
      <c r="AJ67" s="324"/>
      <c r="AK67" s="324"/>
      <c r="AL67" s="324"/>
      <c r="AM67" s="324"/>
      <c r="AN67" s="324"/>
      <c r="AO67" s="324"/>
      <c r="AP67" s="324"/>
      <c r="AQ67" s="324"/>
      <c r="AR67" s="324"/>
      <c r="AS67" s="324"/>
      <c r="AT67" s="324"/>
      <c r="AU67" s="324"/>
      <c r="AV67" s="324"/>
      <c r="AW67" s="324"/>
      <c r="AX67" s="324"/>
      <c r="AY67" s="324"/>
      <c r="AZ67" s="324"/>
      <c r="BA67" s="324"/>
      <c r="BB67" s="324"/>
      <c r="BC67" s="324"/>
      <c r="BD67" s="324"/>
      <c r="BE67" s="324"/>
      <c r="BF67" s="324"/>
      <c r="BG67" s="324"/>
      <c r="BH67" s="324"/>
      <c r="BI67" s="324"/>
      <c r="BJ67" s="324"/>
      <c r="BK67" s="324"/>
      <c r="BL67" s="324"/>
      <c r="BM67" s="324"/>
      <c r="BN67" s="324"/>
      <c r="BO67" s="324"/>
      <c r="BP67" s="324"/>
      <c r="BQ67" s="324"/>
      <c r="BR67" s="324"/>
      <c r="BS67" s="324"/>
      <c r="BT67" s="324"/>
      <c r="BU67" s="324"/>
      <c r="BV67" s="324"/>
      <c r="BW67" s="324"/>
      <c r="BX67" s="324"/>
      <c r="BY67" s="324"/>
      <c r="BZ67" s="324"/>
      <c r="CA67" s="324"/>
      <c r="CB67" s="324"/>
      <c r="CC67" s="324"/>
      <c r="CD67" s="324"/>
      <c r="CE67" s="324"/>
      <c r="CF67" s="324"/>
      <c r="CG67" s="324"/>
      <c r="CH67" s="324"/>
      <c r="CI67" s="324"/>
      <c r="CJ67" s="324"/>
      <c r="CK67" s="324"/>
      <c r="CL67" s="324"/>
      <c r="CM67" s="324"/>
      <c r="CN67" s="324"/>
      <c r="CO67" s="324"/>
      <c r="CP67" s="324"/>
      <c r="CQ67" s="324"/>
      <c r="CR67" s="324"/>
      <c r="CS67" s="324"/>
      <c r="CT67" s="324"/>
      <c r="CU67" s="324"/>
      <c r="CV67" s="324"/>
      <c r="CW67" s="324"/>
      <c r="CX67" s="324"/>
      <c r="CY67" s="324"/>
      <c r="CZ67" s="324"/>
      <c r="DA67" s="324"/>
      <c r="DB67" s="324"/>
      <c r="DC67" s="324"/>
      <c r="DD67" s="324"/>
      <c r="DE67" s="324"/>
      <c r="DF67" s="324"/>
      <c r="DG67" s="324"/>
      <c r="DH67" s="324"/>
      <c r="DI67" s="324"/>
    </row>
    <row r="68" spans="1:113" x14ac:dyDescent="0.25">
      <c r="L68"/>
      <c r="M68"/>
      <c r="N68"/>
      <c r="O68"/>
      <c r="P68"/>
      <c r="Q68"/>
      <c r="R68"/>
      <c r="S68"/>
      <c r="T68"/>
      <c r="U68"/>
      <c r="V68"/>
      <c r="W68"/>
      <c r="X68"/>
      <c r="Y68"/>
      <c r="Z68"/>
      <c r="AA68"/>
      <c r="AB68"/>
    </row>
    <row r="69" spans="1:113" x14ac:dyDescent="0.25">
      <c r="L69"/>
      <c r="M69"/>
      <c r="N69"/>
      <c r="O69"/>
      <c r="P69"/>
      <c r="Q69"/>
      <c r="R69"/>
      <c r="S69"/>
      <c r="T69"/>
      <c r="U69"/>
      <c r="V69"/>
      <c r="W69"/>
      <c r="X69"/>
      <c r="Y69"/>
      <c r="Z69"/>
      <c r="AA69"/>
      <c r="AB69"/>
    </row>
    <row r="70" spans="1:113" x14ac:dyDescent="0.25">
      <c r="L70"/>
      <c r="M70"/>
      <c r="N70"/>
      <c r="O70"/>
      <c r="P70"/>
      <c r="Q70"/>
      <c r="R70"/>
      <c r="S70"/>
      <c r="T70"/>
      <c r="U70"/>
      <c r="V70"/>
      <c r="W70"/>
      <c r="X70"/>
      <c r="Y70"/>
      <c r="Z70"/>
      <c r="AA70"/>
      <c r="AB70"/>
    </row>
    <row r="71" spans="1:113" ht="15.75" thickBot="1" x14ac:dyDescent="0.3">
      <c r="L71"/>
      <c r="M71"/>
      <c r="N71"/>
      <c r="O71"/>
      <c r="P71"/>
      <c r="Q71"/>
      <c r="R71"/>
      <c r="S71"/>
      <c r="T71"/>
      <c r="U71"/>
      <c r="V71"/>
      <c r="W71"/>
      <c r="X71"/>
      <c r="Y71"/>
      <c r="Z71"/>
      <c r="AA71"/>
      <c r="AB71"/>
    </row>
    <row r="72" spans="1:113" ht="15.75" thickBot="1" x14ac:dyDescent="0.3">
      <c r="A72" s="128"/>
      <c r="B72" s="36" t="s">
        <v>617</v>
      </c>
      <c r="C72" s="36"/>
      <c r="D72" s="36"/>
      <c r="E72" s="35">
        <f>E23+E45+E67</f>
        <v>4143</v>
      </c>
      <c r="F72" s="35">
        <f t="shared" ref="F72:K72" si="21">F23+F45+F67</f>
        <v>0</v>
      </c>
      <c r="G72" s="35">
        <f t="shared" si="21"/>
        <v>4143</v>
      </c>
      <c r="H72" s="35">
        <f t="shared" si="21"/>
        <v>0</v>
      </c>
      <c r="I72" s="35">
        <f t="shared" si="21"/>
        <v>4143</v>
      </c>
      <c r="J72" s="35">
        <f t="shared" si="21"/>
        <v>157714000</v>
      </c>
      <c r="K72" s="198">
        <f t="shared" si="21"/>
        <v>42011483.68</v>
      </c>
      <c r="L72"/>
      <c r="M72"/>
      <c r="N72"/>
      <c r="O72"/>
      <c r="P72"/>
      <c r="Q72"/>
      <c r="R72"/>
      <c r="S72"/>
      <c r="T72"/>
      <c r="U72"/>
      <c r="V72"/>
      <c r="W72"/>
      <c r="X72"/>
      <c r="Y72"/>
      <c r="Z72"/>
      <c r="AA72"/>
      <c r="AB72"/>
    </row>
    <row r="73" spans="1:113" x14ac:dyDescent="0.25">
      <c r="L73"/>
      <c r="M73"/>
      <c r="N73"/>
      <c r="O73"/>
      <c r="P73"/>
      <c r="Q73"/>
      <c r="R73"/>
      <c r="S73"/>
      <c r="T73"/>
      <c r="U73"/>
      <c r="V73"/>
      <c r="W73"/>
      <c r="X73"/>
      <c r="Y73"/>
      <c r="Z73"/>
      <c r="AA73"/>
      <c r="AB73"/>
    </row>
    <row r="79" spans="1:113" x14ac:dyDescent="0.25">
      <c r="E79" s="186"/>
      <c r="F79" s="186"/>
      <c r="G79" s="186"/>
      <c r="H79" s="186"/>
      <c r="I79" s="186"/>
      <c r="J79" s="186"/>
      <c r="K79" s="186"/>
    </row>
  </sheetData>
  <mergeCells count="327">
    <mergeCell ref="J47:J48"/>
    <mergeCell ref="K47:K48"/>
    <mergeCell ref="A47:A49"/>
    <mergeCell ref="B47:B48"/>
    <mergeCell ref="C47:C48"/>
    <mergeCell ref="D47:D48"/>
    <mergeCell ref="E47:I47"/>
    <mergeCell ref="K3:K4"/>
    <mergeCell ref="A25:A27"/>
    <mergeCell ref="B25:B26"/>
    <mergeCell ref="C25:C26"/>
    <mergeCell ref="D25:D26"/>
    <mergeCell ref="J25:J26"/>
    <mergeCell ref="K25:K26"/>
    <mergeCell ref="A3:A5"/>
    <mergeCell ref="B3:B4"/>
    <mergeCell ref="C3:C4"/>
    <mergeCell ref="D3:D4"/>
    <mergeCell ref="J3:J4"/>
    <mergeCell ref="E3:I3"/>
    <mergeCell ref="E25:I25"/>
    <mergeCell ref="AB48:AB49"/>
    <mergeCell ref="AC48:AC49"/>
    <mergeCell ref="AD48:AD49"/>
    <mergeCell ref="AE48:AE49"/>
    <mergeCell ref="AF48:AF49"/>
    <mergeCell ref="M47:M49"/>
    <mergeCell ref="N47:DI47"/>
    <mergeCell ref="N48:N49"/>
    <mergeCell ref="O48:O49"/>
    <mergeCell ref="P48:P49"/>
    <mergeCell ref="Q48:Q49"/>
    <mergeCell ref="R48:R49"/>
    <mergeCell ref="S48:S49"/>
    <mergeCell ref="T48:T49"/>
    <mergeCell ref="U48:U49"/>
    <mergeCell ref="V48:V49"/>
    <mergeCell ref="W48:W49"/>
    <mergeCell ref="X48:X49"/>
    <mergeCell ref="Y48:Y49"/>
    <mergeCell ref="Z48:Z49"/>
    <mergeCell ref="AA48:AA49"/>
    <mergeCell ref="AL48:AL49"/>
    <mergeCell ref="AM48:AM49"/>
    <mergeCell ref="AN48:AN49"/>
    <mergeCell ref="AO48:AO49"/>
    <mergeCell ref="AP48:AP49"/>
    <mergeCell ref="AG48:AG49"/>
    <mergeCell ref="AH48:AH49"/>
    <mergeCell ref="AI48:AI49"/>
    <mergeCell ref="AJ48:AJ49"/>
    <mergeCell ref="AK48:AK49"/>
    <mergeCell ref="AV48:AV49"/>
    <mergeCell ref="AW48:AW49"/>
    <mergeCell ref="AX48:AX49"/>
    <mergeCell ref="AY48:AY49"/>
    <mergeCell ref="AZ48:AZ49"/>
    <mergeCell ref="AQ48:AQ49"/>
    <mergeCell ref="AR48:AR49"/>
    <mergeCell ref="AS48:AS49"/>
    <mergeCell ref="AT48:AT49"/>
    <mergeCell ref="AU48:AU49"/>
    <mergeCell ref="BF48:BF49"/>
    <mergeCell ref="BG48:BG49"/>
    <mergeCell ref="BH48:BH49"/>
    <mergeCell ref="BI48:BI49"/>
    <mergeCell ref="BJ48:BJ49"/>
    <mergeCell ref="BA48:BA49"/>
    <mergeCell ref="BB48:BB49"/>
    <mergeCell ref="BC48:BC49"/>
    <mergeCell ref="BD48:BD49"/>
    <mergeCell ref="BE48:BE49"/>
    <mergeCell ref="BP48:BP49"/>
    <mergeCell ref="BQ48:BQ49"/>
    <mergeCell ref="BR48:BR49"/>
    <mergeCell ref="BS48:BS49"/>
    <mergeCell ref="BT48:BT49"/>
    <mergeCell ref="BK48:BK49"/>
    <mergeCell ref="BL48:BL49"/>
    <mergeCell ref="BM48:BM49"/>
    <mergeCell ref="BN48:BN49"/>
    <mergeCell ref="BO48:BO49"/>
    <mergeCell ref="BZ48:BZ49"/>
    <mergeCell ref="CA48:CA49"/>
    <mergeCell ref="CB48:CB49"/>
    <mergeCell ref="CC48:CC49"/>
    <mergeCell ref="CD48:CD49"/>
    <mergeCell ref="BU48:BU49"/>
    <mergeCell ref="BV48:BV49"/>
    <mergeCell ref="BW48:BW49"/>
    <mergeCell ref="BX48:BX49"/>
    <mergeCell ref="BY48:BY49"/>
    <mergeCell ref="CJ48:CJ49"/>
    <mergeCell ref="CK48:CK49"/>
    <mergeCell ref="CL48:CL49"/>
    <mergeCell ref="CM48:CM49"/>
    <mergeCell ref="CN48:CN49"/>
    <mergeCell ref="CE48:CE49"/>
    <mergeCell ref="CF48:CF49"/>
    <mergeCell ref="CG48:CG49"/>
    <mergeCell ref="CH48:CH49"/>
    <mergeCell ref="CI48:CI49"/>
    <mergeCell ref="DB48:DB49"/>
    <mergeCell ref="DC48:DC49"/>
    <mergeCell ref="CT48:CT49"/>
    <mergeCell ref="CU48:CU49"/>
    <mergeCell ref="CV48:CV49"/>
    <mergeCell ref="CW48:CW49"/>
    <mergeCell ref="CX48:CX49"/>
    <mergeCell ref="CO48:CO49"/>
    <mergeCell ref="CP48:CP49"/>
    <mergeCell ref="CQ48:CQ49"/>
    <mergeCell ref="CR48:CR49"/>
    <mergeCell ref="CS48:CS49"/>
    <mergeCell ref="DI48:DI49"/>
    <mergeCell ref="M25:M27"/>
    <mergeCell ref="N25:DI25"/>
    <mergeCell ref="N26:N27"/>
    <mergeCell ref="O26:O27"/>
    <mergeCell ref="P26:P27"/>
    <mergeCell ref="Q26:Q27"/>
    <mergeCell ref="R26:R27"/>
    <mergeCell ref="S26:S27"/>
    <mergeCell ref="T26:T27"/>
    <mergeCell ref="U26:U27"/>
    <mergeCell ref="V26:V27"/>
    <mergeCell ref="W26:W27"/>
    <mergeCell ref="X26:X27"/>
    <mergeCell ref="Y26:Y27"/>
    <mergeCell ref="Z26:Z27"/>
    <mergeCell ref="DD48:DD49"/>
    <mergeCell ref="DE48:DE49"/>
    <mergeCell ref="DF48:DF49"/>
    <mergeCell ref="DG48:DG49"/>
    <mergeCell ref="DH48:DH49"/>
    <mergeCell ref="CY48:CY49"/>
    <mergeCell ref="CZ48:CZ49"/>
    <mergeCell ref="DA48:DA49"/>
    <mergeCell ref="AF26:AF27"/>
    <mergeCell ref="AG26:AG27"/>
    <mergeCell ref="AH26:AH27"/>
    <mergeCell ref="AI26:AI27"/>
    <mergeCell ref="AJ26:AJ27"/>
    <mergeCell ref="AA26:AA27"/>
    <mergeCell ref="AB26:AB27"/>
    <mergeCell ref="AC26:AC27"/>
    <mergeCell ref="AD26:AD27"/>
    <mergeCell ref="AE26:AE27"/>
    <mergeCell ref="AP26:AP27"/>
    <mergeCell ref="AQ26:AQ27"/>
    <mergeCell ref="AR26:AR27"/>
    <mergeCell ref="AS26:AS27"/>
    <mergeCell ref="AT26:AT27"/>
    <mergeCell ref="AK26:AK27"/>
    <mergeCell ref="AL26:AL27"/>
    <mergeCell ref="AM26:AM27"/>
    <mergeCell ref="AN26:AN27"/>
    <mergeCell ref="AO26:AO27"/>
    <mergeCell ref="AZ26:AZ27"/>
    <mergeCell ref="BA26:BA27"/>
    <mergeCell ref="BB26:BB27"/>
    <mergeCell ref="BC26:BC27"/>
    <mergeCell ref="BD26:BD27"/>
    <mergeCell ref="AU26:AU27"/>
    <mergeCell ref="AV26:AV27"/>
    <mergeCell ref="AW26:AW27"/>
    <mergeCell ref="AX26:AX27"/>
    <mergeCell ref="AY26:AY27"/>
    <mergeCell ref="BJ26:BJ27"/>
    <mergeCell ref="BK26:BK27"/>
    <mergeCell ref="BL26:BL27"/>
    <mergeCell ref="BM26:BM27"/>
    <mergeCell ref="BN26:BN27"/>
    <mergeCell ref="BE26:BE27"/>
    <mergeCell ref="BF26:BF27"/>
    <mergeCell ref="BG26:BG27"/>
    <mergeCell ref="BH26:BH27"/>
    <mergeCell ref="BI26:BI27"/>
    <mergeCell ref="BT26:BT27"/>
    <mergeCell ref="BU26:BU27"/>
    <mergeCell ref="BV26:BV27"/>
    <mergeCell ref="BW26:BW27"/>
    <mergeCell ref="BX26:BX27"/>
    <mergeCell ref="BO26:BO27"/>
    <mergeCell ref="BP26:BP27"/>
    <mergeCell ref="BQ26:BQ27"/>
    <mergeCell ref="BR26:BR27"/>
    <mergeCell ref="BS26:BS27"/>
    <mergeCell ref="CD26:CD27"/>
    <mergeCell ref="CE26:CE27"/>
    <mergeCell ref="CF26:CF27"/>
    <mergeCell ref="CG26:CG27"/>
    <mergeCell ref="CH26:CH27"/>
    <mergeCell ref="BY26:BY27"/>
    <mergeCell ref="BZ26:BZ27"/>
    <mergeCell ref="CA26:CA27"/>
    <mergeCell ref="CB26:CB27"/>
    <mergeCell ref="CC26:CC27"/>
    <mergeCell ref="CN26:CN27"/>
    <mergeCell ref="CO26:CO27"/>
    <mergeCell ref="CP26:CP27"/>
    <mergeCell ref="CQ26:CQ27"/>
    <mergeCell ref="CR26:CR27"/>
    <mergeCell ref="CI26:CI27"/>
    <mergeCell ref="CJ26:CJ27"/>
    <mergeCell ref="CK26:CK27"/>
    <mergeCell ref="CL26:CL27"/>
    <mergeCell ref="CM26:CM27"/>
    <mergeCell ref="DF26:DF27"/>
    <mergeCell ref="DG26:DG27"/>
    <mergeCell ref="CX26:CX27"/>
    <mergeCell ref="CY26:CY27"/>
    <mergeCell ref="CZ26:CZ27"/>
    <mergeCell ref="DA26:DA27"/>
    <mergeCell ref="DB26:DB27"/>
    <mergeCell ref="CS26:CS27"/>
    <mergeCell ref="CT26:CT27"/>
    <mergeCell ref="CU26:CU27"/>
    <mergeCell ref="CV26:CV27"/>
    <mergeCell ref="CW26:CW27"/>
    <mergeCell ref="Z4:Z5"/>
    <mergeCell ref="AA4:AA5"/>
    <mergeCell ref="AB4:AB5"/>
    <mergeCell ref="AC4:AC5"/>
    <mergeCell ref="AD4:AD5"/>
    <mergeCell ref="DH26:DH27"/>
    <mergeCell ref="DI26:DI27"/>
    <mergeCell ref="M3:M5"/>
    <mergeCell ref="N3:DI3"/>
    <mergeCell ref="N4:N5"/>
    <mergeCell ref="O4:O5"/>
    <mergeCell ref="P4:P5"/>
    <mergeCell ref="Q4:Q5"/>
    <mergeCell ref="R4:R5"/>
    <mergeCell ref="S4:S5"/>
    <mergeCell ref="T4:T5"/>
    <mergeCell ref="U4:U5"/>
    <mergeCell ref="V4:V5"/>
    <mergeCell ref="W4:W5"/>
    <mergeCell ref="X4:X5"/>
    <mergeCell ref="Y4:Y5"/>
    <mergeCell ref="DC26:DC27"/>
    <mergeCell ref="DD26:DD27"/>
    <mergeCell ref="DE26:DE27"/>
    <mergeCell ref="AJ4:AJ5"/>
    <mergeCell ref="AK4:AK5"/>
    <mergeCell ref="AL4:AL5"/>
    <mergeCell ref="AM4:AM5"/>
    <mergeCell ref="AN4:AN5"/>
    <mergeCell ref="AE4:AE5"/>
    <mergeCell ref="AF4:AF5"/>
    <mergeCell ref="AG4:AG5"/>
    <mergeCell ref="AH4:AH5"/>
    <mergeCell ref="AI4:AI5"/>
    <mergeCell ref="AT4:AT5"/>
    <mergeCell ref="AU4:AU5"/>
    <mergeCell ref="AV4:AV5"/>
    <mergeCell ref="AW4:AW5"/>
    <mergeCell ref="AX4:AX5"/>
    <mergeCell ref="AO4:AO5"/>
    <mergeCell ref="AP4:AP5"/>
    <mergeCell ref="AQ4:AQ5"/>
    <mergeCell ref="AR4:AR5"/>
    <mergeCell ref="AS4:AS5"/>
    <mergeCell ref="BD4:BD5"/>
    <mergeCell ref="BE4:BE5"/>
    <mergeCell ref="BF4:BF5"/>
    <mergeCell ref="BG4:BG5"/>
    <mergeCell ref="BH4:BH5"/>
    <mergeCell ref="AY4:AY5"/>
    <mergeCell ref="AZ4:AZ5"/>
    <mergeCell ref="BA4:BA5"/>
    <mergeCell ref="BB4:BB5"/>
    <mergeCell ref="BC4:BC5"/>
    <mergeCell ref="BN4:BN5"/>
    <mergeCell ref="BO4:BO5"/>
    <mergeCell ref="BP4:BP5"/>
    <mergeCell ref="BQ4:BQ5"/>
    <mergeCell ref="BR4:BR5"/>
    <mergeCell ref="BI4:BI5"/>
    <mergeCell ref="BJ4:BJ5"/>
    <mergeCell ref="BK4:BK5"/>
    <mergeCell ref="BL4:BL5"/>
    <mergeCell ref="BM4:BM5"/>
    <mergeCell ref="BX4:BX5"/>
    <mergeCell ref="BY4:BY5"/>
    <mergeCell ref="BZ4:BZ5"/>
    <mergeCell ref="CA4:CA5"/>
    <mergeCell ref="CB4:CB5"/>
    <mergeCell ref="BS4:BS5"/>
    <mergeCell ref="BT4:BT5"/>
    <mergeCell ref="BU4:BU5"/>
    <mergeCell ref="BV4:BV5"/>
    <mergeCell ref="BW4:BW5"/>
    <mergeCell ref="CH4:CH5"/>
    <mergeCell ref="CI4:CI5"/>
    <mergeCell ref="CJ4:CJ5"/>
    <mergeCell ref="CK4:CK5"/>
    <mergeCell ref="CL4:CL5"/>
    <mergeCell ref="CC4:CC5"/>
    <mergeCell ref="CD4:CD5"/>
    <mergeCell ref="CE4:CE5"/>
    <mergeCell ref="CF4:CF5"/>
    <mergeCell ref="CG4:CG5"/>
    <mergeCell ref="CR4:CR5"/>
    <mergeCell ref="CS4:CS5"/>
    <mergeCell ref="CT4:CT5"/>
    <mergeCell ref="CU4:CU5"/>
    <mergeCell ref="CV4:CV5"/>
    <mergeCell ref="CM4:CM5"/>
    <mergeCell ref="CN4:CN5"/>
    <mergeCell ref="CO4:CO5"/>
    <mergeCell ref="CP4:CP5"/>
    <mergeCell ref="CQ4:CQ5"/>
    <mergeCell ref="DG4:DG5"/>
    <mergeCell ref="DH4:DH5"/>
    <mergeCell ref="DI4:DI5"/>
    <mergeCell ref="DB4:DB5"/>
    <mergeCell ref="DC4:DC5"/>
    <mergeCell ref="DD4:DD5"/>
    <mergeCell ref="DE4:DE5"/>
    <mergeCell ref="DF4:DF5"/>
    <mergeCell ref="CW4:CW5"/>
    <mergeCell ref="CX4:CX5"/>
    <mergeCell ref="CY4:CY5"/>
    <mergeCell ref="CZ4:CZ5"/>
    <mergeCell ref="DA4:DA5"/>
  </mergeCells>
  <pageMargins left="0" right="0" top="0.19685039370078741" bottom="0.19685039370078741" header="0.19685039370078741" footer="0.19685039370078741"/>
  <pageSetup paperSize="9" scale="84" orientation="landscape" horizontalDpi="120" verticalDpi="72"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Y73"/>
  <sheetViews>
    <sheetView topLeftCell="A5" workbookViewId="0">
      <selection activeCell="D23" sqref="D23"/>
    </sheetView>
  </sheetViews>
  <sheetFormatPr defaultRowHeight="15" x14ac:dyDescent="0.25"/>
  <cols>
    <col min="1" max="1" width="21.7109375" customWidth="1"/>
    <col min="2" max="2" width="14.28515625" customWidth="1"/>
    <col min="3" max="3" width="15.28515625" customWidth="1"/>
    <col min="4" max="4" width="17.7109375" customWidth="1"/>
    <col min="5" max="5" width="11.5703125" customWidth="1"/>
    <col min="6" max="6" width="13.85546875" customWidth="1"/>
    <col min="7" max="7" width="19.7109375" customWidth="1"/>
    <col min="8" max="8" width="14.42578125" customWidth="1"/>
    <col min="9" max="9" width="12" bestFit="1" customWidth="1"/>
    <col min="10" max="10" width="10.5703125" bestFit="1" customWidth="1"/>
    <col min="11" max="11" width="15.28515625" bestFit="1" customWidth="1"/>
    <col min="12" max="12" width="14.28515625" bestFit="1" customWidth="1"/>
    <col min="14" max="15" width="12.5703125" bestFit="1" customWidth="1"/>
    <col min="17" max="17" width="10.5703125" bestFit="1" customWidth="1"/>
    <col min="18" max="18" width="15.28515625" bestFit="1" customWidth="1"/>
    <col min="19" max="19" width="14.28515625" bestFit="1" customWidth="1"/>
    <col min="21" max="21" width="12" bestFit="1" customWidth="1"/>
    <col min="23" max="23" width="9.28515625" bestFit="1" customWidth="1"/>
    <col min="24" max="24" width="12.5703125" bestFit="1" customWidth="1"/>
    <col min="25" max="25" width="11.5703125" bestFit="1" customWidth="1"/>
  </cols>
  <sheetData>
    <row r="3" spans="1:25" ht="15.75" x14ac:dyDescent="0.25">
      <c r="A3" s="422" t="s">
        <v>588</v>
      </c>
      <c r="B3" s="422"/>
      <c r="C3" s="422"/>
      <c r="D3" s="422"/>
      <c r="E3" s="422"/>
      <c r="F3" s="422"/>
    </row>
    <row r="4" spans="1:25" x14ac:dyDescent="0.25">
      <c r="A4" s="423" t="s">
        <v>923</v>
      </c>
      <c r="B4" s="424"/>
      <c r="C4" s="424"/>
      <c r="D4" s="424"/>
      <c r="E4" s="424"/>
      <c r="F4" s="424"/>
    </row>
    <row r="5" spans="1:25" ht="15.75" thickBot="1" x14ac:dyDescent="0.3">
      <c r="A5" s="2"/>
      <c r="B5" s="2"/>
      <c r="C5" s="2"/>
      <c r="D5" s="2"/>
      <c r="E5" s="2"/>
      <c r="F5" s="2"/>
    </row>
    <row r="6" spans="1:25" ht="39" thickBot="1" x14ac:dyDescent="0.3">
      <c r="A6" s="3" t="s">
        <v>541</v>
      </c>
      <c r="B6" s="4" t="s">
        <v>22</v>
      </c>
      <c r="C6" s="4" t="s">
        <v>600</v>
      </c>
      <c r="D6" s="4" t="s">
        <v>20</v>
      </c>
      <c r="E6" s="5" t="s">
        <v>589</v>
      </c>
      <c r="F6" s="5" t="s">
        <v>601</v>
      </c>
      <c r="G6" s="5" t="s">
        <v>603</v>
      </c>
      <c r="H6" s="5" t="s">
        <v>602</v>
      </c>
    </row>
    <row r="7" spans="1:25" x14ac:dyDescent="0.25">
      <c r="A7" s="6"/>
      <c r="B7" s="7"/>
      <c r="C7" s="7"/>
      <c r="D7" s="7"/>
      <c r="E7" s="8"/>
      <c r="F7" s="20"/>
      <c r="G7" s="6"/>
      <c r="H7" s="25"/>
      <c r="I7" s="24"/>
      <c r="J7" s="24" t="s">
        <v>787</v>
      </c>
      <c r="K7" s="24"/>
      <c r="L7" s="24"/>
    </row>
    <row r="8" spans="1:25" x14ac:dyDescent="0.25">
      <c r="A8" s="9" t="s">
        <v>542</v>
      </c>
      <c r="B8" s="10">
        <f>A.Prangko!E488</f>
        <v>1026731</v>
      </c>
      <c r="C8" s="10">
        <f>A.Prangko!F488</f>
        <v>380000</v>
      </c>
      <c r="D8" s="10">
        <f>B8+C8</f>
        <v>1406731</v>
      </c>
      <c r="E8" s="10">
        <f>A.Prangko!H488</f>
        <v>696550</v>
      </c>
      <c r="F8" s="21">
        <f>A.Prangko!I488</f>
        <v>710181</v>
      </c>
      <c r="G8" s="18">
        <f>A.Prangko!J488</f>
        <v>4288404000</v>
      </c>
      <c r="H8" s="18">
        <f>A.Prangko!K488</f>
        <v>149379211.86000001</v>
      </c>
      <c r="J8" s="19">
        <v>1026731</v>
      </c>
      <c r="K8" s="19">
        <v>4793911000</v>
      </c>
      <c r="L8" s="19">
        <v>86242050.459999993</v>
      </c>
      <c r="M8" s="208">
        <f>+J8-F8</f>
        <v>316550</v>
      </c>
      <c r="N8" s="208">
        <f>+K8-G8</f>
        <v>505507000</v>
      </c>
      <c r="O8" s="208">
        <f>+L8-H8</f>
        <v>-63137161.400000021</v>
      </c>
      <c r="Q8" s="19"/>
      <c r="R8" s="19">
        <v>1190492</v>
      </c>
      <c r="S8" s="19">
        <v>5733868200</v>
      </c>
      <c r="T8">
        <v>245818098.89000002</v>
      </c>
      <c r="U8">
        <v>1190492</v>
      </c>
      <c r="V8">
        <v>5733868200</v>
      </c>
      <c r="W8" s="235">
        <f>+R8-U8</f>
        <v>0</v>
      </c>
      <c r="X8" s="235">
        <f>+S8-V8</f>
        <v>0</v>
      </c>
      <c r="Y8" s="235"/>
    </row>
    <row r="9" spans="1:25" x14ac:dyDescent="0.25">
      <c r="A9" s="11" t="s">
        <v>545</v>
      </c>
      <c r="B9" s="10">
        <f>'B.MS &amp; SS'!E270</f>
        <v>158927</v>
      </c>
      <c r="C9" s="10">
        <f>'B.MS &amp; SS'!F270</f>
        <v>37500</v>
      </c>
      <c r="D9" s="10">
        <f t="shared" ref="D9:D14" si="0">B9+C9</f>
        <v>196427</v>
      </c>
      <c r="E9" s="10">
        <f>'B.MS &amp; SS'!H270</f>
        <v>55430</v>
      </c>
      <c r="F9" s="21">
        <f>'B.MS &amp; SS'!I270</f>
        <v>140997</v>
      </c>
      <c r="G9" s="1">
        <f>'B.MS &amp; SS'!J270</f>
        <v>4977407000</v>
      </c>
      <c r="H9" s="1">
        <f>'B.MS &amp; SS'!K270</f>
        <v>592990215.5</v>
      </c>
      <c r="J9" s="19">
        <v>158927</v>
      </c>
      <c r="K9" s="19">
        <v>4999647000</v>
      </c>
      <c r="L9" s="19">
        <v>351560260.92999995</v>
      </c>
      <c r="M9" s="208">
        <f t="shared" ref="M9:M16" si="1">+J9-F9</f>
        <v>17930</v>
      </c>
      <c r="N9" s="208">
        <f t="shared" ref="N9:N16" si="2">+K9-G9</f>
        <v>22240000</v>
      </c>
      <c r="O9" s="208">
        <f t="shared" ref="O9:O16" si="3">+L9-H9</f>
        <v>-241429954.57000005</v>
      </c>
      <c r="Q9" s="19"/>
      <c r="R9" s="19">
        <v>342291</v>
      </c>
      <c r="S9" s="19">
        <v>4548921000</v>
      </c>
      <c r="T9">
        <v>741442265.29999995</v>
      </c>
      <c r="U9">
        <v>342291</v>
      </c>
      <c r="V9">
        <v>4548921000</v>
      </c>
      <c r="W9" s="235">
        <f t="shared" ref="W9:W16" si="4">+R9-U9</f>
        <v>0</v>
      </c>
      <c r="X9" s="235">
        <f t="shared" ref="X9:X16" si="5">+S9-V9</f>
        <v>0</v>
      </c>
      <c r="Y9" s="235"/>
    </row>
    <row r="10" spans="1:25" x14ac:dyDescent="0.25">
      <c r="A10" s="11" t="s">
        <v>546</v>
      </c>
      <c r="B10" s="10">
        <f>'C.SHP&amp;SHPSS'!E605</f>
        <v>83291</v>
      </c>
      <c r="C10" s="10">
        <f>'C.SHP&amp;SHPSS'!F605</f>
        <v>9000</v>
      </c>
      <c r="D10" s="10">
        <f t="shared" si="0"/>
        <v>92291</v>
      </c>
      <c r="E10" s="10">
        <f>'C.SHP&amp;SHPSS'!H605</f>
        <v>7660</v>
      </c>
      <c r="F10" s="21">
        <f>'C.SHP&amp;SHPSS'!I605</f>
        <v>84631</v>
      </c>
      <c r="G10" s="1">
        <f>'C.SHP&amp;SHPSS'!J605</f>
        <v>901440000</v>
      </c>
      <c r="H10" s="1">
        <f>'C.SHP&amp;SHPSS'!K605</f>
        <v>210042859</v>
      </c>
      <c r="J10" s="19">
        <v>83081</v>
      </c>
      <c r="K10" s="19">
        <v>881814000</v>
      </c>
      <c r="L10" s="19">
        <v>194290322.80000001</v>
      </c>
      <c r="M10" s="208">
        <f t="shared" si="1"/>
        <v>-1550</v>
      </c>
      <c r="N10" s="208">
        <f t="shared" si="2"/>
        <v>-19626000</v>
      </c>
      <c r="O10" s="208">
        <f t="shared" si="3"/>
        <v>-15752536.199999988</v>
      </c>
      <c r="Q10" s="19"/>
      <c r="R10" s="19">
        <v>80368</v>
      </c>
      <c r="S10" s="19">
        <v>784383000</v>
      </c>
      <c r="T10">
        <v>184352967.56</v>
      </c>
      <c r="U10">
        <v>80368</v>
      </c>
      <c r="V10">
        <v>784383000</v>
      </c>
      <c r="W10" s="235">
        <f t="shared" si="4"/>
        <v>0</v>
      </c>
      <c r="X10" s="235">
        <f t="shared" si="5"/>
        <v>0</v>
      </c>
      <c r="Y10" s="235"/>
    </row>
    <row r="11" spans="1:25" x14ac:dyDescent="0.25">
      <c r="A11" s="12" t="s">
        <v>547</v>
      </c>
      <c r="B11" s="10">
        <f>D.Kemasan!E161</f>
        <v>7159</v>
      </c>
      <c r="C11" s="10">
        <f>D.Kemasan!F161</f>
        <v>0</v>
      </c>
      <c r="D11" s="10">
        <f t="shared" si="0"/>
        <v>7159</v>
      </c>
      <c r="E11" s="10">
        <f>D.Kemasan!H161</f>
        <v>50</v>
      </c>
      <c r="F11" s="21">
        <f>D.Kemasan!I161</f>
        <v>7109</v>
      </c>
      <c r="G11" s="1">
        <f>D.Kemasan!J161</f>
        <v>428288500</v>
      </c>
      <c r="H11" s="1">
        <f>D.Kemasan!K161</f>
        <v>72408272.489999995</v>
      </c>
      <c r="J11" s="19">
        <v>7159</v>
      </c>
      <c r="K11" s="19">
        <v>431488500</v>
      </c>
      <c r="L11" s="19">
        <v>73597372.489999995</v>
      </c>
      <c r="M11" s="208">
        <f t="shared" si="1"/>
        <v>50</v>
      </c>
      <c r="N11" s="208">
        <f t="shared" si="2"/>
        <v>3200000</v>
      </c>
      <c r="O11" s="208">
        <f t="shared" si="3"/>
        <v>1189100</v>
      </c>
      <c r="Q11" s="19"/>
      <c r="R11" s="19">
        <v>7209</v>
      </c>
      <c r="S11" s="19">
        <v>432488500</v>
      </c>
      <c r="T11">
        <v>73678822.489999995</v>
      </c>
      <c r="U11">
        <v>7209</v>
      </c>
      <c r="V11">
        <v>432488500</v>
      </c>
      <c r="W11" s="235">
        <f t="shared" si="4"/>
        <v>0</v>
      </c>
      <c r="X11" s="235">
        <f t="shared" si="5"/>
        <v>0</v>
      </c>
      <c r="Y11" s="235"/>
    </row>
    <row r="12" spans="1:25" x14ac:dyDescent="0.25">
      <c r="A12" s="11" t="s">
        <v>548</v>
      </c>
      <c r="B12" s="10">
        <f>E.Merchandise!E36</f>
        <v>2570</v>
      </c>
      <c r="C12" s="10">
        <f>E.Merchandise!F36</f>
        <v>453</v>
      </c>
      <c r="D12" s="10">
        <f t="shared" si="0"/>
        <v>3023</v>
      </c>
      <c r="E12" s="10">
        <f>E.Merchandise!H36</f>
        <v>453</v>
      </c>
      <c r="F12" s="21">
        <f>E.Merchandise!I36</f>
        <v>2570</v>
      </c>
      <c r="G12" s="1">
        <f>E.Merchandise!J36</f>
        <v>596246750</v>
      </c>
      <c r="H12" s="1">
        <f>E.Merchandise!K36</f>
        <v>288367820</v>
      </c>
      <c r="J12" s="19">
        <v>2570</v>
      </c>
      <c r="K12" s="19">
        <v>596246750</v>
      </c>
      <c r="L12" s="19">
        <v>287813420</v>
      </c>
      <c r="M12" s="208">
        <f t="shared" si="1"/>
        <v>0</v>
      </c>
      <c r="N12" s="208">
        <f t="shared" si="2"/>
        <v>0</v>
      </c>
      <c r="O12" s="208">
        <f t="shared" si="3"/>
        <v>-554400</v>
      </c>
      <c r="Q12" s="19"/>
      <c r="R12" s="19">
        <v>582</v>
      </c>
      <c r="S12" s="19">
        <v>36806750</v>
      </c>
      <c r="T12">
        <v>35682620</v>
      </c>
      <c r="U12">
        <v>582</v>
      </c>
      <c r="V12">
        <v>36806750</v>
      </c>
      <c r="W12" s="235">
        <f t="shared" si="4"/>
        <v>0</v>
      </c>
      <c r="X12" s="235">
        <f t="shared" si="5"/>
        <v>0</v>
      </c>
      <c r="Y12" s="235"/>
    </row>
    <row r="13" spans="1:25" x14ac:dyDescent="0.25">
      <c r="A13" s="11" t="s">
        <v>543</v>
      </c>
      <c r="B13" s="10">
        <f>F.PRISMA!E71</f>
        <v>146574</v>
      </c>
      <c r="C13" s="10">
        <f>F.PRISMA!F71</f>
        <v>12000</v>
      </c>
      <c r="D13" s="10">
        <f t="shared" si="0"/>
        <v>158574</v>
      </c>
      <c r="E13" s="10">
        <f>F.PRISMA!H71</f>
        <v>17875</v>
      </c>
      <c r="F13" s="21">
        <f>F.PRISMA!I71</f>
        <v>140699</v>
      </c>
      <c r="G13" s="1">
        <f>F.PRISMA!J71</f>
        <v>3304873000</v>
      </c>
      <c r="H13" s="1">
        <f>F.PRISMA!K71</f>
        <v>245760403.15000001</v>
      </c>
      <c r="J13" s="19">
        <v>146574</v>
      </c>
      <c r="K13" s="19">
        <v>3477473000</v>
      </c>
      <c r="L13" s="19">
        <v>264154531.90000001</v>
      </c>
      <c r="M13" s="208">
        <f t="shared" si="1"/>
        <v>5875</v>
      </c>
      <c r="N13" s="208">
        <f t="shared" si="2"/>
        <v>172600000</v>
      </c>
      <c r="O13" s="208">
        <f t="shared" si="3"/>
        <v>18394128.75</v>
      </c>
      <c r="Q13" s="19"/>
      <c r="R13" s="19">
        <v>144126</v>
      </c>
      <c r="S13" s="19">
        <v>3463414000</v>
      </c>
      <c r="T13">
        <v>259199054.13</v>
      </c>
      <c r="U13">
        <v>144126</v>
      </c>
      <c r="V13">
        <v>3463414000</v>
      </c>
      <c r="W13" s="235">
        <f t="shared" si="4"/>
        <v>0</v>
      </c>
      <c r="X13" s="235">
        <f t="shared" si="5"/>
        <v>0</v>
      </c>
      <c r="Y13" s="235"/>
    </row>
    <row r="14" spans="1:25" x14ac:dyDescent="0.25">
      <c r="A14" s="11" t="s">
        <v>549</v>
      </c>
      <c r="B14" s="10">
        <f>'G.Dokumen Filateli'!E72</f>
        <v>4143</v>
      </c>
      <c r="C14" s="10">
        <f>'G.Dokumen Filateli'!F72</f>
        <v>0</v>
      </c>
      <c r="D14" s="10">
        <f t="shared" si="0"/>
        <v>4143</v>
      </c>
      <c r="E14" s="10">
        <f>'G.Dokumen Filateli'!H72</f>
        <v>0</v>
      </c>
      <c r="F14" s="21">
        <f>'G.Dokumen Filateli'!I72</f>
        <v>4143</v>
      </c>
      <c r="G14" s="1">
        <f>'G.Dokumen Filateli'!J72</f>
        <v>157714000</v>
      </c>
      <c r="H14" s="1">
        <f>'G.Dokumen Filateli'!K72</f>
        <v>42011483.68</v>
      </c>
      <c r="J14" s="19">
        <v>4143</v>
      </c>
      <c r="K14" s="19">
        <v>157714000</v>
      </c>
      <c r="L14" s="19">
        <v>42011483.68</v>
      </c>
      <c r="M14" s="208">
        <f t="shared" si="1"/>
        <v>0</v>
      </c>
      <c r="N14" s="208">
        <f t="shared" si="2"/>
        <v>0</v>
      </c>
      <c r="O14" s="208">
        <f t="shared" si="3"/>
        <v>0</v>
      </c>
      <c r="Q14" s="19"/>
      <c r="R14" s="19">
        <v>4165</v>
      </c>
      <c r="S14" s="19">
        <v>159282000</v>
      </c>
      <c r="T14">
        <v>41468162.239999995</v>
      </c>
      <c r="U14">
        <v>4165</v>
      </c>
      <c r="V14">
        <v>159282000</v>
      </c>
      <c r="W14" s="235">
        <f t="shared" si="4"/>
        <v>0</v>
      </c>
      <c r="X14" s="235">
        <f t="shared" si="5"/>
        <v>0</v>
      </c>
      <c r="Y14" s="235"/>
    </row>
    <row r="15" spans="1:25" x14ac:dyDescent="0.25">
      <c r="A15" s="13"/>
      <c r="B15" s="14"/>
      <c r="C15" s="14"/>
      <c r="D15" s="14"/>
      <c r="E15" s="15"/>
      <c r="F15" s="22"/>
      <c r="G15" s="22"/>
      <c r="H15" s="22"/>
      <c r="J15" s="19"/>
      <c r="K15" s="19"/>
      <c r="L15" s="19"/>
      <c r="M15" s="208">
        <f t="shared" si="1"/>
        <v>0</v>
      </c>
      <c r="N15" s="208">
        <f t="shared" si="2"/>
        <v>0</v>
      </c>
      <c r="O15" s="208">
        <f t="shared" si="3"/>
        <v>0</v>
      </c>
      <c r="Q15" s="19"/>
      <c r="R15" s="19"/>
      <c r="S15" s="19"/>
      <c r="W15" s="235">
        <f t="shared" si="4"/>
        <v>0</v>
      </c>
      <c r="X15" s="235">
        <f t="shared" si="5"/>
        <v>0</v>
      </c>
    </row>
    <row r="16" spans="1:25" ht="15.75" thickBot="1" x14ac:dyDescent="0.3">
      <c r="A16" s="16" t="s">
        <v>544</v>
      </c>
      <c r="B16" s="17">
        <f>SUM(B8:B15)</f>
        <v>1429395</v>
      </c>
      <c r="C16" s="17">
        <f>SUM(C8:C15)</f>
        <v>438953</v>
      </c>
      <c r="D16" s="17">
        <f>SUM(D8:D14)</f>
        <v>1868348</v>
      </c>
      <c r="E16" s="17">
        <f>SUM(E8:E14)</f>
        <v>778018</v>
      </c>
      <c r="F16" s="23">
        <f>SUM(F8:F14)</f>
        <v>1090330</v>
      </c>
      <c r="G16" s="23">
        <f t="shared" ref="G16:H16" si="6">SUM(G8:G14)</f>
        <v>14654373250</v>
      </c>
      <c r="H16" s="23">
        <f t="shared" si="6"/>
        <v>1600960265.6800001</v>
      </c>
      <c r="J16" s="256">
        <f>SUM(J8:J15)</f>
        <v>1429185</v>
      </c>
      <c r="K16" s="256">
        <f>SUM(K8:K15)</f>
        <v>15338294250</v>
      </c>
      <c r="L16" s="256">
        <f>SUM(L8:L15)</f>
        <v>1299669442.26</v>
      </c>
      <c r="M16" s="208">
        <f t="shared" si="1"/>
        <v>338855</v>
      </c>
      <c r="N16" s="208">
        <f t="shared" si="2"/>
        <v>683921000</v>
      </c>
      <c r="O16" s="208">
        <f t="shared" si="3"/>
        <v>-301290823.42000008</v>
      </c>
      <c r="Q16" s="19"/>
      <c r="R16" s="19">
        <v>1769233</v>
      </c>
      <c r="S16" s="19">
        <v>15159163450</v>
      </c>
      <c r="T16">
        <v>1581641990.6099999</v>
      </c>
      <c r="U16">
        <v>1769233</v>
      </c>
      <c r="V16">
        <v>15159163450</v>
      </c>
      <c r="W16" s="235">
        <f t="shared" si="4"/>
        <v>0</v>
      </c>
      <c r="X16" s="235">
        <f t="shared" si="5"/>
        <v>0</v>
      </c>
      <c r="Y16" s="236"/>
    </row>
    <row r="17" spans="1:8" x14ac:dyDescent="0.25">
      <c r="B17" s="208"/>
      <c r="C17" s="208"/>
      <c r="D17" s="208"/>
      <c r="E17" s="208"/>
      <c r="F17" s="208"/>
      <c r="G17" s="208"/>
      <c r="H17" s="208"/>
    </row>
    <row r="18" spans="1:8" x14ac:dyDescent="0.25">
      <c r="F18" s="228"/>
      <c r="G18" s="228" t="s">
        <v>914</v>
      </c>
    </row>
    <row r="19" spans="1:8" x14ac:dyDescent="0.25">
      <c r="A19" s="228"/>
      <c r="B19" s="228" t="s">
        <v>551</v>
      </c>
      <c r="F19" s="228"/>
      <c r="G19" s="228" t="s">
        <v>550</v>
      </c>
      <c r="H19" s="26"/>
    </row>
    <row r="20" spans="1:8" x14ac:dyDescent="0.25">
      <c r="A20" s="228"/>
      <c r="B20" s="228" t="s">
        <v>552</v>
      </c>
      <c r="F20" s="228"/>
      <c r="G20" s="228" t="s">
        <v>781</v>
      </c>
    </row>
    <row r="21" spans="1:8" x14ac:dyDescent="0.25">
      <c r="A21" s="228"/>
      <c r="B21" s="228"/>
      <c r="F21" s="228"/>
      <c r="G21" s="228"/>
      <c r="H21" s="27"/>
    </row>
    <row r="22" spans="1:8" x14ac:dyDescent="0.25">
      <c r="A22" s="228"/>
      <c r="B22" s="228"/>
      <c r="F22" s="228"/>
      <c r="G22" s="228"/>
    </row>
    <row r="23" spans="1:8" x14ac:dyDescent="0.25">
      <c r="A23" s="228"/>
      <c r="B23" s="228" t="s">
        <v>644</v>
      </c>
      <c r="F23" s="228"/>
      <c r="G23" s="228" t="s">
        <v>646</v>
      </c>
    </row>
    <row r="24" spans="1:8" x14ac:dyDescent="0.25">
      <c r="A24" s="228"/>
      <c r="B24" s="228" t="s">
        <v>645</v>
      </c>
      <c r="F24" s="228"/>
      <c r="G24" s="228" t="s">
        <v>647</v>
      </c>
    </row>
    <row r="28" spans="1:8" x14ac:dyDescent="0.25">
      <c r="B28" t="s">
        <v>831</v>
      </c>
    </row>
    <row r="29" spans="1:8" x14ac:dyDescent="0.25">
      <c r="B29">
        <v>198231</v>
      </c>
      <c r="C29" s="208">
        <f>+B8-B29</f>
        <v>828500</v>
      </c>
    </row>
    <row r="30" spans="1:8" x14ac:dyDescent="0.25">
      <c r="B30">
        <v>193017</v>
      </c>
      <c r="C30" s="208">
        <f t="shared" ref="C30:C35" si="7">+B9-B30</f>
        <v>-34090</v>
      </c>
    </row>
    <row r="31" spans="1:8" x14ac:dyDescent="0.25">
      <c r="B31">
        <v>82441</v>
      </c>
      <c r="C31" s="208">
        <f t="shared" si="7"/>
        <v>850</v>
      </c>
    </row>
    <row r="32" spans="1:8" x14ac:dyDescent="0.25">
      <c r="B32">
        <v>7159</v>
      </c>
      <c r="C32" s="208">
        <f t="shared" si="7"/>
        <v>0</v>
      </c>
    </row>
    <row r="33" spans="2:7" x14ac:dyDescent="0.25">
      <c r="B33">
        <v>2570</v>
      </c>
      <c r="C33" s="208">
        <f t="shared" si="7"/>
        <v>0</v>
      </c>
    </row>
    <row r="34" spans="2:7" x14ac:dyDescent="0.25">
      <c r="B34">
        <v>145074</v>
      </c>
      <c r="C34" s="208">
        <f t="shared" si="7"/>
        <v>1500</v>
      </c>
    </row>
    <row r="35" spans="2:7" x14ac:dyDescent="0.25">
      <c r="B35" s="258">
        <v>4143</v>
      </c>
      <c r="C35" s="208">
        <f t="shared" si="7"/>
        <v>0</v>
      </c>
    </row>
    <row r="36" spans="2:7" x14ac:dyDescent="0.25">
      <c r="B36" s="237">
        <f>SUM(B29:B35)</f>
        <v>632635</v>
      </c>
      <c r="C36" s="208">
        <f>B16-B36</f>
        <v>796760</v>
      </c>
    </row>
    <row r="39" spans="2:7" x14ac:dyDescent="0.25">
      <c r="B39">
        <v>1026731</v>
      </c>
      <c r="C39">
        <v>380000</v>
      </c>
      <c r="D39">
        <v>1406731</v>
      </c>
      <c r="E39">
        <v>696550</v>
      </c>
      <c r="F39">
        <v>710181</v>
      </c>
      <c r="G39">
        <v>4288404000</v>
      </c>
    </row>
    <row r="40" spans="2:7" x14ac:dyDescent="0.25">
      <c r="B40">
        <v>158927</v>
      </c>
      <c r="C40">
        <v>37500</v>
      </c>
      <c r="D40">
        <v>196427</v>
      </c>
      <c r="E40">
        <v>55430</v>
      </c>
      <c r="F40">
        <v>140997</v>
      </c>
      <c r="G40">
        <v>4977407000</v>
      </c>
    </row>
    <row r="41" spans="2:7" x14ac:dyDescent="0.25">
      <c r="B41">
        <v>83081</v>
      </c>
      <c r="C41">
        <v>9000</v>
      </c>
      <c r="D41">
        <v>92081</v>
      </c>
      <c r="E41">
        <v>7660</v>
      </c>
      <c r="F41">
        <v>84421</v>
      </c>
      <c r="G41">
        <v>899844000</v>
      </c>
    </row>
    <row r="42" spans="2:7" x14ac:dyDescent="0.25">
      <c r="B42">
        <v>7159</v>
      </c>
      <c r="C42">
        <v>0</v>
      </c>
      <c r="D42">
        <v>7159</v>
      </c>
      <c r="E42">
        <v>50</v>
      </c>
      <c r="F42">
        <v>7109</v>
      </c>
      <c r="G42">
        <v>428288500</v>
      </c>
    </row>
    <row r="43" spans="2:7" x14ac:dyDescent="0.25">
      <c r="B43">
        <v>2570</v>
      </c>
      <c r="C43">
        <v>453</v>
      </c>
      <c r="D43">
        <v>3023</v>
      </c>
      <c r="E43">
        <v>453</v>
      </c>
      <c r="F43">
        <v>2570</v>
      </c>
      <c r="G43">
        <v>596246750</v>
      </c>
    </row>
    <row r="44" spans="2:7" x14ac:dyDescent="0.25">
      <c r="B44">
        <v>146574</v>
      </c>
      <c r="C44">
        <v>12000</v>
      </c>
      <c r="D44">
        <v>158574</v>
      </c>
      <c r="E44">
        <v>17875</v>
      </c>
      <c r="F44">
        <v>140699</v>
      </c>
      <c r="G44">
        <v>3304873000</v>
      </c>
    </row>
    <row r="45" spans="2:7" x14ac:dyDescent="0.25">
      <c r="B45">
        <v>4143</v>
      </c>
      <c r="C45">
        <v>0</v>
      </c>
      <c r="D45">
        <v>4143</v>
      </c>
      <c r="E45">
        <v>0</v>
      </c>
      <c r="F45">
        <v>4143</v>
      </c>
      <c r="G45">
        <v>157714000</v>
      </c>
    </row>
    <row r="47" spans="2:7" x14ac:dyDescent="0.25">
      <c r="B47">
        <v>1429185</v>
      </c>
      <c r="C47">
        <v>438953</v>
      </c>
      <c r="D47">
        <v>1868138</v>
      </c>
      <c r="E47">
        <v>778018</v>
      </c>
      <c r="F47">
        <v>1090120</v>
      </c>
      <c r="G47">
        <v>14652777250</v>
      </c>
    </row>
    <row r="49" spans="1:7" x14ac:dyDescent="0.25">
      <c r="A49" t="s">
        <v>542</v>
      </c>
      <c r="B49" s="260">
        <f>+B8-B39</f>
        <v>0</v>
      </c>
      <c r="C49" s="260">
        <f t="shared" ref="C49:G49" si="8">+C8-C39</f>
        <v>0</v>
      </c>
      <c r="D49" s="260">
        <f t="shared" si="8"/>
        <v>0</v>
      </c>
      <c r="E49" s="260">
        <f t="shared" si="8"/>
        <v>0</v>
      </c>
      <c r="F49" s="260">
        <f t="shared" si="8"/>
        <v>0</v>
      </c>
      <c r="G49" s="260">
        <f t="shared" si="8"/>
        <v>0</v>
      </c>
    </row>
    <row r="50" spans="1:7" x14ac:dyDescent="0.25">
      <c r="A50" t="s">
        <v>545</v>
      </c>
      <c r="B50" s="260">
        <f t="shared" ref="B50:G50" si="9">+B9-B40</f>
        <v>0</v>
      </c>
      <c r="C50" s="260">
        <f t="shared" si="9"/>
        <v>0</v>
      </c>
      <c r="D50" s="260">
        <f t="shared" si="9"/>
        <v>0</v>
      </c>
      <c r="E50" s="260">
        <f t="shared" si="9"/>
        <v>0</v>
      </c>
      <c r="F50" s="260">
        <f t="shared" si="9"/>
        <v>0</v>
      </c>
      <c r="G50" s="260">
        <f t="shared" si="9"/>
        <v>0</v>
      </c>
    </row>
    <row r="51" spans="1:7" x14ac:dyDescent="0.25">
      <c r="A51" t="s">
        <v>546</v>
      </c>
      <c r="B51" s="260">
        <f t="shared" ref="B51:G51" si="10">+B10-B41</f>
        <v>210</v>
      </c>
      <c r="C51" s="260">
        <f t="shared" si="10"/>
        <v>0</v>
      </c>
      <c r="D51" s="260">
        <f t="shared" si="10"/>
        <v>210</v>
      </c>
      <c r="E51" s="260">
        <f t="shared" si="10"/>
        <v>0</v>
      </c>
      <c r="F51" s="260">
        <f t="shared" si="10"/>
        <v>210</v>
      </c>
      <c r="G51" s="260">
        <f t="shared" si="10"/>
        <v>1596000</v>
      </c>
    </row>
    <row r="52" spans="1:7" x14ac:dyDescent="0.25">
      <c r="A52" t="s">
        <v>547</v>
      </c>
      <c r="B52" s="260">
        <f t="shared" ref="B52:G52" si="11">+B11-B42</f>
        <v>0</v>
      </c>
      <c r="C52" s="260">
        <f t="shared" si="11"/>
        <v>0</v>
      </c>
      <c r="D52" s="260">
        <f t="shared" si="11"/>
        <v>0</v>
      </c>
      <c r="E52" s="260">
        <f t="shared" si="11"/>
        <v>0</v>
      </c>
      <c r="F52" s="260">
        <f t="shared" si="11"/>
        <v>0</v>
      </c>
      <c r="G52" s="260">
        <f t="shared" si="11"/>
        <v>0</v>
      </c>
    </row>
    <row r="53" spans="1:7" x14ac:dyDescent="0.25">
      <c r="A53" t="s">
        <v>548</v>
      </c>
      <c r="B53" s="260">
        <f t="shared" ref="B53:G53" si="12">+B12-B43</f>
        <v>0</v>
      </c>
      <c r="C53" s="260">
        <f t="shared" si="12"/>
        <v>0</v>
      </c>
      <c r="D53" s="260">
        <f t="shared" si="12"/>
        <v>0</v>
      </c>
      <c r="E53" s="260">
        <f t="shared" si="12"/>
        <v>0</v>
      </c>
      <c r="F53" s="260">
        <f t="shared" si="12"/>
        <v>0</v>
      </c>
      <c r="G53" s="260">
        <f t="shared" si="12"/>
        <v>0</v>
      </c>
    </row>
    <row r="54" spans="1:7" x14ac:dyDescent="0.25">
      <c r="A54" t="s">
        <v>543</v>
      </c>
      <c r="B54" s="260">
        <f t="shared" ref="B54:G54" si="13">+B13-B44</f>
        <v>0</v>
      </c>
      <c r="C54" s="260">
        <f t="shared" si="13"/>
        <v>0</v>
      </c>
      <c r="D54" s="260">
        <f t="shared" si="13"/>
        <v>0</v>
      </c>
      <c r="E54" s="260">
        <f t="shared" si="13"/>
        <v>0</v>
      </c>
      <c r="F54" s="260">
        <f t="shared" si="13"/>
        <v>0</v>
      </c>
      <c r="G54" s="260">
        <f t="shared" si="13"/>
        <v>0</v>
      </c>
    </row>
    <row r="55" spans="1:7" x14ac:dyDescent="0.25">
      <c r="A55" t="s">
        <v>549</v>
      </c>
      <c r="B55" s="260">
        <f t="shared" ref="B55:G55" si="14">+B14-B45</f>
        <v>0</v>
      </c>
      <c r="C55" s="260">
        <f t="shared" si="14"/>
        <v>0</v>
      </c>
      <c r="D55" s="260">
        <f t="shared" si="14"/>
        <v>0</v>
      </c>
      <c r="E55" s="260">
        <f t="shared" si="14"/>
        <v>0</v>
      </c>
      <c r="F55" s="260">
        <f t="shared" si="14"/>
        <v>0</v>
      </c>
      <c r="G55" s="260">
        <f t="shared" si="14"/>
        <v>0</v>
      </c>
    </row>
    <row r="56" spans="1:7" x14ac:dyDescent="0.25">
      <c r="B56" s="260">
        <f t="shared" ref="B56:G56" si="15">+B15-B46</f>
        <v>0</v>
      </c>
      <c r="C56" s="260">
        <f t="shared" si="15"/>
        <v>0</v>
      </c>
      <c r="D56" s="260">
        <f t="shared" si="15"/>
        <v>0</v>
      </c>
      <c r="E56" s="260">
        <f t="shared" si="15"/>
        <v>0</v>
      </c>
      <c r="F56" s="260">
        <f t="shared" si="15"/>
        <v>0</v>
      </c>
      <c r="G56" s="260">
        <f t="shared" si="15"/>
        <v>0</v>
      </c>
    </row>
    <row r="57" spans="1:7" x14ac:dyDescent="0.25">
      <c r="B57" s="260">
        <f t="shared" ref="B57:G57" si="16">+B16-B47</f>
        <v>210</v>
      </c>
      <c r="C57" s="260">
        <f t="shared" si="16"/>
        <v>0</v>
      </c>
      <c r="D57" s="260">
        <f t="shared" si="16"/>
        <v>210</v>
      </c>
      <c r="E57" s="260">
        <f t="shared" si="16"/>
        <v>0</v>
      </c>
      <c r="F57" s="260">
        <f t="shared" si="16"/>
        <v>210</v>
      </c>
      <c r="G57" s="260">
        <f t="shared" si="16"/>
        <v>1596000</v>
      </c>
    </row>
    <row r="58" spans="1:7" x14ac:dyDescent="0.25">
      <c r="B58" s="208">
        <f t="shared" ref="B58:G58" si="17">+B17-B48</f>
        <v>0</v>
      </c>
      <c r="C58" s="208">
        <f t="shared" si="17"/>
        <v>0</v>
      </c>
      <c r="D58" s="208">
        <f t="shared" si="17"/>
        <v>0</v>
      </c>
      <c r="E58" s="208">
        <f t="shared" si="17"/>
        <v>0</v>
      </c>
      <c r="F58" s="208">
        <f t="shared" si="17"/>
        <v>0</v>
      </c>
      <c r="G58" s="208">
        <f t="shared" si="17"/>
        <v>0</v>
      </c>
    </row>
    <row r="59" spans="1:7" x14ac:dyDescent="0.25">
      <c r="B59" s="208"/>
      <c r="C59" s="208"/>
      <c r="D59" s="208"/>
      <c r="E59" s="208"/>
      <c r="F59" s="208"/>
      <c r="G59" s="208"/>
    </row>
    <row r="60" spans="1:7" x14ac:dyDescent="0.25">
      <c r="B60" s="208"/>
      <c r="C60" s="208"/>
      <c r="D60" s="208"/>
      <c r="E60" s="208"/>
      <c r="F60" s="208"/>
      <c r="G60" s="208"/>
    </row>
    <row r="61" spans="1:7" x14ac:dyDescent="0.25">
      <c r="B61" s="208"/>
      <c r="C61" s="208"/>
      <c r="D61" s="208"/>
      <c r="E61" s="208"/>
      <c r="F61" s="208"/>
      <c r="G61" s="208"/>
    </row>
    <row r="63" spans="1:7" x14ac:dyDescent="0.25">
      <c r="B63" s="228" t="s">
        <v>879</v>
      </c>
      <c r="D63" s="228" t="s">
        <v>879</v>
      </c>
      <c r="F63" s="228" t="s">
        <v>879</v>
      </c>
    </row>
    <row r="64" spans="1:7" x14ac:dyDescent="0.25">
      <c r="B64" s="228"/>
      <c r="D64" s="228"/>
      <c r="F64" s="228"/>
    </row>
    <row r="65" spans="2:6" x14ac:dyDescent="0.25">
      <c r="B65" s="228"/>
      <c r="D65" s="228"/>
      <c r="F65" s="228"/>
    </row>
    <row r="66" spans="2:6" x14ac:dyDescent="0.25">
      <c r="B66" s="228"/>
      <c r="D66" s="228"/>
      <c r="F66" s="228"/>
    </row>
    <row r="67" spans="2:6" x14ac:dyDescent="0.25">
      <c r="B67" s="228" t="s">
        <v>880</v>
      </c>
      <c r="D67" s="228" t="s">
        <v>880</v>
      </c>
      <c r="F67" s="228" t="s">
        <v>880</v>
      </c>
    </row>
    <row r="69" spans="2:6" x14ac:dyDescent="0.25">
      <c r="B69" s="228" t="s">
        <v>879</v>
      </c>
      <c r="D69" s="228" t="s">
        <v>879</v>
      </c>
      <c r="F69" s="228" t="s">
        <v>879</v>
      </c>
    </row>
    <row r="70" spans="2:6" x14ac:dyDescent="0.25">
      <c r="B70" s="228"/>
      <c r="D70" s="228"/>
      <c r="F70" s="228"/>
    </row>
    <row r="71" spans="2:6" x14ac:dyDescent="0.25">
      <c r="B71" s="228"/>
      <c r="D71" s="228"/>
      <c r="F71" s="228"/>
    </row>
    <row r="72" spans="2:6" x14ac:dyDescent="0.25">
      <c r="B72" s="228"/>
      <c r="D72" s="228"/>
      <c r="F72" s="228"/>
    </row>
    <row r="73" spans="2:6" x14ac:dyDescent="0.25">
      <c r="B73" s="228" t="s">
        <v>880</v>
      </c>
      <c r="D73" s="228" t="s">
        <v>880</v>
      </c>
      <c r="F73" s="228" t="s">
        <v>880</v>
      </c>
    </row>
  </sheetData>
  <protectedRanges>
    <protectedRange sqref="A3" name="Range1"/>
  </protectedRanges>
  <mergeCells count="2">
    <mergeCell ref="A3:F3"/>
    <mergeCell ref="A4:F4"/>
  </mergeCells>
  <pageMargins left="0.70866141732283472" right="0.70866141732283472" top="0" bottom="0" header="0.31496062992125984" footer="0.31496062992125984"/>
  <pageSetup paperSize="9"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A.Prangko</vt:lpstr>
      <vt:lpstr>B.MS &amp; SS</vt:lpstr>
      <vt:lpstr>C.SHP&amp;SHPSS</vt:lpstr>
      <vt:lpstr>D.Kemasan</vt:lpstr>
      <vt:lpstr>E.Merchandise</vt:lpstr>
      <vt:lpstr>F.PRISMA</vt:lpstr>
      <vt:lpstr>G.Dokumen Filateli</vt:lpstr>
      <vt:lpstr>Rekapitulasi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2017-08-28T04:50:03Z</dcterms:modified>
</cp:coreProperties>
</file>