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pace\Avid\avid-mech245\calculations\"/>
    </mc:Choice>
  </mc:AlternateContent>
  <xr:revisionPtr revIDLastSave="0" documentId="13_ncr:1_{95D1F742-7DEA-4865-9283-3BD65CFD7FF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r1" sheetId="1" r:id="rId1"/>
    <sheet name="ver2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B11" i="2"/>
  <c r="B13" i="2" s="1"/>
  <c r="B10" i="2"/>
  <c r="B15" i="2" s="1"/>
  <c r="B5" i="2"/>
  <c r="B25" i="2" s="1"/>
  <c r="B3" i="2"/>
  <c r="B21" i="2" s="1"/>
  <c r="F20" i="1"/>
  <c r="B13" i="1"/>
  <c r="E12" i="1"/>
  <c r="B21" i="1"/>
  <c r="B19" i="1"/>
  <c r="B17" i="1"/>
  <c r="B15" i="1"/>
  <c r="B4" i="1"/>
  <c r="B14" i="1" s="1"/>
  <c r="B32" i="2" l="1"/>
  <c r="B14" i="2"/>
  <c r="B33" i="2"/>
  <c r="B18" i="2"/>
  <c r="B29" i="2"/>
  <c r="B24" i="2"/>
  <c r="B17" i="2"/>
  <c r="B22" i="2" s="1"/>
  <c r="G12" i="2" s="1"/>
  <c r="B27" i="2"/>
  <c r="B16" i="2"/>
  <c r="B26" i="2"/>
  <c r="B19" i="2"/>
  <c r="B28" i="2"/>
  <c r="B20" i="2"/>
  <c r="B16" i="1"/>
  <c r="B22" i="1"/>
  <c r="B18" i="1"/>
  <c r="B20" i="1"/>
  <c r="B34" i="2" l="1"/>
  <c r="B30" i="2"/>
  <c r="G11" i="2"/>
  <c r="G10" i="2"/>
  <c r="G9" i="2"/>
  <c r="B23" i="1"/>
  <c r="I12" i="2" l="1"/>
  <c r="I11" i="2"/>
  <c r="I10" i="2"/>
  <c r="I9" i="2"/>
  <c r="H9" i="2"/>
  <c r="H12" i="2"/>
  <c r="H11" i="2"/>
  <c r="H10" i="2"/>
</calcChain>
</file>

<file path=xl/sharedStrings.xml><?xml version="1.0" encoding="utf-8"?>
<sst xmlns="http://schemas.openxmlformats.org/spreadsheetml/2006/main" count="141" uniqueCount="80">
  <si>
    <t>RHO</t>
  </si>
  <si>
    <t>kg/m3</t>
  </si>
  <si>
    <t xml:space="preserve">R </t>
  </si>
  <si>
    <t>m</t>
  </si>
  <si>
    <t xml:space="preserve">AREA </t>
  </si>
  <si>
    <t>m2</t>
  </si>
  <si>
    <t>a1</t>
  </si>
  <si>
    <t>a2</t>
  </si>
  <si>
    <t>a3</t>
  </si>
  <si>
    <t>a4</t>
  </si>
  <si>
    <t>a5</t>
  </si>
  <si>
    <t>a6</t>
  </si>
  <si>
    <t>parameter</t>
  </si>
  <si>
    <t>value</t>
  </si>
  <si>
    <t>unit</t>
  </si>
  <si>
    <t>motor weight</t>
  </si>
  <si>
    <t>kg</t>
  </si>
  <si>
    <t>motor name</t>
  </si>
  <si>
    <t>width</t>
  </si>
  <si>
    <t>height</t>
  </si>
  <si>
    <t>nema 14</t>
  </si>
  <si>
    <t>weight approx</t>
  </si>
  <si>
    <t>nema 11</t>
  </si>
  <si>
    <t xml:space="preserve">nema 10 </t>
  </si>
  <si>
    <t>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</si>
  <si>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</si>
  <si>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</si>
  <si>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</si>
  <si>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</si>
  <si>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</si>
  <si>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</si>
  <si>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</si>
  <si>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</si>
  <si>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</si>
  <si>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</si>
  <si>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tTotal</t>
  </si>
  <si>
    <t>F.S.</t>
  </si>
  <si>
    <t>Area</t>
  </si>
  <si>
    <t>motor weght</t>
  </si>
  <si>
    <t>GHAMA</t>
  </si>
  <si>
    <t>N/m3</t>
  </si>
  <si>
    <t>motor mass</t>
  </si>
  <si>
    <t>end effector weight</t>
  </si>
  <si>
    <t>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</si>
  <si>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</si>
  <si>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</si>
  <si>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</si>
  <si>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</si>
  <si>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</si>
  <si>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</si>
  <si>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</si>
  <si>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</si>
  <si>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</si>
  <si>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total</t>
  </si>
  <si>
    <t>N.m</t>
  </si>
  <si>
    <t>motor link</t>
  </si>
  <si>
    <t>motor torque</t>
  </si>
  <si>
    <t>feetech</t>
  </si>
  <si>
    <t>Torxis</t>
  </si>
  <si>
    <t>MD980TW</t>
  </si>
  <si>
    <t>total reach</t>
  </si>
  <si>
    <t>moments about first joint</t>
  </si>
  <si>
    <t>moments about secound joint</t>
  </si>
  <si>
    <t>F.S. 1</t>
  </si>
  <si>
    <t>F.S 2</t>
  </si>
  <si>
    <t>FeeTech</t>
  </si>
  <si>
    <t>F.S. 3</t>
  </si>
  <si>
    <t>m/s2</t>
  </si>
  <si>
    <t>Factors of safty for all joints</t>
  </si>
  <si>
    <t>price</t>
  </si>
  <si>
    <t>47.5$</t>
  </si>
  <si>
    <t>319.99$</t>
  </si>
  <si>
    <t>214.27$</t>
  </si>
  <si>
    <t>42.5$</t>
  </si>
  <si>
    <t>end effector + payload mass</t>
  </si>
  <si>
    <t>moments about third joint</t>
  </si>
  <si>
    <t>torque</t>
  </si>
  <si>
    <t>Speed</t>
  </si>
  <si>
    <t>RPM</t>
  </si>
  <si>
    <t>119.40$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</si>
</sst>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274320</xdr:colOff>
      <xdr:row>1</xdr:row>
      <xdr:rowOff>30480</xdr:rowOff>
    </xdr:from>
    <xdr:to>
      <xdr:col>19</xdr:col>
      <xdr:colOff>412073</xdr:colOff>
      <xdr:row>13</xdr:row>
      <xdr:rowOff>137359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080096-A164-0353-D250-FA60A19E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7480" y="213360"/>
          <a:ext cx="6843353" cy="23014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586740</xdr:colOff>
      <xdr:row>13</xdr:row>
      <xdr:rowOff>137160</xdr:rowOff>
    </xdr:from>
    <xdr:to>
      <xdr:col>13</xdr:col>
      <xdr:colOff>61553</xdr:colOff>
      <xdr:row>26</xdr:row>
      <xdr:rowOff>61159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E7FBA1-83FB-A2EE-8304-47310E97F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860" y="2514600"/>
          <a:ext cx="6843353" cy="2301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shop.com/en/md980tw-22mm-coreless-titanium-gear-high-torque-servo.html" TargetMode="External"/><Relationship Id="rId2" Type="http://schemas.openxmlformats.org/officeDocument/2006/relationships/hyperlink" Target="https://www.robotshop.com/en/torxis-i01856-12v-high-torque-industrial-servo-motor.html" TargetMode="External"/><Relationship Id="rId1" Type="http://schemas.openxmlformats.org/officeDocument/2006/relationships/hyperlink" Target="https://www.robotshop.com/en/feetech-large-metal-gears-digital-servo-ft6560m.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obotshop.com/en/feetech-large-metal-gears-analog-servo-fs6530m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tepper-Integrated-IHSV42-40-07-24-Digital-4000RPM/dp/B07T7V1CXX/ref=sr_1_2?keywords=nema+17+with+encoder&amp;qid=1661841423&amp;sprefix=nema+17+with+%2Caps%2C263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B23" sqref="B23"/>
    </sheetView>
  </sheetViews>
  <sheetFormatPr defaultRowHeight="14.4" x14ac:dyDescent="0.3"/>
  <cols>
    <col min="1" max="1" width="15.88671875" style="1" customWidth="1"/>
    <col min="2" max="2" width="13" style="1" customWidth="1"/>
    <col min="3" max="3" width="11.6640625" style="1" customWidth="1"/>
    <col min="4" max="4" width="8.88671875" style="1"/>
    <col min="5" max="5" width="11.109375" style="1" bestFit="1" customWidth="1"/>
    <col min="6" max="7" width="8.88671875" style="1"/>
    <col min="8" max="8" width="12.5546875" style="1" bestFit="1" customWidth="1"/>
    <col min="9" max="16384" width="8.88671875" style="1"/>
  </cols>
  <sheetData>
    <row r="1" spans="1:8" x14ac:dyDescent="0.3">
      <c r="A1" s="1" t="s">
        <v>12</v>
      </c>
      <c r="B1" s="1" t="s">
        <v>13</v>
      </c>
      <c r="C1" s="1" t="s">
        <v>14</v>
      </c>
      <c r="E1" s="1" t="s">
        <v>17</v>
      </c>
      <c r="F1" s="1" t="s">
        <v>18</v>
      </c>
      <c r="G1" s="1" t="s">
        <v>19</v>
      </c>
      <c r="H1" s="1" t="s">
        <v>21</v>
      </c>
    </row>
    <row r="2" spans="1:8" x14ac:dyDescent="0.3">
      <c r="A2" s="1" t="s">
        <v>0</v>
      </c>
      <c r="B2" s="1">
        <v>1050</v>
      </c>
      <c r="C2" s="1" t="s">
        <v>1</v>
      </c>
      <c r="E2" s="1" t="s">
        <v>22</v>
      </c>
      <c r="F2" s="1">
        <v>2.8299999999999999E-2</v>
      </c>
      <c r="G2" s="1">
        <v>2.8299999999999999E-2</v>
      </c>
    </row>
    <row r="3" spans="1:8" x14ac:dyDescent="0.3">
      <c r="A3" s="1" t="s">
        <v>2</v>
      </c>
      <c r="B3" s="1">
        <v>0.01</v>
      </c>
      <c r="C3" s="1" t="s">
        <v>3</v>
      </c>
      <c r="E3" s="1" t="s">
        <v>23</v>
      </c>
      <c r="F3" s="1">
        <v>2.5000000000000001E-2</v>
      </c>
      <c r="G3" s="1">
        <v>2.5000000000000001E-2</v>
      </c>
    </row>
    <row r="4" spans="1:8" x14ac:dyDescent="0.3">
      <c r="A4" s="1" t="s">
        <v>4</v>
      </c>
      <c r="B4" s="1">
        <f>PI()*B3*B3</f>
        <v>3.1415926535897936E-4</v>
      </c>
      <c r="C4" s="1" t="s">
        <v>5</v>
      </c>
      <c r="E4" s="1" t="s">
        <v>20</v>
      </c>
      <c r="F4" s="1">
        <v>3.5000000000000003E-2</v>
      </c>
      <c r="G4" s="1">
        <v>2.5999999999999999E-2</v>
      </c>
    </row>
    <row r="5" spans="1:8" x14ac:dyDescent="0.3">
      <c r="A5" s="1" t="s">
        <v>6</v>
      </c>
      <c r="B5" s="1">
        <v>0.16</v>
      </c>
      <c r="C5" s="1" t="s">
        <v>3</v>
      </c>
    </row>
    <row r="6" spans="1:8" x14ac:dyDescent="0.3">
      <c r="A6" s="1" t="s">
        <v>7</v>
      </c>
      <c r="B6" s="1">
        <v>0.12</v>
      </c>
      <c r="C6" s="1" t="s">
        <v>3</v>
      </c>
    </row>
    <row r="7" spans="1:8" x14ac:dyDescent="0.3">
      <c r="A7" s="1" t="s">
        <v>8</v>
      </c>
      <c r="B7" s="1">
        <v>0.08</v>
      </c>
      <c r="C7" s="1" t="s">
        <v>3</v>
      </c>
    </row>
    <row r="8" spans="1:8" x14ac:dyDescent="0.3">
      <c r="A8" s="1" t="s">
        <v>9</v>
      </c>
      <c r="B8" s="1">
        <v>0.08</v>
      </c>
      <c r="C8" s="1" t="s">
        <v>3</v>
      </c>
    </row>
    <row r="9" spans="1:8" x14ac:dyDescent="0.3">
      <c r="A9" s="1" t="s">
        <v>10</v>
      </c>
      <c r="B9" s="1">
        <v>0.14000000000000001</v>
      </c>
      <c r="C9" s="1" t="s">
        <v>3</v>
      </c>
    </row>
    <row r="10" spans="1:8" x14ac:dyDescent="0.3">
      <c r="A10" s="1" t="s">
        <v>11</v>
      </c>
      <c r="B10" s="1">
        <v>0.12</v>
      </c>
      <c r="C10" s="1" t="s">
        <v>3</v>
      </c>
    </row>
    <row r="11" spans="1:8" x14ac:dyDescent="0.3">
      <c r="A11" s="1" t="s">
        <v>15</v>
      </c>
      <c r="B11" s="1">
        <v>0.08</v>
      </c>
      <c r="C11" s="1" t="s">
        <v>16</v>
      </c>
    </row>
    <row r="12" spans="1:8" x14ac:dyDescent="0.3">
      <c r="A12" s="1" t="s">
        <v>24</v>
      </c>
      <c r="B12" s="1">
        <v>9.81</v>
      </c>
      <c r="E12" s="1">
        <f>SUM(B6:B10)</f>
        <v>0.54</v>
      </c>
    </row>
    <row r="13" spans="1:8" x14ac:dyDescent="0.3">
      <c r="A13" s="1" t="s">
        <v>25</v>
      </c>
      <c r="B13" s="1">
        <f>0.7*B12*SUM(B6:B10)</f>
        <v>3.70818</v>
      </c>
    </row>
    <row r="14" spans="1:8" x14ac:dyDescent="0.3">
      <c r="A14" s="1" t="s">
        <v>26</v>
      </c>
      <c r="B14" s="1">
        <f>B10*B4*B2*B12*(SUM(B6:B9)+B10/2)</f>
        <v>0.18639345673901764</v>
      </c>
    </row>
    <row r="15" spans="1:8" x14ac:dyDescent="0.3">
      <c r="A15" s="1" t="s">
        <v>27</v>
      </c>
      <c r="B15" s="1">
        <f>B11*B12*SUM(B6:B9)</f>
        <v>0.32961600000000008</v>
      </c>
    </row>
    <row r="16" spans="1:8" x14ac:dyDescent="0.3">
      <c r="A16" s="1" t="s">
        <v>28</v>
      </c>
      <c r="B16" s="1">
        <f>B9*B4*B12*(SUM(B6:B8)+B9/2)*B2</f>
        <v>0.1585638781286782</v>
      </c>
    </row>
    <row r="17" spans="1:6" x14ac:dyDescent="0.3">
      <c r="A17" s="1" t="s">
        <v>29</v>
      </c>
      <c r="B17" s="1">
        <f>B11*B12*SUM(B6:B8)</f>
        <v>0.21974400000000002</v>
      </c>
    </row>
    <row r="18" spans="1:6" x14ac:dyDescent="0.3">
      <c r="A18" s="1" t="s">
        <v>30</v>
      </c>
      <c r="B18" s="1">
        <f>B8*B12*B4*B2*(SUM(B6:B7)+B8/2)</f>
        <v>6.2131152246339222E-2</v>
      </c>
    </row>
    <row r="19" spans="1:6" x14ac:dyDescent="0.3">
      <c r="A19" s="1" t="s">
        <v>31</v>
      </c>
      <c r="B19" s="1">
        <f>B11*B12*SUM(B6:B7)</f>
        <v>0.15696000000000002</v>
      </c>
    </row>
    <row r="20" spans="1:6" x14ac:dyDescent="0.3">
      <c r="A20" s="1" t="s">
        <v>32</v>
      </c>
      <c r="B20" s="1">
        <f>B7*B4*B2*B12*(B6+B7/2)</f>
        <v>4.1420768164226143E-2</v>
      </c>
      <c r="E20" s="1" t="s">
        <v>36</v>
      </c>
      <c r="F20" s="1">
        <f>6.37/B23</f>
        <v>1.2789920498904186</v>
      </c>
    </row>
    <row r="21" spans="1:6" x14ac:dyDescent="0.3">
      <c r="A21" s="1" t="s">
        <v>33</v>
      </c>
      <c r="B21" s="1">
        <f>B11*B12*B6</f>
        <v>9.417600000000001E-2</v>
      </c>
    </row>
    <row r="22" spans="1:6" x14ac:dyDescent="0.3">
      <c r="A22" s="1" t="s">
        <v>34</v>
      </c>
      <c r="B22" s="1">
        <f>B6*B4*B2*B12*B6/2</f>
        <v>2.3299182092377201E-2</v>
      </c>
    </row>
    <row r="23" spans="1:6" x14ac:dyDescent="0.3">
      <c r="A23" s="1" t="s">
        <v>35</v>
      </c>
      <c r="B23" s="1">
        <f>SUM(B13:B22)</f>
        <v>4.9804844373706381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79BF-DFE0-44F0-B38A-A961E4C375F5}">
  <dimension ref="A1:J34"/>
  <sheetViews>
    <sheetView workbookViewId="0">
      <selection activeCell="E10" sqref="E10"/>
    </sheetView>
  </sheetViews>
  <sheetFormatPr defaultRowHeight="14.4" x14ac:dyDescent="0.3"/>
  <cols>
    <col min="1" max="1" width="17.21875" style="1" bestFit="1" customWidth="1"/>
    <col min="2" max="2" width="15.6640625" style="1" customWidth="1"/>
    <col min="3" max="4" width="8.88671875" style="1"/>
    <col min="5" max="5" width="24.33203125" style="1" bestFit="1" customWidth="1"/>
    <col min="6" max="6" width="12" style="1" bestFit="1" customWidth="1"/>
    <col min="7" max="16384" width="8.88671875" style="1"/>
  </cols>
  <sheetData>
    <row r="1" spans="1:10" x14ac:dyDescent="0.3">
      <c r="A1" s="3" t="s">
        <v>12</v>
      </c>
      <c r="B1" s="3" t="s">
        <v>13</v>
      </c>
      <c r="C1" s="3" t="s">
        <v>14</v>
      </c>
      <c r="E1" s="3" t="s">
        <v>24</v>
      </c>
      <c r="F1" s="9">
        <v>9.8066999999999993</v>
      </c>
      <c r="G1" s="3" t="s">
        <v>67</v>
      </c>
    </row>
    <row r="2" spans="1:10" x14ac:dyDescent="0.3">
      <c r="A2" s="1" t="s">
        <v>0</v>
      </c>
      <c r="B2" s="4">
        <v>1050</v>
      </c>
      <c r="C2" s="1" t="s">
        <v>1</v>
      </c>
      <c r="E2" s="3" t="s">
        <v>41</v>
      </c>
      <c r="F2" s="3">
        <v>7.0000000000000007E-2</v>
      </c>
      <c r="G2" s="3" t="s">
        <v>16</v>
      </c>
    </row>
    <row r="3" spans="1:10" x14ac:dyDescent="0.3">
      <c r="A3" s="1" t="s">
        <v>39</v>
      </c>
      <c r="B3" s="4">
        <f>9.81*B2</f>
        <v>10300.5</v>
      </c>
      <c r="C3" s="1" t="s">
        <v>40</v>
      </c>
      <c r="E3" s="3" t="s">
        <v>74</v>
      </c>
      <c r="F3" s="3">
        <v>0.7</v>
      </c>
      <c r="G3" s="3" t="s">
        <v>16</v>
      </c>
    </row>
    <row r="4" spans="1:10" x14ac:dyDescent="0.3">
      <c r="A4" s="1" t="s">
        <v>2</v>
      </c>
      <c r="B4" s="4">
        <v>0.01</v>
      </c>
      <c r="C4" s="1" t="s">
        <v>3</v>
      </c>
      <c r="E4" s="8" t="s">
        <v>60</v>
      </c>
      <c r="F4" s="8">
        <f>SUM(B7:B9)</f>
        <v>0.5</v>
      </c>
      <c r="G4" s="8" t="s">
        <v>3</v>
      </c>
    </row>
    <row r="5" spans="1:10" x14ac:dyDescent="0.3">
      <c r="A5" s="1" t="s">
        <v>37</v>
      </c>
      <c r="B5" s="4">
        <f>PI()*B4*B4</f>
        <v>3.1415926535897936E-4</v>
      </c>
      <c r="C5" s="1" t="s">
        <v>5</v>
      </c>
    </row>
    <row r="6" spans="1:10" x14ac:dyDescent="0.3">
      <c r="A6" s="1" t="s">
        <v>6</v>
      </c>
      <c r="B6" s="4">
        <v>10</v>
      </c>
      <c r="C6" s="1" t="s">
        <v>3</v>
      </c>
    </row>
    <row r="7" spans="1:10" x14ac:dyDescent="0.3">
      <c r="A7" s="1" t="s">
        <v>7</v>
      </c>
      <c r="B7" s="4">
        <v>0.15</v>
      </c>
      <c r="C7" s="1" t="s">
        <v>3</v>
      </c>
      <c r="E7" s="2" t="s">
        <v>68</v>
      </c>
      <c r="F7" s="2"/>
      <c r="G7" s="2"/>
      <c r="H7" s="2"/>
      <c r="I7" s="2"/>
      <c r="J7" s="2"/>
    </row>
    <row r="8" spans="1:10" x14ac:dyDescent="0.3">
      <c r="A8" s="1" t="s">
        <v>8</v>
      </c>
      <c r="B8" s="4">
        <v>0.2</v>
      </c>
      <c r="C8" s="1" t="s">
        <v>3</v>
      </c>
      <c r="E8" s="6" t="s">
        <v>55</v>
      </c>
      <c r="F8" s="6" t="s">
        <v>56</v>
      </c>
      <c r="G8" s="6" t="s">
        <v>63</v>
      </c>
      <c r="H8" s="6" t="s">
        <v>64</v>
      </c>
      <c r="I8" s="6" t="s">
        <v>66</v>
      </c>
      <c r="J8" s="6" t="s">
        <v>69</v>
      </c>
    </row>
    <row r="9" spans="1:10" x14ac:dyDescent="0.3">
      <c r="A9" s="1" t="s">
        <v>9</v>
      </c>
      <c r="B9" s="4">
        <v>0.15</v>
      </c>
      <c r="C9" s="1" t="s">
        <v>3</v>
      </c>
      <c r="E9" s="10" t="s">
        <v>57</v>
      </c>
      <c r="F9" s="4">
        <v>6.3743224999999999</v>
      </c>
      <c r="G9" s="11">
        <f>F9/B22</f>
        <v>1.3381375754320159</v>
      </c>
      <c r="H9" s="11">
        <f>F9/B30</f>
        <v>2.1157977201720843</v>
      </c>
      <c r="I9" s="8">
        <f>F9/B34</f>
        <v>5.9790562286089495</v>
      </c>
      <c r="J9" s="6" t="s">
        <v>70</v>
      </c>
    </row>
    <row r="10" spans="1:10" x14ac:dyDescent="0.3">
      <c r="A10" s="1" t="s">
        <v>38</v>
      </c>
      <c r="B10" s="4">
        <f>F2*F1</f>
        <v>0.686469</v>
      </c>
      <c r="C10" s="1" t="s">
        <v>43</v>
      </c>
      <c r="E10" s="10" t="s">
        <v>58</v>
      </c>
      <c r="F10" s="4">
        <v>11.298241465</v>
      </c>
      <c r="G10" s="8">
        <f>F10/B22</f>
        <v>2.3717973856234242</v>
      </c>
      <c r="H10" s="8">
        <f>F10/B30</f>
        <v>3.7501700821696282</v>
      </c>
      <c r="I10" s="8">
        <f>F10/B34</f>
        <v>10.597647201508263</v>
      </c>
      <c r="J10" s="6" t="s">
        <v>71</v>
      </c>
    </row>
    <row r="11" spans="1:10" x14ac:dyDescent="0.3">
      <c r="A11" s="1" t="s">
        <v>42</v>
      </c>
      <c r="B11" s="4">
        <f>F3*F1</f>
        <v>6.8646899999999995</v>
      </c>
      <c r="C11" s="1" t="s">
        <v>43</v>
      </c>
      <c r="E11" s="10" t="s">
        <v>59</v>
      </c>
      <c r="F11" s="4">
        <v>4.3149259999999998</v>
      </c>
      <c r="G11" s="8">
        <f>F11/B22</f>
        <v>0.90581620490782622</v>
      </c>
      <c r="H11" s="8">
        <f>F11/B30</f>
        <v>1.4322323028857185</v>
      </c>
      <c r="I11" s="8">
        <f>F11/B34</f>
        <v>4.0473611393660578</v>
      </c>
      <c r="J11" s="6" t="s">
        <v>72</v>
      </c>
    </row>
    <row r="12" spans="1:10" x14ac:dyDescent="0.3">
      <c r="A12" s="2" t="s">
        <v>61</v>
      </c>
      <c r="B12" s="2"/>
      <c r="C12" s="2"/>
      <c r="E12" s="10" t="s">
        <v>65</v>
      </c>
      <c r="F12" s="4">
        <v>2.9518016500000002</v>
      </c>
      <c r="G12" s="8">
        <f>F12/B22</f>
        <v>0.61966063108467206</v>
      </c>
      <c r="H12" s="8">
        <f>F12/B30</f>
        <v>0.97977709811045754</v>
      </c>
      <c r="I12" s="11">
        <f>F12/B34</f>
        <v>2.7687629612481444</v>
      </c>
      <c r="J12" s="6" t="s">
        <v>73</v>
      </c>
    </row>
    <row r="13" spans="1:10" x14ac:dyDescent="0.3">
      <c r="A13" s="1" t="s">
        <v>44</v>
      </c>
      <c r="B13" s="4">
        <f>B11*SUM(B7:B9)</f>
        <v>3.4323449999999998</v>
      </c>
      <c r="C13" s="1" t="s">
        <v>54</v>
      </c>
    </row>
    <row r="14" spans="1:10" x14ac:dyDescent="0.3">
      <c r="A14" s="1" t="s">
        <v>45</v>
      </c>
      <c r="B14" s="4">
        <f>B3*B5*B9*(B8+B7+B9/2)</f>
        <v>0.20629484144292315</v>
      </c>
      <c r="C14" s="1" t="s">
        <v>54</v>
      </c>
    </row>
    <row r="15" spans="1:10" x14ac:dyDescent="0.3">
      <c r="A15" s="1" t="s">
        <v>46</v>
      </c>
      <c r="B15" s="4">
        <f>B10*SUM(B7:B8)</f>
        <v>0.24026414999999998</v>
      </c>
      <c r="C15" s="1" t="s">
        <v>54</v>
      </c>
    </row>
    <row r="16" spans="1:10" x14ac:dyDescent="0.3">
      <c r="A16" s="1" t="s">
        <v>47</v>
      </c>
      <c r="B16" s="4">
        <f>B10*SUM(B7:B8)</f>
        <v>0.24026414999999998</v>
      </c>
      <c r="C16" s="1" t="s">
        <v>54</v>
      </c>
    </row>
    <row r="17" spans="1:3" x14ac:dyDescent="0.3">
      <c r="A17" s="1" t="s">
        <v>48</v>
      </c>
      <c r="B17" s="4">
        <f>B10*SUM(B7:B8)</f>
        <v>0.24026414999999998</v>
      </c>
      <c r="C17" s="1" t="s">
        <v>54</v>
      </c>
    </row>
    <row r="18" spans="1:3" x14ac:dyDescent="0.3">
      <c r="A18" s="1" t="s">
        <v>49</v>
      </c>
      <c r="B18" s="4">
        <f>B3*B5*B8*(B7+B8/2)</f>
        <v>0.16179987564150836</v>
      </c>
      <c r="C18" s="1" t="s">
        <v>54</v>
      </c>
    </row>
    <row r="19" spans="1:3" x14ac:dyDescent="0.3">
      <c r="A19" s="1" t="s">
        <v>50</v>
      </c>
      <c r="B19" s="4">
        <f>B10*B7</f>
        <v>0.10297035</v>
      </c>
      <c r="C19" s="1" t="s">
        <v>54</v>
      </c>
    </row>
    <row r="20" spans="1:3" x14ac:dyDescent="0.3">
      <c r="A20" s="1" t="s">
        <v>51</v>
      </c>
      <c r="B20" s="4">
        <f>B10*B7</f>
        <v>0.10297035</v>
      </c>
      <c r="C20" s="1" t="s">
        <v>54</v>
      </c>
    </row>
    <row r="21" spans="1:3" x14ac:dyDescent="0.3">
      <c r="A21" s="1" t="s">
        <v>52</v>
      </c>
      <c r="B21" s="4">
        <f>B3*B5*B7*B7/2</f>
        <v>3.6404972019339378E-2</v>
      </c>
      <c r="C21" s="1" t="s">
        <v>54</v>
      </c>
    </row>
    <row r="22" spans="1:3" x14ac:dyDescent="0.3">
      <c r="A22" s="7" t="s">
        <v>53</v>
      </c>
      <c r="B22" s="7">
        <f>SUM(B13:B21)</f>
        <v>4.7635778391037693</v>
      </c>
      <c r="C22" s="7" t="s">
        <v>54</v>
      </c>
    </row>
    <row r="23" spans="1:3" x14ac:dyDescent="0.3">
      <c r="A23" s="2" t="s">
        <v>62</v>
      </c>
      <c r="B23" s="2"/>
      <c r="C23" s="2"/>
    </row>
    <row r="24" spans="1:3" x14ac:dyDescent="0.3">
      <c r="A24" s="1" t="s">
        <v>44</v>
      </c>
      <c r="B24" s="4">
        <f>B11*SUM(B8:B9)</f>
        <v>2.4026414999999997</v>
      </c>
      <c r="C24" s="1" t="s">
        <v>54</v>
      </c>
    </row>
    <row r="25" spans="1:3" x14ac:dyDescent="0.3">
      <c r="A25" s="1" t="s">
        <v>45</v>
      </c>
      <c r="B25" s="4">
        <f>B9*B5*B3*(B8+B9/2)</f>
        <v>0.13348489740424441</v>
      </c>
      <c r="C25" s="1" t="s">
        <v>54</v>
      </c>
    </row>
    <row r="26" spans="1:3" x14ac:dyDescent="0.3">
      <c r="A26" s="1" t="s">
        <v>46</v>
      </c>
      <c r="B26" s="4">
        <f>B10*B8</f>
        <v>0.13729379999999999</v>
      </c>
      <c r="C26" s="1" t="s">
        <v>54</v>
      </c>
    </row>
    <row r="27" spans="1:3" x14ac:dyDescent="0.3">
      <c r="A27" s="1" t="s">
        <v>47</v>
      </c>
      <c r="B27" s="4">
        <f>B10*B8</f>
        <v>0.13729379999999999</v>
      </c>
      <c r="C27" s="1" t="s">
        <v>54</v>
      </c>
    </row>
    <row r="28" spans="1:3" x14ac:dyDescent="0.3">
      <c r="A28" s="1" t="s">
        <v>48</v>
      </c>
      <c r="B28" s="4">
        <f>B8*B10</f>
        <v>0.13729379999999999</v>
      </c>
      <c r="C28" s="1" t="s">
        <v>54</v>
      </c>
    </row>
    <row r="29" spans="1:3" x14ac:dyDescent="0.3">
      <c r="A29" s="1" t="s">
        <v>49</v>
      </c>
      <c r="B29" s="4">
        <f>B8*B5*B3*B8/2</f>
        <v>6.4719950256603334E-2</v>
      </c>
      <c r="C29" s="1" t="s">
        <v>54</v>
      </c>
    </row>
    <row r="30" spans="1:3" x14ac:dyDescent="0.3">
      <c r="A30" s="7" t="s">
        <v>53</v>
      </c>
      <c r="B30" s="7">
        <f>SUM(B24:B29)</f>
        <v>3.0127277476608478</v>
      </c>
      <c r="C30" s="7" t="s">
        <v>54</v>
      </c>
    </row>
    <row r="31" spans="1:3" x14ac:dyDescent="0.3">
      <c r="A31" s="2" t="s">
        <v>75</v>
      </c>
      <c r="B31" s="2"/>
      <c r="C31" s="2"/>
    </row>
    <row r="32" spans="1:3" x14ac:dyDescent="0.3">
      <c r="A32" s="1" t="s">
        <v>44</v>
      </c>
      <c r="B32" s="4">
        <f>B11*B9</f>
        <v>1.0297034999999999</v>
      </c>
      <c r="C32" s="1" t="s">
        <v>54</v>
      </c>
    </row>
    <row r="33" spans="1:3" x14ac:dyDescent="0.3">
      <c r="A33" s="1" t="s">
        <v>45</v>
      </c>
      <c r="B33" s="4">
        <f>B9*B5*B3*B9/2</f>
        <v>3.6404972019339378E-2</v>
      </c>
      <c r="C33" s="1" t="s">
        <v>54</v>
      </c>
    </row>
    <row r="34" spans="1:3" x14ac:dyDescent="0.3">
      <c r="A34" s="7" t="s">
        <v>53</v>
      </c>
      <c r="B34" s="7">
        <f>SUM(B32:B33)</f>
        <v>1.0661084720193392</v>
      </c>
      <c r="C34" s="7" t="s">
        <v>54</v>
      </c>
    </row>
  </sheetData>
  <mergeCells count="4">
    <mergeCell ref="A12:C12"/>
    <mergeCell ref="A23:C23"/>
    <mergeCell ref="A31:C31"/>
    <mergeCell ref="E7:J7"/>
  </mergeCells>
  <phoneticPr fontId="1" type="noConversion"/>
  <hyperlinks>
    <hyperlink ref="E9" r:id="rId1" xr:uid="{32346D30-9B03-4938-BB35-4F0CFA186BE2}"/>
    <hyperlink ref="E10" r:id="rId2" xr:uid="{D38DC5E1-66F6-42AE-9FE6-CE5B029E3919}"/>
    <hyperlink ref="E11" r:id="rId3" xr:uid="{E360B91C-ED17-4936-8908-070EB1B66B0A}"/>
    <hyperlink ref="E12" r:id="rId4" xr:uid="{95DFFEC3-E7D8-4983-BAD1-415D910C2BBF}"/>
  </hyperlinks>
  <pageMargins left="0.7" right="0.7" top="0.75" bottom="0.75" header="0.3" footer="0.3"/>
  <pageSetup orientation="portrait" horizontalDpi="1200" verticalDpi="120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30E-5445-4FD1-B3DC-90D4FC015F5D}">
  <dimension ref="A1:S168"/>
  <sheetViews>
    <sheetView tabSelected="1" workbookViewId="0">
      <selection activeCell="G2" sqref="G2"/>
    </sheetView>
  </sheetViews>
  <sheetFormatPr defaultRowHeight="14.4" x14ac:dyDescent="0.3"/>
  <cols>
    <col min="7" max="7" width="9.33203125" bestFit="1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6" t="s">
        <v>76</v>
      </c>
      <c r="I1" s="6" t="s">
        <v>14</v>
      </c>
      <c r="J1" s="6" t="s">
        <v>77</v>
      </c>
      <c r="K1" s="6" t="s">
        <v>14</v>
      </c>
      <c r="L1" s="1" t="s">
        <v>69</v>
      </c>
      <c r="M1" s="1"/>
      <c r="N1" s="1"/>
      <c r="O1" s="1"/>
      <c r="P1" s="1"/>
      <c r="Q1" s="1"/>
      <c r="R1" s="1"/>
      <c r="S1" s="1"/>
    </row>
    <row r="2" spans="1:19" x14ac:dyDescent="0.3">
      <c r="A2" s="1"/>
      <c r="B2" s="1"/>
      <c r="C2" s="1"/>
      <c r="D2" s="1"/>
      <c r="E2" s="1"/>
      <c r="F2" s="1"/>
      <c r="G2" s="5" t="s">
        <v>55</v>
      </c>
      <c r="H2" s="12">
        <v>0.185</v>
      </c>
      <c r="I2" s="1" t="s">
        <v>54</v>
      </c>
      <c r="J2" s="12">
        <v>4000</v>
      </c>
      <c r="K2" s="1" t="s">
        <v>78</v>
      </c>
      <c r="L2" s="12" t="s">
        <v>79</v>
      </c>
      <c r="M2" s="1"/>
      <c r="N2" s="1"/>
      <c r="O2" s="1"/>
      <c r="P2" s="1"/>
      <c r="Q2" s="1"/>
      <c r="R2" s="1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</sheetData>
  <hyperlinks>
    <hyperlink ref="G2" r:id="rId1" xr:uid="{6123B029-937C-4C2B-BA2A-6EBB1E810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ver1</vt:lpstr>
      <vt:lpstr>ver2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SADAT</dc:creator>
  <cp:lastModifiedBy>REZA SADAT</cp:lastModifiedBy>
  <dcterms:created xsi:type="dcterms:W3CDTF">2015-06-05T18:17:20Z</dcterms:created>
  <dcterms:modified xsi:type="dcterms:W3CDTF">2022-08-30T11:25:53Z</dcterms:modified>
</cp:coreProperties>
</file>