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V:\1.1\Geology\"/>
    </mc:Choice>
  </mc:AlternateContent>
  <xr:revisionPtr revIDLastSave="0" documentId="13_ncr:1_{A54D4A88-9BA2-4100-BB6E-DB05C9F65EAC}" xr6:coauthVersionLast="45" xr6:coauthVersionMax="45" xr10:uidLastSave="{00000000-0000-0000-0000-000000000000}"/>
  <bookViews>
    <workbookView xWindow="-120" yWindow="-120" windowWidth="29040" windowHeight="15840" activeTab="1" xr2:uid="{E559155D-9198-479D-B098-A705296734F1}"/>
  </bookViews>
  <sheets>
    <sheet name="8-9" sheetId="1" r:id="rId1"/>
    <sheet name="10-1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76" i="2" l="1"/>
  <c r="P80" i="2"/>
  <c r="G48" i="2"/>
  <c r="P79" i="2"/>
  <c r="G73" i="2"/>
  <c r="D9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74" i="2"/>
  <c r="N3" i="2"/>
  <c r="AB24" i="2"/>
  <c r="U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5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5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5" i="2"/>
  <c r="L28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H19" i="2" l="1"/>
  <c r="H16" i="2"/>
  <c r="H14" i="2"/>
  <c r="H13" i="2"/>
  <c r="H11" i="2"/>
  <c r="H10" i="2"/>
  <c r="H8" i="2"/>
  <c r="F66" i="2"/>
  <c r="E66" i="2"/>
  <c r="H7" i="2"/>
  <c r="H63" i="2"/>
  <c r="G63" i="2"/>
  <c r="F63" i="2"/>
  <c r="E63" i="2"/>
  <c r="H6" i="2"/>
  <c r="P2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AC34" i="1" l="1"/>
  <c r="H21" i="1"/>
  <c r="D53" i="1"/>
  <c r="C53" i="1"/>
  <c r="H19" i="1"/>
  <c r="M20" i="1" l="1"/>
  <c r="M19" i="1"/>
  <c r="K19" i="1" s="1"/>
  <c r="I52" i="1"/>
  <c r="I53" i="1" s="1"/>
  <c r="I54" i="1" s="1"/>
  <c r="H4" i="2"/>
  <c r="H3" i="2"/>
  <c r="E7" i="2"/>
  <c r="D10" i="2"/>
  <c r="D9" i="2"/>
  <c r="E21" i="1"/>
  <c r="E4" i="2"/>
  <c r="H2" i="2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26" i="1"/>
  <c r="I40" i="2"/>
  <c r="I41" i="2"/>
  <c r="I42" i="2"/>
  <c r="I43" i="2"/>
  <c r="I44" i="2"/>
  <c r="I45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26" i="2"/>
  <c r="E5" i="2"/>
  <c r="G27" i="2"/>
  <c r="G29" i="2"/>
  <c r="G35" i="2"/>
  <c r="G36" i="2"/>
  <c r="G37" i="2"/>
  <c r="G38" i="2"/>
  <c r="G41" i="2"/>
  <c r="G26" i="2"/>
  <c r="F45" i="2"/>
  <c r="G45" i="2" s="1"/>
  <c r="F44" i="2"/>
  <c r="G44" i="2" s="1"/>
  <c r="F43" i="2"/>
  <c r="G43" i="2" s="1"/>
  <c r="F42" i="2"/>
  <c r="G42" i="2" s="1"/>
  <c r="F41" i="2"/>
  <c r="F40" i="2"/>
  <c r="G40" i="2" s="1"/>
  <c r="F39" i="2"/>
  <c r="G39" i="2" s="1"/>
  <c r="F38" i="2"/>
  <c r="F37" i="2"/>
  <c r="F36" i="2"/>
  <c r="F35" i="2"/>
  <c r="F34" i="2"/>
  <c r="G34" i="2" s="1"/>
  <c r="F33" i="2"/>
  <c r="G33" i="2" s="1"/>
  <c r="F32" i="2"/>
  <c r="G32" i="2" s="1"/>
  <c r="F31" i="2"/>
  <c r="G31" i="2" s="1"/>
  <c r="F30" i="2"/>
  <c r="G30" i="2" s="1"/>
  <c r="F29" i="2"/>
  <c r="F28" i="2"/>
  <c r="G28" i="2" s="1"/>
  <c r="F27" i="2"/>
  <c r="F26" i="2"/>
  <c r="E3" i="2"/>
  <c r="B41" i="2" s="1"/>
  <c r="C41" i="2" s="1"/>
  <c r="C35" i="2"/>
  <c r="C36" i="2"/>
  <c r="C38" i="2"/>
  <c r="C43" i="2"/>
  <c r="C26" i="2"/>
  <c r="B45" i="2"/>
  <c r="C45" i="2" s="1"/>
  <c r="B44" i="2"/>
  <c r="C44" i="2" s="1"/>
  <c r="B43" i="2"/>
  <c r="B42" i="2"/>
  <c r="C42" i="2" s="1"/>
  <c r="B40" i="2"/>
  <c r="C40" i="2" s="1"/>
  <c r="B39" i="2"/>
  <c r="C39" i="2" s="1"/>
  <c r="B38" i="2"/>
  <c r="B37" i="2"/>
  <c r="C37" i="2" s="1"/>
  <c r="B36" i="2"/>
  <c r="B35" i="2"/>
  <c r="B34" i="2"/>
  <c r="C34" i="2" s="1"/>
  <c r="B33" i="2"/>
  <c r="C33" i="2" s="1"/>
  <c r="B32" i="2"/>
  <c r="C32" i="2" s="1"/>
  <c r="B31" i="2"/>
  <c r="C31" i="2" s="1"/>
  <c r="B30" i="2"/>
  <c r="C30" i="2" s="1"/>
  <c r="B28" i="2"/>
  <c r="C28" i="2" s="1"/>
  <c r="B27" i="2"/>
  <c r="C27" i="2" s="1"/>
  <c r="B26" i="2"/>
  <c r="K52" i="1" l="1"/>
  <c r="K53" i="1" s="1"/>
  <c r="K21" i="1" s="1"/>
  <c r="G46" i="2"/>
  <c r="E6" i="2" s="1"/>
  <c r="B29" i="2"/>
  <c r="C29" i="2" s="1"/>
  <c r="C46" i="2" s="1"/>
  <c r="AE82" i="1"/>
  <c r="AJ78" i="1"/>
  <c r="AJ72" i="1"/>
  <c r="AK75" i="1"/>
  <c r="AJ75" i="1"/>
  <c r="AE80" i="1"/>
  <c r="AH75" i="1"/>
  <c r="AG75" i="1"/>
  <c r="AE78" i="1"/>
  <c r="AE75" i="1"/>
  <c r="AE74" i="1"/>
  <c r="AE72" i="1"/>
  <c r="AE73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F46" i="1"/>
  <c r="AC54" i="1"/>
  <c r="AG46" i="1" s="1"/>
  <c r="T60" i="1" s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34" i="1"/>
  <c r="AF48" i="1" l="1"/>
  <c r="AG48" i="1"/>
  <c r="K22" i="1"/>
  <c r="M15" i="1"/>
  <c r="H20" i="1"/>
  <c r="G4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2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E20" i="1"/>
  <c r="E19" i="1"/>
  <c r="B32" i="1" s="1"/>
  <c r="C32" i="1" s="1"/>
  <c r="T62" i="1" l="1"/>
  <c r="B35" i="1"/>
  <c r="C35" i="1" s="1"/>
  <c r="B36" i="1"/>
  <c r="C36" i="1" s="1"/>
  <c r="B38" i="1"/>
  <c r="C38" i="1" s="1"/>
  <c r="B40" i="1"/>
  <c r="C40" i="1" s="1"/>
  <c r="B27" i="1"/>
  <c r="C27" i="1" s="1"/>
  <c r="B42" i="1"/>
  <c r="C42" i="1" s="1"/>
  <c r="B34" i="1"/>
  <c r="C34" i="1" s="1"/>
  <c r="B39" i="1"/>
  <c r="C39" i="1" s="1"/>
  <c r="B26" i="1"/>
  <c r="C26" i="1" s="1"/>
  <c r="B41" i="1"/>
  <c r="C41" i="1" s="1"/>
  <c r="B37" i="1"/>
  <c r="C37" i="1" s="1"/>
  <c r="B28" i="1"/>
  <c r="C28" i="1" s="1"/>
  <c r="B33" i="1"/>
  <c r="C33" i="1" s="1"/>
  <c r="B29" i="1"/>
  <c r="C29" i="1" s="1"/>
  <c r="B43" i="1"/>
  <c r="C43" i="1" s="1"/>
  <c r="B30" i="1"/>
  <c r="C30" i="1" s="1"/>
  <c r="B44" i="1"/>
  <c r="C44" i="1" s="1"/>
  <c r="B31" i="1"/>
  <c r="C31" i="1" s="1"/>
  <c r="B45" i="1"/>
  <c r="C45" i="1" s="1"/>
  <c r="C46" i="1" l="1"/>
</calcChain>
</file>

<file path=xl/sharedStrings.xml><?xml version="1.0" encoding="utf-8"?>
<sst xmlns="http://schemas.openxmlformats.org/spreadsheetml/2006/main" count="116" uniqueCount="82">
  <si>
    <t>x</t>
  </si>
  <si>
    <t>y</t>
  </si>
  <si>
    <r>
      <t>x</t>
    </r>
    <r>
      <rPr>
        <sz val="11"/>
        <color theme="1"/>
        <rFont val="Calibri"/>
        <family val="2"/>
        <charset val="204"/>
      </rPr>
      <t>¯</t>
    </r>
  </si>
  <si>
    <t>N=</t>
  </si>
  <si>
    <t>y¯</t>
  </si>
  <si>
    <t>x¯y¯</t>
  </si>
  <si>
    <t>Sx^</t>
  </si>
  <si>
    <t>x-x¯</t>
  </si>
  <si>
    <t>(x-x¯)^2</t>
  </si>
  <si>
    <t>Сумма</t>
  </si>
  <si>
    <t>y-y¯</t>
  </si>
  <si>
    <t>(y-y¯)^2</t>
  </si>
  <si>
    <t>Sy^</t>
  </si>
  <si>
    <t>r^</t>
  </si>
  <si>
    <t>t</t>
  </si>
  <si>
    <t>t1-a/2,v</t>
  </si>
  <si>
    <t>rн</t>
  </si>
  <si>
    <t>rв</t>
  </si>
  <si>
    <t>Упарядковані x</t>
  </si>
  <si>
    <t>№</t>
  </si>
  <si>
    <t>Ранг</t>
  </si>
  <si>
    <t>Упарядковані у</t>
  </si>
  <si>
    <t>Масив рангів</t>
  </si>
  <si>
    <t>rx</t>
  </si>
  <si>
    <t>ry</t>
  </si>
  <si>
    <t>Упарядкований масив за rx</t>
  </si>
  <si>
    <t>rx-ry</t>
  </si>
  <si>
    <t>(rx-ry)^2</t>
  </si>
  <si>
    <t>В'язок немає</t>
  </si>
  <si>
    <t>τ^с</t>
  </si>
  <si>
    <t>Коефіцієнт рангової кореляції Спірмена</t>
  </si>
  <si>
    <t>t=</t>
  </si>
  <si>
    <t>|t| = 15,3609</t>
  </si>
  <si>
    <t>15,3609&gt;2,10</t>
  </si>
  <si>
    <t>Між показниками існує монотонний зв'язок, при цьому від'ємний</t>
  </si>
  <si>
    <t>v</t>
  </si>
  <si>
    <t>τ^k</t>
  </si>
  <si>
    <t>u</t>
  </si>
  <si>
    <t>|u|= 5,352331</t>
  </si>
  <si>
    <t>5,35&gt;1,96</t>
  </si>
  <si>
    <t>коефіцієнт  кореляції Кендалла відмінний від нуля і між показниками x та y існує  монотонний  зв’язок,  причому  цей  зв’язок  від'ємний</t>
  </si>
  <si>
    <t>x¯=</t>
  </si>
  <si>
    <t>y¯=</t>
  </si>
  <si>
    <t>Sx^=</t>
  </si>
  <si>
    <t>Sy^=</t>
  </si>
  <si>
    <t>r^=</t>
  </si>
  <si>
    <t>x¯y¯=</t>
  </si>
  <si>
    <t>b^=</t>
  </si>
  <si>
    <t>a^=</t>
  </si>
  <si>
    <t>Від'ємний зв'язок</t>
  </si>
  <si>
    <t>у¯^</t>
  </si>
  <si>
    <t>ε</t>
  </si>
  <si>
    <t>ε^2</t>
  </si>
  <si>
    <t>S^2ε=</t>
  </si>
  <si>
    <t>σ{a^}=</t>
  </si>
  <si>
    <t>σ{b^}=</t>
  </si>
  <si>
    <t>aн=</t>
  </si>
  <si>
    <t>t1-a/2,v=</t>
  </si>
  <si>
    <t>ав=</t>
  </si>
  <si>
    <t xml:space="preserve">bн = </t>
  </si>
  <si>
    <t>bв =</t>
  </si>
  <si>
    <t>tа=</t>
  </si>
  <si>
    <t>параметр а значющий</t>
  </si>
  <si>
    <t>tb=</t>
  </si>
  <si>
    <t>параметр b незначищий</t>
  </si>
  <si>
    <t>Початкові данні</t>
  </si>
  <si>
    <t>Значення регресії</t>
  </si>
  <si>
    <t>y¯^ (x)= a^+b^x</t>
  </si>
  <si>
    <t>σ{y¯^ (x)}</t>
  </si>
  <si>
    <t>95% довірчих інтервалів на регресію</t>
  </si>
  <si>
    <t>y¯н(х)</t>
  </si>
  <si>
    <t>y¯в(х)</t>
  </si>
  <si>
    <t>σ{y^ (x)}</t>
  </si>
  <si>
    <t>95% довірчих інтервалів на  прогнозне значення</t>
  </si>
  <si>
    <t>yн(х)</t>
  </si>
  <si>
    <t>yв(х)</t>
  </si>
  <si>
    <t>F=</t>
  </si>
  <si>
    <t>f=</t>
  </si>
  <si>
    <t>F&gt;f</t>
  </si>
  <si>
    <t>регресія значуща</t>
  </si>
  <si>
    <t>R^2=</t>
  </si>
  <si>
    <t>регресія адекватна, але в даних є 1 аномальне значення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</si>
</sst>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left"/>
    </xf>
    <xf numFmtId="0" fontId="0" fillId="2" borderId="0" xfId="0" applyFill="1"/>
    <xf numFmtId="164" fontId="0" fillId="0" borderId="0" xfId="0" applyNumberFormat="1"/>
    <xf numFmtId="2" fontId="0" fillId="0" borderId="0" xfId="0" applyNumberFormat="1"/>
    <xf numFmtId="164" fontId="0" fillId="2" borderId="0" xfId="0" applyNumberFormat="1" applyFill="1"/>
    <xf numFmtId="0" fontId="1" fillId="0" borderId="1" xfId="0" applyFont="1" applyBorder="1" applyAlignment="1">
      <alignment horizontal="center"/>
    </xf>
    <xf numFmtId="0" fontId="0" fillId="3" borderId="0" xfId="0" applyFill="1"/>
    <xf numFmtId="0" fontId="0" fillId="4" borderId="0" xfId="0" applyFill="1"/>
    <xf numFmtId="0" fontId="2" fillId="4" borderId="0" xfId="0" applyFont="1" applyFill="1"/>
    <xf numFmtId="2" fontId="0" fillId="3" borderId="0" xfId="0" applyNumberFormat="1" applyFill="1"/>
    <xf numFmtId="2" fontId="0" fillId="4" borderId="0" xfId="0" applyNumberFormat="1" applyFill="1"/>
    <xf numFmtId="0" fontId="0" fillId="0" borderId="0" xfId="0" applyFill="1"/>
    <xf numFmtId="2" fontId="0" fillId="2" borderId="0" xfId="0" applyNumberFormat="1" applyFill="1"/>
    <xf numFmtId="165" fontId="0" fillId="4" borderId="0" xfId="0" applyNumberFormat="1" applyFill="1"/>
    <xf numFmtId="1" fontId="0" fillId="0" borderId="0" xfId="0" applyNumberFormat="1"/>
    <xf numFmtId="0" fontId="2" fillId="0" borderId="0" xfId="0" applyFont="1"/>
    <xf numFmtId="0" fontId="0" fillId="5" borderId="0" xfId="0" applyFill="1"/>
    <xf numFmtId="0" fontId="2" fillId="5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0" fillId="0" borderId="2" xfId="0" applyNumberFormat="1" applyBorder="1" applyAlignment="1">
      <alignment horizontal="left" indent="5"/>
    </xf>
    <xf numFmtId="2" fontId="0" fillId="0" borderId="0" xfId="0" applyNumberFormat="1" applyAlignment="1">
      <alignment horizontal="left" indent="5"/>
    </xf>
    <xf numFmtId="0" fontId="0" fillId="5" borderId="0" xfId="0" applyFill="1" applyAlignment="1">
      <alignment horizontal="center"/>
    </xf>
    <xf numFmtId="2" fontId="0" fillId="0" borderId="0" xfId="0" applyNumberFormat="1" applyFill="1"/>
    <xf numFmtId="2" fontId="0" fillId="0" borderId="0" xfId="0" applyNumberFormat="1" applyAlignment="1">
      <alignment horizontal="center"/>
    </xf>
    <xf numFmtId="0" fontId="0" fillId="5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Кореляційне</a:t>
            </a:r>
            <a:r>
              <a:rPr lang="uk-UA" baseline="0"/>
              <a:t> поле</a:t>
            </a:r>
            <a:r>
              <a:rPr lang="en-US" baseline="0"/>
              <a:t> (</a:t>
            </a:r>
            <a:r>
              <a:rPr lang="uk-UA" baseline="0"/>
              <a:t>від'ємний лінійний зв'язок</a:t>
            </a:r>
            <a:r>
              <a:rPr lang="en-US" baseline="0"/>
              <a:t>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'8-9'!$A$3:$A$22</c:f>
              <c:numCache>
                <c:formatCode>General</c:formatCode>
                <c:ptCount val="20"/>
                <c:pt idx="0">
                  <c:v>1</c:v>
                </c:pt>
                <c:pt idx="1">
                  <c:v>1.5</c:v>
                </c:pt>
                <c:pt idx="2">
                  <c:v>1.7</c:v>
                </c:pt>
                <c:pt idx="3">
                  <c:v>3.1</c:v>
                </c:pt>
                <c:pt idx="4">
                  <c:v>4.5999999999999996</c:v>
                </c:pt>
                <c:pt idx="5">
                  <c:v>6</c:v>
                </c:pt>
                <c:pt idx="6">
                  <c:v>6.8</c:v>
                </c:pt>
                <c:pt idx="7">
                  <c:v>8.1999999999999993</c:v>
                </c:pt>
                <c:pt idx="8">
                  <c:v>8.9</c:v>
                </c:pt>
                <c:pt idx="9">
                  <c:v>9.5</c:v>
                </c:pt>
                <c:pt idx="10">
                  <c:v>11.1</c:v>
                </c:pt>
                <c:pt idx="11">
                  <c:v>12.3</c:v>
                </c:pt>
                <c:pt idx="12">
                  <c:v>13.2</c:v>
                </c:pt>
                <c:pt idx="13">
                  <c:v>14</c:v>
                </c:pt>
                <c:pt idx="14">
                  <c:v>15.5</c:v>
                </c:pt>
                <c:pt idx="15">
                  <c:v>16.100000000000001</c:v>
                </c:pt>
                <c:pt idx="16">
                  <c:v>16.7</c:v>
                </c:pt>
                <c:pt idx="17">
                  <c:v>18</c:v>
                </c:pt>
                <c:pt idx="18">
                  <c:v>19.2</c:v>
                </c:pt>
                <c:pt idx="19">
                  <c:v>20.5</c:v>
                </c:pt>
              </c:numCache>
            </c:numRef>
          </c:xVal>
          <c:yVal>
            <c:numRef>
              <c:f>'8-9'!$B$3:$B$22</c:f>
              <c:numCache>
                <c:formatCode>General</c:formatCode>
                <c:ptCount val="20"/>
                <c:pt idx="0">
                  <c:v>69.099999999999994</c:v>
                </c:pt>
                <c:pt idx="1">
                  <c:v>64</c:v>
                </c:pt>
                <c:pt idx="2">
                  <c:v>61.3</c:v>
                </c:pt>
                <c:pt idx="3">
                  <c:v>68.400000000000006</c:v>
                </c:pt>
                <c:pt idx="4">
                  <c:v>52.8</c:v>
                </c:pt>
                <c:pt idx="5">
                  <c:v>52.1</c:v>
                </c:pt>
                <c:pt idx="6">
                  <c:v>51.5</c:v>
                </c:pt>
                <c:pt idx="7">
                  <c:v>53.4</c:v>
                </c:pt>
                <c:pt idx="8">
                  <c:v>40.4</c:v>
                </c:pt>
                <c:pt idx="9">
                  <c:v>40.700000000000003</c:v>
                </c:pt>
                <c:pt idx="10">
                  <c:v>36.4</c:v>
                </c:pt>
                <c:pt idx="11">
                  <c:v>35.9</c:v>
                </c:pt>
                <c:pt idx="12">
                  <c:v>43.5</c:v>
                </c:pt>
                <c:pt idx="13">
                  <c:v>29.3</c:v>
                </c:pt>
                <c:pt idx="14">
                  <c:v>23.1</c:v>
                </c:pt>
                <c:pt idx="15">
                  <c:v>23.2</c:v>
                </c:pt>
                <c:pt idx="16">
                  <c:v>22.4</c:v>
                </c:pt>
                <c:pt idx="17">
                  <c:v>11.5</c:v>
                </c:pt>
                <c:pt idx="18">
                  <c:v>9.8000000000000007</c:v>
                </c:pt>
                <c:pt idx="19">
                  <c:v>11.7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B4-40A2-B0F1-2A78EA1A3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791056"/>
        <c:axId val="560050912"/>
      </c:scatterChart>
      <c:valAx>
        <c:axId val="26179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0050912"/>
        <c:crosses val="autoZero"/>
        <c:crossBetween val="midCat"/>
      </c:valAx>
      <c:valAx>
        <c:axId val="56005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179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443353986966945"/>
          <c:y val="1.68025500308964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2218474078087632E-2"/>
          <c:y val="8.730380730380731E-2"/>
          <c:w val="0.93475525881129451"/>
          <c:h val="0.8405959045329124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'10-12'!$S$5:$S$24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'10-12'!$T$5:$T$24</c:f>
              <c:numCache>
                <c:formatCode>General</c:formatCode>
                <c:ptCount val="20"/>
                <c:pt idx="0">
                  <c:v>93.1</c:v>
                </c:pt>
                <c:pt idx="1">
                  <c:v>92</c:v>
                </c:pt>
                <c:pt idx="2">
                  <c:v>87.3</c:v>
                </c:pt>
                <c:pt idx="3">
                  <c:v>91.4</c:v>
                </c:pt>
                <c:pt idx="4">
                  <c:v>81.8</c:v>
                </c:pt>
                <c:pt idx="5">
                  <c:v>76.099999999999994</c:v>
                </c:pt>
                <c:pt idx="6">
                  <c:v>74.5</c:v>
                </c:pt>
                <c:pt idx="7">
                  <c:v>77.400000000000006</c:v>
                </c:pt>
                <c:pt idx="8">
                  <c:v>74.400000000000006</c:v>
                </c:pt>
                <c:pt idx="9">
                  <c:v>64.7</c:v>
                </c:pt>
                <c:pt idx="10">
                  <c:v>61.4</c:v>
                </c:pt>
                <c:pt idx="11">
                  <c:v>60.9</c:v>
                </c:pt>
                <c:pt idx="12">
                  <c:v>70.5</c:v>
                </c:pt>
                <c:pt idx="13">
                  <c:v>63.3</c:v>
                </c:pt>
                <c:pt idx="14">
                  <c:v>57.1</c:v>
                </c:pt>
                <c:pt idx="15">
                  <c:v>47.2</c:v>
                </c:pt>
                <c:pt idx="16">
                  <c:v>45.4</c:v>
                </c:pt>
                <c:pt idx="17">
                  <c:v>44.5</c:v>
                </c:pt>
                <c:pt idx="18">
                  <c:v>43.8</c:v>
                </c:pt>
                <c:pt idx="19">
                  <c:v>43.7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17-4268-882F-E65329781C65}"/>
            </c:ext>
          </c:extLst>
        </c:ser>
        <c:ser>
          <c:idx val="1"/>
          <c:order val="1"/>
          <c:tx>
            <c:v>Лінія регресії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'10-12'!$S$5:$S$24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'10-12'!$U$5:$U$24</c:f>
              <c:numCache>
                <c:formatCode>0.00</c:formatCode>
                <c:ptCount val="20"/>
                <c:pt idx="0">
                  <c:v>93.998571428571438</c:v>
                </c:pt>
                <c:pt idx="1">
                  <c:v>91.211879699248129</c:v>
                </c:pt>
                <c:pt idx="2">
                  <c:v>88.425187969924821</c:v>
                </c:pt>
                <c:pt idx="3">
                  <c:v>85.638496240601512</c:v>
                </c:pt>
                <c:pt idx="4">
                  <c:v>82.851804511278203</c:v>
                </c:pt>
                <c:pt idx="5">
                  <c:v>80.065112781954895</c:v>
                </c:pt>
                <c:pt idx="6">
                  <c:v>77.278421052631586</c:v>
                </c:pt>
                <c:pt idx="7">
                  <c:v>74.491729323308277</c:v>
                </c:pt>
                <c:pt idx="8">
                  <c:v>71.705037593984969</c:v>
                </c:pt>
                <c:pt idx="9">
                  <c:v>68.91834586466166</c:v>
                </c:pt>
                <c:pt idx="10">
                  <c:v>66.131654135338351</c:v>
                </c:pt>
                <c:pt idx="11">
                  <c:v>63.344962406015036</c:v>
                </c:pt>
                <c:pt idx="12">
                  <c:v>60.558270676691727</c:v>
                </c:pt>
                <c:pt idx="13">
                  <c:v>57.771578947368418</c:v>
                </c:pt>
                <c:pt idx="14">
                  <c:v>54.98488721804511</c:v>
                </c:pt>
                <c:pt idx="15">
                  <c:v>52.198195488721801</c:v>
                </c:pt>
                <c:pt idx="16">
                  <c:v>49.411503759398492</c:v>
                </c:pt>
                <c:pt idx="17">
                  <c:v>46.624812030075184</c:v>
                </c:pt>
                <c:pt idx="18">
                  <c:v>43.838120300751875</c:v>
                </c:pt>
                <c:pt idx="19">
                  <c:v>41.051428571428566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8C17-4268-882F-E65329781C65}"/>
            </c:ext>
          </c:extLst>
        </c:ser>
        <c:ser>
          <c:idx val="2"/>
          <c:order val="2"/>
          <c:tx>
            <c:v>на регресію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lgDash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'10-12'!$S$5:$S$24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'10-12'!$X$5:$X$24</c:f>
              <c:numCache>
                <c:formatCode>0.00</c:formatCode>
                <c:ptCount val="20"/>
                <c:pt idx="0">
                  <c:v>90.25018679754632</c:v>
                </c:pt>
                <c:pt idx="1">
                  <c:v>87.747408944856744</c:v>
                </c:pt>
                <c:pt idx="2">
                  <c:v>85.234221891903886</c:v>
                </c:pt>
                <c:pt idx="3">
                  <c:v>82.707709989226885</c:v>
                </c:pt>
                <c:pt idx="4">
                  <c:v>80.164000904514523</c:v>
                </c:pt>
                <c:pt idx="5">
                  <c:v>77.598008195007623</c:v>
                </c:pt>
                <c:pt idx="6">
                  <c:v>75.003237874410587</c:v>
                </c:pt>
                <c:pt idx="7">
                  <c:v>72.371859378452584</c:v>
                </c:pt>
                <c:pt idx="8">
                  <c:v>69.695367146159185</c:v>
                </c:pt>
                <c:pt idx="9">
                  <c:v>66.966106465472834</c:v>
                </c:pt>
                <c:pt idx="10">
                  <c:v>64.179414736149525</c:v>
                </c:pt>
                <c:pt idx="11">
                  <c:v>61.335291958189259</c:v>
                </c:pt>
                <c:pt idx="12">
                  <c:v>58.438400731836026</c:v>
                </c:pt>
                <c:pt idx="13">
                  <c:v>55.496395769147412</c:v>
                </c:pt>
                <c:pt idx="14">
                  <c:v>52.51778263109783</c:v>
                </c:pt>
                <c:pt idx="15">
                  <c:v>49.510391881958121</c:v>
                </c:pt>
                <c:pt idx="16">
                  <c:v>46.480717508023865</c:v>
                </c:pt>
                <c:pt idx="17">
                  <c:v>43.433845952054241</c:v>
                </c:pt>
                <c:pt idx="18">
                  <c:v>40.373649546360483</c:v>
                </c:pt>
                <c:pt idx="19">
                  <c:v>37.303043940403455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8C17-4268-882F-E65329781C65}"/>
            </c:ext>
          </c:extLst>
        </c:ser>
        <c:ser>
          <c:idx val="3"/>
          <c:order val="3"/>
          <c:tx>
            <c:v>на регресію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lgDash"/>
              </a:ln>
              <a:effectLst/>
            </c:spPr>
            <c:trendlineType val="linear"/>
            <c:dispRSqr val="0"/>
            <c:dispEq val="0"/>
          </c:trendline>
          <c:xVal>
            <c:numRef>
              <c:f>'10-12'!$S$5:$S$24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'10-12'!$Y$5:$Y$24</c:f>
              <c:numCache>
                <c:formatCode>0.00</c:formatCode>
                <c:ptCount val="20"/>
                <c:pt idx="0">
                  <c:v>97.746956059596556</c:v>
                </c:pt>
                <c:pt idx="1">
                  <c:v>94.676350453639515</c:v>
                </c:pt>
                <c:pt idx="2">
                  <c:v>91.616154047945756</c:v>
                </c:pt>
                <c:pt idx="3">
                  <c:v>88.569282491976139</c:v>
                </c:pt>
                <c:pt idx="4">
                  <c:v>85.539608118041883</c:v>
                </c:pt>
                <c:pt idx="5">
                  <c:v>82.532217368902167</c:v>
                </c:pt>
                <c:pt idx="6">
                  <c:v>79.553604230852585</c:v>
                </c:pt>
                <c:pt idx="7">
                  <c:v>76.611599268163971</c:v>
                </c:pt>
                <c:pt idx="8">
                  <c:v>73.714708041810752</c:v>
                </c:pt>
                <c:pt idx="9">
                  <c:v>70.870585263850487</c:v>
                </c:pt>
                <c:pt idx="10">
                  <c:v>68.083893534527178</c:v>
                </c:pt>
                <c:pt idx="11">
                  <c:v>65.354632853840812</c:v>
                </c:pt>
                <c:pt idx="12">
                  <c:v>62.678140621547428</c:v>
                </c:pt>
                <c:pt idx="13">
                  <c:v>60.046762125589424</c:v>
                </c:pt>
                <c:pt idx="14">
                  <c:v>57.451991804992389</c:v>
                </c:pt>
                <c:pt idx="15">
                  <c:v>54.885999095485481</c:v>
                </c:pt>
                <c:pt idx="16">
                  <c:v>52.342290010773119</c:v>
                </c:pt>
                <c:pt idx="17">
                  <c:v>49.815778108096126</c:v>
                </c:pt>
                <c:pt idx="18">
                  <c:v>47.302591055143267</c:v>
                </c:pt>
                <c:pt idx="19">
                  <c:v>44.799813202453677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8C17-4268-882F-E65329781C65}"/>
            </c:ext>
          </c:extLst>
        </c:ser>
        <c:ser>
          <c:idx val="4"/>
          <c:order val="4"/>
          <c:tx>
            <c:v>прогнозне значення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 cmpd="tri">
                <a:solidFill>
                  <a:srgbClr val="7030A0"/>
                </a:solidFill>
                <a:prstDash val="lgDashDotDot"/>
              </a:ln>
              <a:effectLst/>
            </c:spPr>
            <c:trendlineType val="linear"/>
            <c:dispRSqr val="0"/>
            <c:dispEq val="0"/>
          </c:trendline>
          <c:xVal>
            <c:numRef>
              <c:f>'10-12'!$S$5:$S$24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'10-12'!$AA$5:$AA$24</c:f>
              <c:numCache>
                <c:formatCode>0.00</c:formatCode>
                <c:ptCount val="20"/>
                <c:pt idx="0">
                  <c:v>84.527229433679125</c:v>
                </c:pt>
                <c:pt idx="1">
                  <c:v>81.849268447565265</c:v>
                </c:pt>
                <c:pt idx="2">
                  <c:v>79.160297449622618</c:v>
                </c:pt>
                <c:pt idx="3">
                  <c:v>76.459964773457557</c:v>
                </c:pt>
                <c:pt idx="4">
                  <c:v>73.747947083207549</c:v>
                </c:pt>
                <c:pt idx="5">
                  <c:v>71.023954842562304</c:v>
                </c:pt>
                <c:pt idx="6">
                  <c:v>68.287737522634259</c:v>
                </c:pt>
                <c:pt idx="7">
                  <c:v>65.539088348422268</c:v>
                </c:pt>
                <c:pt idx="8">
                  <c:v>62.777848386234879</c:v>
                </c:pt>
                <c:pt idx="9">
                  <c:v>60.003909790862572</c:v>
                </c:pt>
                <c:pt idx="10">
                  <c:v>57.217218061539263</c:v>
                </c:pt>
                <c:pt idx="11">
                  <c:v>54.417773198264946</c:v>
                </c:pt>
                <c:pt idx="12">
                  <c:v>51.605629701805725</c:v>
                </c:pt>
                <c:pt idx="13">
                  <c:v>48.780895417371092</c:v>
                </c:pt>
                <c:pt idx="14">
                  <c:v>45.943729278652519</c:v>
                </c:pt>
                <c:pt idx="15">
                  <c:v>43.094338060651147</c:v>
                </c:pt>
                <c:pt idx="16">
                  <c:v>40.23297229225453</c:v>
                </c:pt>
                <c:pt idx="17">
                  <c:v>37.359921509772974</c:v>
                </c:pt>
                <c:pt idx="18">
                  <c:v>34.475509049069011</c:v>
                </c:pt>
                <c:pt idx="19">
                  <c:v>31.580086576536257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8C17-4268-882F-E65329781C65}"/>
            </c:ext>
          </c:extLst>
        </c:ser>
        <c:ser>
          <c:idx val="5"/>
          <c:order val="5"/>
          <c:tx>
            <c:v>прогнозне значення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lgDashDotDot"/>
              </a:ln>
              <a:effectLst/>
            </c:spPr>
            <c:trendlineType val="linear"/>
            <c:dispRSqr val="0"/>
            <c:dispEq val="0"/>
          </c:trendline>
          <c:xVal>
            <c:numRef>
              <c:f>'10-12'!$S$5:$S$24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'10-12'!$AB$5:$AB$24</c:f>
              <c:numCache>
                <c:formatCode>0.00</c:formatCode>
                <c:ptCount val="20"/>
                <c:pt idx="0">
                  <c:v>103.46991342346375</c:v>
                </c:pt>
                <c:pt idx="1">
                  <c:v>100.57449095093099</c:v>
                </c:pt>
                <c:pt idx="2">
                  <c:v>97.690078490227023</c:v>
                </c:pt>
                <c:pt idx="3">
                  <c:v>94.817027707745467</c:v>
                </c:pt>
                <c:pt idx="4">
                  <c:v>91.955661939348857</c:v>
                </c:pt>
                <c:pt idx="5">
                  <c:v>89.106270721347485</c:v>
                </c:pt>
                <c:pt idx="6">
                  <c:v>86.269104582628913</c:v>
                </c:pt>
                <c:pt idx="7">
                  <c:v>83.444370298194286</c:v>
                </c:pt>
                <c:pt idx="8">
                  <c:v>80.632226801735058</c:v>
                </c:pt>
                <c:pt idx="9">
                  <c:v>77.832781938460755</c:v>
                </c:pt>
                <c:pt idx="10">
                  <c:v>75.046090209137446</c:v>
                </c:pt>
                <c:pt idx="11">
                  <c:v>72.272151613765118</c:v>
                </c:pt>
                <c:pt idx="12">
                  <c:v>69.510911651577729</c:v>
                </c:pt>
                <c:pt idx="13">
                  <c:v>66.762262477365738</c:v>
                </c:pt>
                <c:pt idx="14">
                  <c:v>64.026045157437693</c:v>
                </c:pt>
                <c:pt idx="15">
                  <c:v>61.302052916792455</c:v>
                </c:pt>
                <c:pt idx="16">
                  <c:v>58.590035226542454</c:v>
                </c:pt>
                <c:pt idx="17">
                  <c:v>55.889702550377393</c:v>
                </c:pt>
                <c:pt idx="18">
                  <c:v>53.200731552434739</c:v>
                </c:pt>
                <c:pt idx="19">
                  <c:v>50.522770566320872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8C17-4268-882F-E6532978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171776"/>
        <c:axId val="377884016"/>
      </c:scatterChart>
      <c:valAx>
        <c:axId val="27217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7884016"/>
        <c:crosses val="autoZero"/>
        <c:crossBetween val="midCat"/>
      </c:valAx>
      <c:valAx>
        <c:axId val="37788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217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Діагностична</a:t>
            </a:r>
            <a:r>
              <a:rPr lang="ru-RU" baseline="0"/>
              <a:t> діаграма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4261592300962376E-2"/>
          <c:y val="0.12696617886634676"/>
          <c:w val="0.83650918635170601"/>
          <c:h val="0.8353787128152435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'10-12'!$N$3:$N$22</c:f>
              <c:numCache>
                <c:formatCode>0.00</c:formatCode>
                <c:ptCount val="20"/>
                <c:pt idx="0">
                  <c:v>93.998571428571438</c:v>
                </c:pt>
                <c:pt idx="1">
                  <c:v>91.211879699248129</c:v>
                </c:pt>
                <c:pt idx="2">
                  <c:v>88.425187969924821</c:v>
                </c:pt>
                <c:pt idx="3">
                  <c:v>85.638496240601512</c:v>
                </c:pt>
                <c:pt idx="4">
                  <c:v>82.851804511278203</c:v>
                </c:pt>
                <c:pt idx="5">
                  <c:v>80.065112781954895</c:v>
                </c:pt>
                <c:pt idx="6">
                  <c:v>77.278421052631586</c:v>
                </c:pt>
                <c:pt idx="7">
                  <c:v>74.491729323308277</c:v>
                </c:pt>
                <c:pt idx="8">
                  <c:v>71.705037593984969</c:v>
                </c:pt>
                <c:pt idx="9">
                  <c:v>68.91834586466166</c:v>
                </c:pt>
                <c:pt idx="10">
                  <c:v>66.131654135338351</c:v>
                </c:pt>
                <c:pt idx="11">
                  <c:v>63.344962406015036</c:v>
                </c:pt>
                <c:pt idx="12">
                  <c:v>60.558270676691727</c:v>
                </c:pt>
                <c:pt idx="13">
                  <c:v>57.771578947368418</c:v>
                </c:pt>
                <c:pt idx="14">
                  <c:v>54.98488721804511</c:v>
                </c:pt>
                <c:pt idx="15">
                  <c:v>52.198195488721801</c:v>
                </c:pt>
                <c:pt idx="16">
                  <c:v>49.411503759398492</c:v>
                </c:pt>
                <c:pt idx="17">
                  <c:v>46.624812030075184</c:v>
                </c:pt>
                <c:pt idx="18">
                  <c:v>43.838120300751875</c:v>
                </c:pt>
                <c:pt idx="19">
                  <c:v>41.051428571428566</c:v>
                </c:pt>
              </c:numCache>
            </c:numRef>
          </c:xVal>
          <c:yVal>
            <c:numRef>
              <c:f>'10-12'!$O$3:$O$22</c:f>
              <c:numCache>
                <c:formatCode>0.00</c:formatCode>
                <c:ptCount val="20"/>
                <c:pt idx="0">
                  <c:v>-0.89857142857144368</c:v>
                </c:pt>
                <c:pt idx="1">
                  <c:v>0.78812030075187067</c:v>
                </c:pt>
                <c:pt idx="2">
                  <c:v>-1.1251879699248235</c:v>
                </c:pt>
                <c:pt idx="3">
                  <c:v>5.7615037593984937</c:v>
                </c:pt>
                <c:pt idx="4">
                  <c:v>-1.0518045112782062</c:v>
                </c:pt>
                <c:pt idx="5">
                  <c:v>-3.9651127819549004</c:v>
                </c:pt>
                <c:pt idx="6">
                  <c:v>-2.778421052631586</c:v>
                </c:pt>
                <c:pt idx="7">
                  <c:v>2.9082706766917283</c:v>
                </c:pt>
                <c:pt idx="8">
                  <c:v>2.694962406015037</c:v>
                </c:pt>
                <c:pt idx="9">
                  <c:v>-4.2183458646616572</c:v>
                </c:pt>
                <c:pt idx="10">
                  <c:v>-4.7316541353383528</c:v>
                </c:pt>
                <c:pt idx="11">
                  <c:v>-2.444962406015037</c:v>
                </c:pt>
                <c:pt idx="12">
                  <c:v>9.9417293233082731</c:v>
                </c:pt>
                <c:pt idx="13">
                  <c:v>5.5284210526315789</c:v>
                </c:pt>
                <c:pt idx="14">
                  <c:v>2.1151127819548918</c:v>
                </c:pt>
                <c:pt idx="15">
                  <c:v>-4.9981954887217981</c:v>
                </c:pt>
                <c:pt idx="16">
                  <c:v>-4.0115037593984937</c:v>
                </c:pt>
                <c:pt idx="17">
                  <c:v>-2.1248120300751836</c:v>
                </c:pt>
                <c:pt idx="18">
                  <c:v>-3.8120300751877778E-2</c:v>
                </c:pt>
                <c:pt idx="19">
                  <c:v>2.6485714285714366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FA-438A-A6AD-ADBC847CD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161952"/>
        <c:axId val="423787920"/>
      </c:scatterChart>
      <c:valAx>
        <c:axId val="45116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3787920"/>
        <c:crosses val="autoZero"/>
        <c:crossBetween val="midCat"/>
      </c:valAx>
      <c:valAx>
        <c:axId val="42378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116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94582239720035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'10-12'!$L$3:$L$22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'10-12'!$M$3:$M$22</c:f>
              <c:numCache>
                <c:formatCode>General</c:formatCode>
                <c:ptCount val="20"/>
                <c:pt idx="0">
                  <c:v>93.1</c:v>
                </c:pt>
                <c:pt idx="1">
                  <c:v>92</c:v>
                </c:pt>
                <c:pt idx="2">
                  <c:v>87.3</c:v>
                </c:pt>
                <c:pt idx="3">
                  <c:v>91.4</c:v>
                </c:pt>
                <c:pt idx="4">
                  <c:v>81.8</c:v>
                </c:pt>
                <c:pt idx="5">
                  <c:v>76.099999999999994</c:v>
                </c:pt>
                <c:pt idx="6">
                  <c:v>74.5</c:v>
                </c:pt>
                <c:pt idx="7">
                  <c:v>77.400000000000006</c:v>
                </c:pt>
                <c:pt idx="8">
                  <c:v>74.400000000000006</c:v>
                </c:pt>
                <c:pt idx="9">
                  <c:v>64.7</c:v>
                </c:pt>
                <c:pt idx="10">
                  <c:v>61.4</c:v>
                </c:pt>
                <c:pt idx="11">
                  <c:v>60.9</c:v>
                </c:pt>
                <c:pt idx="12">
                  <c:v>70.5</c:v>
                </c:pt>
                <c:pt idx="13">
                  <c:v>63.3</c:v>
                </c:pt>
                <c:pt idx="14">
                  <c:v>57.1</c:v>
                </c:pt>
                <c:pt idx="15">
                  <c:v>47.2</c:v>
                </c:pt>
                <c:pt idx="16">
                  <c:v>45.4</c:v>
                </c:pt>
                <c:pt idx="17">
                  <c:v>44.5</c:v>
                </c:pt>
                <c:pt idx="18">
                  <c:v>43.8</c:v>
                </c:pt>
                <c:pt idx="19">
                  <c:v>43.7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F5-43D3-BF14-16B0138934D7}"/>
            </c:ext>
          </c:extLst>
        </c:ser>
        <c:ser>
          <c:idx val="1"/>
          <c:order val="1"/>
          <c:tx>
            <c:v>ряд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'10-12'!$L$3:$L$22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'10-12'!$N$3:$N$22</c:f>
              <c:numCache>
                <c:formatCode>0.00</c:formatCode>
                <c:ptCount val="20"/>
                <c:pt idx="0">
                  <c:v>93.998571428571438</c:v>
                </c:pt>
                <c:pt idx="1">
                  <c:v>91.211879699248129</c:v>
                </c:pt>
                <c:pt idx="2">
                  <c:v>88.425187969924821</c:v>
                </c:pt>
                <c:pt idx="3">
                  <c:v>85.638496240601512</c:v>
                </c:pt>
                <c:pt idx="4">
                  <c:v>82.851804511278203</c:v>
                </c:pt>
                <c:pt idx="5">
                  <c:v>80.065112781954895</c:v>
                </c:pt>
                <c:pt idx="6">
                  <c:v>77.278421052631586</c:v>
                </c:pt>
                <c:pt idx="7">
                  <c:v>74.491729323308277</c:v>
                </c:pt>
                <c:pt idx="8">
                  <c:v>71.705037593984969</c:v>
                </c:pt>
                <c:pt idx="9">
                  <c:v>68.91834586466166</c:v>
                </c:pt>
                <c:pt idx="10">
                  <c:v>66.131654135338351</c:v>
                </c:pt>
                <c:pt idx="11">
                  <c:v>63.344962406015036</c:v>
                </c:pt>
                <c:pt idx="12">
                  <c:v>60.558270676691727</c:v>
                </c:pt>
                <c:pt idx="13">
                  <c:v>57.771578947368418</c:v>
                </c:pt>
                <c:pt idx="14">
                  <c:v>54.98488721804511</c:v>
                </c:pt>
                <c:pt idx="15">
                  <c:v>52.198195488721801</c:v>
                </c:pt>
                <c:pt idx="16">
                  <c:v>49.411503759398492</c:v>
                </c:pt>
                <c:pt idx="17">
                  <c:v>46.624812030075184</c:v>
                </c:pt>
                <c:pt idx="18">
                  <c:v>43.838120300751875</c:v>
                </c:pt>
                <c:pt idx="19">
                  <c:v>41.051428571428566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F5-43D3-BF14-16B013893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639680"/>
        <c:axId val="1445813024"/>
      </c:scatterChart>
      <c:valAx>
        <c:axId val="178663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5813024"/>
        <c:crosses val="autoZero"/>
        <c:crossBetween val="midCat"/>
      </c:valAx>
      <c:valAx>
        <c:axId val="144581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663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1</xdr:row>
      <xdr:rowOff>85725</xdr:rowOff>
    </xdr:from>
    <xdr:to>
      <xdr:col>10</xdr:col>
      <xdr:colOff>247650</xdr:colOff>
      <xdr:row>15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80B9E9C-B577-4089-AA1E-3710200D0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600075</xdr:colOff>
      <xdr:row>24</xdr:row>
      <xdr:rowOff>171449</xdr:rowOff>
    </xdr:from>
    <xdr:to>
      <xdr:col>28</xdr:col>
      <xdr:colOff>38100</xdr:colOff>
      <xdr:row>46</xdr:row>
      <xdr:rowOff>66674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2EA4F6D-6BEA-4A16-A6CA-4C51A5F7C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523875</xdr:colOff>
      <xdr:row>76</xdr:row>
      <xdr:rowOff>147637</xdr:rowOff>
    </xdr:from>
    <xdr:to>
      <xdr:col>12</xdr:col>
      <xdr:colOff>190500</xdr:colOff>
      <xdr:row>96</xdr:row>
      <xdr:rowOff>47625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DEB2035-FC4E-43DD-8037-DE2FB48CD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333375</xdr:colOff>
      <xdr:row>24</xdr:row>
      <xdr:rowOff>42862</xdr:rowOff>
    </xdr:from>
    <xdr:to>
      <xdr:col>17</xdr:col>
      <xdr:colOff>28575</xdr:colOff>
      <xdr:row>38</xdr:row>
      <xdr:rowOff>119062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146F03F-E9C0-4CCF-8720-D25DEDB9C9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C1073-2B09-49F5-9FFA-5F7D6155F182}">
  <dimension ref="A2:AR86"/>
  <sheetViews>
    <sheetView workbookViewId="0">
      <selection activeCell="E21" sqref="E21"/>
    </sheetView>
  </sheetViews>
  <sheetFormatPr defaultRowHeight="15" x14ac:dyDescent="0.25"/>
  <cols>
    <col min="8" max="8" width="11.5703125" bestFit="1" customWidth="1"/>
    <col min="11" max="11" width="10.28515625" bestFit="1" customWidth="1"/>
    <col min="12" max="12" width="48.140625" customWidth="1"/>
    <col min="18" max="18" width="16.5703125" customWidth="1"/>
    <col min="22" max="22" width="14.5703125" customWidth="1"/>
  </cols>
  <sheetData>
    <row r="2" spans="1:24" x14ac:dyDescent="0.25">
      <c r="A2" t="s">
        <v>0</v>
      </c>
      <c r="B2" t="s">
        <v>1</v>
      </c>
      <c r="L2" t="s">
        <v>3</v>
      </c>
      <c r="M2">
        <v>20</v>
      </c>
    </row>
    <row r="3" spans="1:24" x14ac:dyDescent="0.25">
      <c r="A3" s="1">
        <v>1</v>
      </c>
      <c r="B3" s="1">
        <v>69.099999999999994</v>
      </c>
    </row>
    <row r="4" spans="1:24" x14ac:dyDescent="0.25">
      <c r="A4" s="1">
        <v>1.5</v>
      </c>
      <c r="B4" s="1">
        <v>64</v>
      </c>
      <c r="R4" t="s">
        <v>18</v>
      </c>
      <c r="S4" t="s">
        <v>19</v>
      </c>
      <c r="T4" t="s">
        <v>20</v>
      </c>
      <c r="V4" t="s">
        <v>21</v>
      </c>
      <c r="W4" t="s">
        <v>19</v>
      </c>
      <c r="X4" t="s">
        <v>20</v>
      </c>
    </row>
    <row r="5" spans="1:24" x14ac:dyDescent="0.25">
      <c r="A5" s="1">
        <v>1.7</v>
      </c>
      <c r="B5" s="1">
        <v>61.3</v>
      </c>
      <c r="R5" s="6">
        <v>1</v>
      </c>
      <c r="S5">
        <v>1</v>
      </c>
      <c r="T5">
        <v>1</v>
      </c>
      <c r="V5" s="6">
        <v>9.8000000000000007</v>
      </c>
      <c r="W5">
        <v>1</v>
      </c>
      <c r="X5">
        <v>1</v>
      </c>
    </row>
    <row r="6" spans="1:24" x14ac:dyDescent="0.25">
      <c r="A6" s="1">
        <v>3.1</v>
      </c>
      <c r="B6" s="1">
        <v>68.400000000000006</v>
      </c>
      <c r="R6" s="6">
        <v>1.5</v>
      </c>
      <c r="S6">
        <v>2</v>
      </c>
      <c r="T6">
        <v>2</v>
      </c>
      <c r="V6" s="6">
        <v>11.5</v>
      </c>
      <c r="W6">
        <v>2</v>
      </c>
      <c r="X6">
        <v>2</v>
      </c>
    </row>
    <row r="7" spans="1:24" x14ac:dyDescent="0.25">
      <c r="A7" s="1">
        <v>4.5999999999999996</v>
      </c>
      <c r="B7" s="1">
        <v>52.8</v>
      </c>
      <c r="R7" s="6">
        <v>1.7</v>
      </c>
      <c r="S7">
        <v>3</v>
      </c>
      <c r="T7">
        <v>3</v>
      </c>
      <c r="V7" s="6">
        <v>11.7</v>
      </c>
      <c r="W7">
        <v>3</v>
      </c>
      <c r="X7">
        <v>3</v>
      </c>
    </row>
    <row r="8" spans="1:24" x14ac:dyDescent="0.25">
      <c r="A8" s="1">
        <v>6</v>
      </c>
      <c r="B8" s="1">
        <v>52.1</v>
      </c>
      <c r="R8" s="6">
        <v>3.1</v>
      </c>
      <c r="S8">
        <v>4</v>
      </c>
      <c r="T8">
        <v>4</v>
      </c>
      <c r="V8" s="6">
        <v>22.4</v>
      </c>
      <c r="W8">
        <v>4</v>
      </c>
      <c r="X8">
        <v>4</v>
      </c>
    </row>
    <row r="9" spans="1:24" x14ac:dyDescent="0.25">
      <c r="A9" s="1">
        <v>6.8</v>
      </c>
      <c r="B9" s="1">
        <v>51.5</v>
      </c>
      <c r="L9" s="12"/>
      <c r="R9" s="6">
        <v>4.5999999999999996</v>
      </c>
      <c r="S9">
        <v>5</v>
      </c>
      <c r="T9">
        <v>5</v>
      </c>
      <c r="V9" s="6">
        <v>23.1</v>
      </c>
      <c r="W9">
        <v>5</v>
      </c>
      <c r="X9">
        <v>5</v>
      </c>
    </row>
    <row r="10" spans="1:24" x14ac:dyDescent="0.25">
      <c r="A10" s="1">
        <v>8.1999999999999993</v>
      </c>
      <c r="B10" s="1">
        <v>53.4</v>
      </c>
      <c r="L10" s="12"/>
      <c r="R10" s="6">
        <v>6</v>
      </c>
      <c r="S10">
        <v>6</v>
      </c>
      <c r="T10">
        <v>6</v>
      </c>
      <c r="V10" s="6">
        <v>23.2</v>
      </c>
      <c r="W10">
        <v>6</v>
      </c>
      <c r="X10">
        <v>6</v>
      </c>
    </row>
    <row r="11" spans="1:24" x14ac:dyDescent="0.25">
      <c r="A11" s="1">
        <v>8.9</v>
      </c>
      <c r="B11" s="1">
        <v>40.4</v>
      </c>
      <c r="R11" s="6">
        <v>6.8</v>
      </c>
      <c r="S11">
        <v>7</v>
      </c>
      <c r="T11">
        <v>7</v>
      </c>
      <c r="V11" s="6">
        <v>29.3</v>
      </c>
      <c r="W11">
        <v>7</v>
      </c>
      <c r="X11">
        <v>7</v>
      </c>
    </row>
    <row r="12" spans="1:24" x14ac:dyDescent="0.25">
      <c r="A12" s="1">
        <v>9.5</v>
      </c>
      <c r="B12" s="1">
        <v>40.700000000000003</v>
      </c>
      <c r="R12" s="6">
        <v>8.1999999999999993</v>
      </c>
      <c r="S12">
        <v>8</v>
      </c>
      <c r="T12">
        <v>8</v>
      </c>
      <c r="V12" s="6">
        <v>35.9</v>
      </c>
      <c r="W12">
        <v>8</v>
      </c>
      <c r="X12">
        <v>8</v>
      </c>
    </row>
    <row r="13" spans="1:24" x14ac:dyDescent="0.25">
      <c r="A13" s="1">
        <v>11.1</v>
      </c>
      <c r="B13" s="1">
        <v>36.4</v>
      </c>
      <c r="R13" s="6">
        <v>8.9</v>
      </c>
      <c r="S13">
        <v>9</v>
      </c>
      <c r="T13">
        <v>9</v>
      </c>
      <c r="V13" s="6">
        <v>36.4</v>
      </c>
      <c r="W13">
        <v>9</v>
      </c>
      <c r="X13">
        <v>9</v>
      </c>
    </row>
    <row r="14" spans="1:24" x14ac:dyDescent="0.25">
      <c r="A14" s="1">
        <v>12.3</v>
      </c>
      <c r="B14" s="1">
        <v>35.9</v>
      </c>
      <c r="R14" s="6">
        <v>9.5</v>
      </c>
      <c r="S14">
        <v>10</v>
      </c>
      <c r="T14">
        <v>10</v>
      </c>
      <c r="V14" s="6">
        <v>40.4</v>
      </c>
      <c r="W14">
        <v>10</v>
      </c>
      <c r="X14">
        <v>10</v>
      </c>
    </row>
    <row r="15" spans="1:24" x14ac:dyDescent="0.25">
      <c r="A15" s="1">
        <v>13.2</v>
      </c>
      <c r="B15" s="1">
        <v>43.5</v>
      </c>
      <c r="L15" t="s">
        <v>15</v>
      </c>
      <c r="M15">
        <f>2.1</f>
        <v>2.1</v>
      </c>
      <c r="R15" s="6">
        <v>11.1</v>
      </c>
      <c r="S15">
        <v>11</v>
      </c>
      <c r="T15">
        <v>11</v>
      </c>
      <c r="V15" s="6">
        <v>40.700000000000003</v>
      </c>
      <c r="W15">
        <v>11</v>
      </c>
      <c r="X15">
        <v>11</v>
      </c>
    </row>
    <row r="16" spans="1:24" x14ac:dyDescent="0.25">
      <c r="A16" s="1">
        <v>14</v>
      </c>
      <c r="B16" s="1">
        <v>29.3</v>
      </c>
      <c r="R16" s="6">
        <v>12.3</v>
      </c>
      <c r="S16">
        <v>12</v>
      </c>
      <c r="T16">
        <v>12</v>
      </c>
      <c r="V16" s="6">
        <v>43.5</v>
      </c>
      <c r="W16">
        <v>12</v>
      </c>
      <c r="X16">
        <v>12</v>
      </c>
    </row>
    <row r="17" spans="1:26" x14ac:dyDescent="0.25">
      <c r="A17" s="1">
        <v>15.5</v>
      </c>
      <c r="B17" s="1">
        <v>23.1</v>
      </c>
      <c r="R17" s="6">
        <v>13.2</v>
      </c>
      <c r="S17">
        <v>13</v>
      </c>
      <c r="T17">
        <v>13</v>
      </c>
      <c r="V17" s="6">
        <v>51.5</v>
      </c>
      <c r="W17">
        <v>13</v>
      </c>
      <c r="X17">
        <v>13</v>
      </c>
    </row>
    <row r="18" spans="1:26" x14ac:dyDescent="0.25">
      <c r="A18" s="1">
        <v>16.100000000000001</v>
      </c>
      <c r="B18" s="1">
        <v>23.2</v>
      </c>
      <c r="R18" s="6">
        <v>14</v>
      </c>
      <c r="S18">
        <v>14</v>
      </c>
      <c r="T18">
        <v>14</v>
      </c>
      <c r="V18" s="6">
        <v>52.1</v>
      </c>
      <c r="W18">
        <v>14</v>
      </c>
      <c r="X18">
        <v>14</v>
      </c>
    </row>
    <row r="19" spans="1:26" x14ac:dyDescent="0.25">
      <c r="A19" s="1">
        <v>16.7</v>
      </c>
      <c r="B19" s="1">
        <v>22.4</v>
      </c>
      <c r="D19" t="s">
        <v>2</v>
      </c>
      <c r="E19" s="4">
        <f>SUM(A3:A22)*1/M2</f>
        <v>10.395</v>
      </c>
      <c r="G19" t="s">
        <v>6</v>
      </c>
      <c r="H19" s="3">
        <f>SQRT(C46/M2)</f>
        <v>6.0444582056624396</v>
      </c>
      <c r="J19" t="s">
        <v>14</v>
      </c>
      <c r="K19" s="5">
        <f>M19/M20</f>
        <v>-17.909722952532729</v>
      </c>
      <c r="L19" s="7" t="s">
        <v>49</v>
      </c>
      <c r="M19">
        <f>H21*SQRT(M2-2)</f>
        <v>-4.1283853405898281</v>
      </c>
      <c r="R19" s="6">
        <v>15.5</v>
      </c>
      <c r="S19">
        <v>15</v>
      </c>
      <c r="T19">
        <v>15</v>
      </c>
      <c r="V19" s="6">
        <v>52.8</v>
      </c>
      <c r="W19">
        <v>15</v>
      </c>
      <c r="X19">
        <v>15</v>
      </c>
    </row>
    <row r="20" spans="1:26" x14ac:dyDescent="0.25">
      <c r="A20" s="1">
        <v>18</v>
      </c>
      <c r="B20" s="1">
        <v>11.5</v>
      </c>
      <c r="D20" t="s">
        <v>4</v>
      </c>
      <c r="E20" s="4">
        <f>SUM(B3:B22)*1/M2</f>
        <v>40.024999999999999</v>
      </c>
      <c r="G20" t="s">
        <v>12</v>
      </c>
      <c r="H20">
        <f>SQRT(G46/M2)</f>
        <v>18.527084902919835</v>
      </c>
      <c r="M20">
        <f>SQRT(1-POWER(H21,2))</f>
        <v>0.23051084327387691</v>
      </c>
      <c r="R20" s="6">
        <v>16.100000000000001</v>
      </c>
      <c r="S20">
        <v>16</v>
      </c>
      <c r="T20">
        <v>16</v>
      </c>
      <c r="V20" s="6">
        <v>53.4</v>
      </c>
      <c r="W20">
        <v>16</v>
      </c>
      <c r="X20">
        <v>16</v>
      </c>
    </row>
    <row r="21" spans="1:26" x14ac:dyDescent="0.25">
      <c r="A21" s="1">
        <v>19.2</v>
      </c>
      <c r="B21" s="1">
        <v>9.8000000000000007</v>
      </c>
      <c r="D21" s="2" t="s">
        <v>5</v>
      </c>
      <c r="E21" s="5">
        <f>SUM(I26:I45)/M2</f>
        <v>307.08950000000004</v>
      </c>
      <c r="G21" s="12" t="s">
        <v>13</v>
      </c>
      <c r="H21" s="13">
        <f>C53/D53</f>
        <v>-0.97306975656073402</v>
      </c>
      <c r="J21" t="s">
        <v>16</v>
      </c>
      <c r="K21" s="5">
        <f>H21+I54-K53</f>
        <v>-0.99890959675132351</v>
      </c>
      <c r="R21" s="6">
        <v>16.7</v>
      </c>
      <c r="S21">
        <v>17</v>
      </c>
      <c r="T21">
        <v>17</v>
      </c>
      <c r="V21" s="6">
        <v>61.3</v>
      </c>
      <c r="W21">
        <v>17</v>
      </c>
      <c r="X21">
        <v>17</v>
      </c>
    </row>
    <row r="22" spans="1:26" x14ac:dyDescent="0.25">
      <c r="A22" s="1">
        <v>20.5</v>
      </c>
      <c r="B22" s="1">
        <v>11.7</v>
      </c>
      <c r="J22" t="s">
        <v>17</v>
      </c>
      <c r="K22" s="13">
        <f>H21+I54+K53</f>
        <v>-0.94981513155412678</v>
      </c>
      <c r="R22" s="6">
        <v>18</v>
      </c>
      <c r="S22">
        <v>18</v>
      </c>
      <c r="T22">
        <v>18</v>
      </c>
      <c r="V22" s="6">
        <v>64</v>
      </c>
      <c r="W22">
        <v>18</v>
      </c>
      <c r="X22">
        <v>18</v>
      </c>
    </row>
    <row r="23" spans="1:26" x14ac:dyDescent="0.25">
      <c r="R23" s="6">
        <v>19.2</v>
      </c>
      <c r="S23">
        <v>19</v>
      </c>
      <c r="T23">
        <v>19</v>
      </c>
      <c r="V23" s="6">
        <v>68.400000000000006</v>
      </c>
      <c r="W23">
        <v>19</v>
      </c>
      <c r="X23">
        <v>19</v>
      </c>
    </row>
    <row r="24" spans="1:26" x14ac:dyDescent="0.25">
      <c r="R24" s="6">
        <v>20.5</v>
      </c>
      <c r="S24">
        <v>20</v>
      </c>
      <c r="T24">
        <v>20</v>
      </c>
      <c r="V24" s="6">
        <v>69.099999999999994</v>
      </c>
      <c r="W24">
        <v>20</v>
      </c>
      <c r="X24">
        <v>20</v>
      </c>
    </row>
    <row r="25" spans="1:26" x14ac:dyDescent="0.25">
      <c r="A25" t="s">
        <v>0</v>
      </c>
      <c r="B25" t="s">
        <v>7</v>
      </c>
      <c r="C25" t="s">
        <v>8</v>
      </c>
      <c r="E25" t="s">
        <v>1</v>
      </c>
      <c r="F25" t="s">
        <v>10</v>
      </c>
      <c r="G25" t="s">
        <v>11</v>
      </c>
      <c r="I25" t="s">
        <v>5</v>
      </c>
    </row>
    <row r="26" spans="1:26" x14ac:dyDescent="0.25">
      <c r="A26" s="1">
        <v>1</v>
      </c>
      <c r="B26">
        <f>A26-E19</f>
        <v>-9.3949999999999996</v>
      </c>
      <c r="C26">
        <f>POWER(B26,2)</f>
        <v>88.266024999999999</v>
      </c>
      <c r="E26" s="1">
        <v>69.099999999999994</v>
      </c>
      <c r="F26">
        <f>E26-E20</f>
        <v>29.074999999999996</v>
      </c>
      <c r="G26">
        <f>POWER(F26,2)</f>
        <v>845.3556249999998</v>
      </c>
      <c r="I26">
        <f>A26*E26</f>
        <v>69.099999999999994</v>
      </c>
    </row>
    <row r="27" spans="1:26" x14ac:dyDescent="0.25">
      <c r="A27" s="1">
        <v>1.5</v>
      </c>
      <c r="B27">
        <f>A27-E19</f>
        <v>-8.8949999999999996</v>
      </c>
      <c r="C27">
        <f t="shared" ref="C27:C45" si="0">POWER(B27,2)</f>
        <v>79.121024999999989</v>
      </c>
      <c r="E27" s="1">
        <v>64</v>
      </c>
      <c r="F27">
        <f>E27-E20</f>
        <v>23.975000000000001</v>
      </c>
      <c r="G27">
        <f t="shared" ref="G27:G45" si="1">POWER(F27,2)</f>
        <v>574.80062500000008</v>
      </c>
      <c r="I27">
        <f t="shared" ref="I27:I45" si="2">A27*E27</f>
        <v>96</v>
      </c>
      <c r="V27" s="8" t="s">
        <v>28</v>
      </c>
    </row>
    <row r="28" spans="1:26" x14ac:dyDescent="0.25">
      <c r="A28" s="1">
        <v>1.7</v>
      </c>
      <c r="B28">
        <f>A28-E19</f>
        <v>-8.6950000000000003</v>
      </c>
      <c r="C28">
        <f t="shared" si="0"/>
        <v>75.603025000000002</v>
      </c>
      <c r="E28" s="1">
        <v>61.3</v>
      </c>
      <c r="F28">
        <f>E28-E20</f>
        <v>21.274999999999999</v>
      </c>
      <c r="G28">
        <f t="shared" si="1"/>
        <v>452.62562499999996</v>
      </c>
      <c r="I28">
        <f t="shared" si="2"/>
        <v>104.21</v>
      </c>
      <c r="R28" s="7" t="s">
        <v>22</v>
      </c>
    </row>
    <row r="29" spans="1:26" x14ac:dyDescent="0.25">
      <c r="A29" s="1">
        <v>3.1</v>
      </c>
      <c r="B29">
        <f>A29-E19</f>
        <v>-7.2949999999999999</v>
      </c>
      <c r="C29">
        <f t="shared" si="0"/>
        <v>53.217025</v>
      </c>
      <c r="E29" s="1">
        <v>68.400000000000006</v>
      </c>
      <c r="F29">
        <f>E29-E20</f>
        <v>28.375000000000007</v>
      </c>
      <c r="G29">
        <f t="shared" si="1"/>
        <v>805.14062500000045</v>
      </c>
      <c r="I29">
        <f t="shared" si="2"/>
        <v>212.04000000000002</v>
      </c>
    </row>
    <row r="30" spans="1:26" x14ac:dyDescent="0.25">
      <c r="A30" s="1">
        <v>4.5999999999999996</v>
      </c>
      <c r="B30">
        <f>A30-E19</f>
        <v>-5.7949999999999999</v>
      </c>
      <c r="C30">
        <f t="shared" si="0"/>
        <v>33.582025000000002</v>
      </c>
      <c r="E30" s="1">
        <v>52.8</v>
      </c>
      <c r="F30">
        <f>E30-E20</f>
        <v>12.774999999999999</v>
      </c>
      <c r="G30">
        <f t="shared" si="1"/>
        <v>163.20062499999997</v>
      </c>
      <c r="I30">
        <f t="shared" si="2"/>
        <v>242.87999999999997</v>
      </c>
      <c r="S30" t="s">
        <v>0</v>
      </c>
      <c r="T30" t="s">
        <v>1</v>
      </c>
      <c r="U30" t="s">
        <v>23</v>
      </c>
      <c r="V30" t="s">
        <v>24</v>
      </c>
    </row>
    <row r="31" spans="1:26" x14ac:dyDescent="0.25">
      <c r="A31" s="1">
        <v>6</v>
      </c>
      <c r="B31">
        <f>A31-E19</f>
        <v>-4.3949999999999996</v>
      </c>
      <c r="C31">
        <f t="shared" si="0"/>
        <v>19.316024999999996</v>
      </c>
      <c r="E31" s="1">
        <v>52.1</v>
      </c>
      <c r="F31">
        <f>E31-E20</f>
        <v>12.075000000000003</v>
      </c>
      <c r="G31">
        <f t="shared" si="1"/>
        <v>145.80562500000008</v>
      </c>
      <c r="I31">
        <f t="shared" si="2"/>
        <v>312.60000000000002</v>
      </c>
      <c r="S31" s="1">
        <v>1</v>
      </c>
      <c r="T31" s="1">
        <v>69.099999999999994</v>
      </c>
      <c r="U31">
        <v>1</v>
      </c>
      <c r="V31">
        <v>20</v>
      </c>
      <c r="Z31" t="s">
        <v>25</v>
      </c>
    </row>
    <row r="32" spans="1:26" x14ac:dyDescent="0.25">
      <c r="A32" s="1">
        <v>6.8</v>
      </c>
      <c r="B32">
        <f>A32-E19</f>
        <v>-3.5949999999999998</v>
      </c>
      <c r="C32">
        <f t="shared" si="0"/>
        <v>12.924024999999999</v>
      </c>
      <c r="E32" s="1">
        <v>51.5</v>
      </c>
      <c r="F32">
        <f>E32-E20</f>
        <v>11.475000000000001</v>
      </c>
      <c r="G32">
        <f t="shared" si="1"/>
        <v>131.67562500000003</v>
      </c>
      <c r="I32">
        <f t="shared" si="2"/>
        <v>350.2</v>
      </c>
      <c r="S32" s="1">
        <v>1.5</v>
      </c>
      <c r="T32" s="1">
        <v>64</v>
      </c>
      <c r="U32">
        <v>2</v>
      </c>
      <c r="V32">
        <v>18</v>
      </c>
    </row>
    <row r="33" spans="1:33" x14ac:dyDescent="0.25">
      <c r="A33" s="1">
        <v>8.1999999999999993</v>
      </c>
      <c r="B33">
        <f>A33-E19</f>
        <v>-2.1950000000000003</v>
      </c>
      <c r="C33">
        <f t="shared" si="0"/>
        <v>4.8180250000000013</v>
      </c>
      <c r="E33" s="1">
        <v>53.4</v>
      </c>
      <c r="F33">
        <f>E33-E20</f>
        <v>13.375</v>
      </c>
      <c r="G33">
        <f t="shared" si="1"/>
        <v>178.890625</v>
      </c>
      <c r="I33">
        <f t="shared" si="2"/>
        <v>437.87999999999994</v>
      </c>
      <c r="S33" s="1">
        <v>1.7</v>
      </c>
      <c r="T33" s="1">
        <v>61.3</v>
      </c>
      <c r="U33">
        <v>3</v>
      </c>
      <c r="V33">
        <v>17</v>
      </c>
      <c r="Z33" t="s">
        <v>23</v>
      </c>
      <c r="AA33" t="s">
        <v>24</v>
      </c>
      <c r="AB33" t="s">
        <v>26</v>
      </c>
      <c r="AC33" t="s">
        <v>27</v>
      </c>
    </row>
    <row r="34" spans="1:33" x14ac:dyDescent="0.25">
      <c r="A34" s="1">
        <v>8.9</v>
      </c>
      <c r="B34">
        <f>A34-E19</f>
        <v>-1.4949999999999992</v>
      </c>
      <c r="C34">
        <f t="shared" si="0"/>
        <v>2.2350249999999976</v>
      </c>
      <c r="E34" s="1">
        <v>40.4</v>
      </c>
      <c r="F34">
        <f>E34-E20</f>
        <v>0.375</v>
      </c>
      <c r="G34">
        <f t="shared" si="1"/>
        <v>0.140625</v>
      </c>
      <c r="I34">
        <f t="shared" si="2"/>
        <v>359.56</v>
      </c>
      <c r="S34" s="1">
        <v>3.1</v>
      </c>
      <c r="T34" s="1">
        <v>68.400000000000006</v>
      </c>
      <c r="U34">
        <v>4</v>
      </c>
      <c r="V34">
        <v>19</v>
      </c>
      <c r="Z34">
        <v>1</v>
      </c>
      <c r="AA34">
        <v>20</v>
      </c>
      <c r="AB34">
        <f>Z34-AA34</f>
        <v>-19</v>
      </c>
      <c r="AC34">
        <f>POWER(AB34,2)</f>
        <v>361</v>
      </c>
    </row>
    <row r="35" spans="1:33" x14ac:dyDescent="0.25">
      <c r="A35" s="1">
        <v>9.5</v>
      </c>
      <c r="B35">
        <f>A35-E19</f>
        <v>-0.89499999999999957</v>
      </c>
      <c r="C35">
        <f t="shared" si="0"/>
        <v>0.80102499999999921</v>
      </c>
      <c r="E35" s="1">
        <v>40.700000000000003</v>
      </c>
      <c r="F35">
        <f>E35-E20</f>
        <v>0.67500000000000426</v>
      </c>
      <c r="G35">
        <f t="shared" si="1"/>
        <v>0.45562500000000578</v>
      </c>
      <c r="I35">
        <f t="shared" si="2"/>
        <v>386.65000000000003</v>
      </c>
      <c r="S35" s="1">
        <v>4.5999999999999996</v>
      </c>
      <c r="T35" s="1">
        <v>52.8</v>
      </c>
      <c r="U35">
        <v>5</v>
      </c>
      <c r="V35">
        <v>15</v>
      </c>
      <c r="Z35">
        <v>2</v>
      </c>
      <c r="AA35">
        <v>18</v>
      </c>
      <c r="AB35">
        <f t="shared" ref="AB35:AB53" si="3">Z35-AA35</f>
        <v>-16</v>
      </c>
      <c r="AC35">
        <f t="shared" ref="AC35:AC53" si="4">POWER(AB35,2)</f>
        <v>256</v>
      </c>
    </row>
    <row r="36" spans="1:33" x14ac:dyDescent="0.25">
      <c r="A36" s="1">
        <v>11.1</v>
      </c>
      <c r="B36">
        <f>A36-E19</f>
        <v>0.70500000000000007</v>
      </c>
      <c r="C36">
        <f t="shared" si="0"/>
        <v>0.49702500000000011</v>
      </c>
      <c r="E36" s="1">
        <v>36.4</v>
      </c>
      <c r="F36">
        <f>E36-E20</f>
        <v>-3.625</v>
      </c>
      <c r="G36">
        <f t="shared" si="1"/>
        <v>13.140625</v>
      </c>
      <c r="I36">
        <f t="shared" si="2"/>
        <v>404.03999999999996</v>
      </c>
      <c r="S36" s="1">
        <v>6</v>
      </c>
      <c r="T36" s="1">
        <v>52.1</v>
      </c>
      <c r="U36">
        <v>6</v>
      </c>
      <c r="V36">
        <v>14</v>
      </c>
      <c r="Z36">
        <v>3</v>
      </c>
      <c r="AA36">
        <v>17</v>
      </c>
      <c r="AB36">
        <f t="shared" si="3"/>
        <v>-14</v>
      </c>
      <c r="AC36">
        <f t="shared" si="4"/>
        <v>196</v>
      </c>
    </row>
    <row r="37" spans="1:33" x14ac:dyDescent="0.25">
      <c r="A37" s="1">
        <v>12.3</v>
      </c>
      <c r="B37">
        <f>A37-E19</f>
        <v>1.9050000000000011</v>
      </c>
      <c r="C37">
        <f t="shared" si="0"/>
        <v>3.6290250000000044</v>
      </c>
      <c r="E37" s="1">
        <v>35.9</v>
      </c>
      <c r="F37">
        <f>E37-E20</f>
        <v>-4.125</v>
      </c>
      <c r="G37">
        <f t="shared" si="1"/>
        <v>17.015625</v>
      </c>
      <c r="I37">
        <f t="shared" si="2"/>
        <v>441.57</v>
      </c>
      <c r="S37" s="1">
        <v>6.8</v>
      </c>
      <c r="T37" s="1">
        <v>51.5</v>
      </c>
      <c r="U37">
        <v>7</v>
      </c>
      <c r="V37">
        <v>13</v>
      </c>
      <c r="Z37">
        <v>4</v>
      </c>
      <c r="AA37">
        <v>19</v>
      </c>
      <c r="AB37">
        <f t="shared" si="3"/>
        <v>-15</v>
      </c>
      <c r="AC37">
        <f t="shared" si="4"/>
        <v>225</v>
      </c>
    </row>
    <row r="38" spans="1:33" x14ac:dyDescent="0.25">
      <c r="A38" s="1">
        <v>13.2</v>
      </c>
      <c r="B38">
        <f>A38-E19</f>
        <v>2.8049999999999997</v>
      </c>
      <c r="C38">
        <f t="shared" si="0"/>
        <v>7.8680249999999985</v>
      </c>
      <c r="E38" s="1">
        <v>43.5</v>
      </c>
      <c r="F38">
        <f>E38-E20</f>
        <v>3.4750000000000014</v>
      </c>
      <c r="G38">
        <f t="shared" si="1"/>
        <v>12.075625000000009</v>
      </c>
      <c r="I38">
        <f t="shared" si="2"/>
        <v>574.19999999999993</v>
      </c>
      <c r="S38" s="1">
        <v>8.1999999999999993</v>
      </c>
      <c r="T38" s="1">
        <v>53.4</v>
      </c>
      <c r="U38">
        <v>8</v>
      </c>
      <c r="V38">
        <v>16</v>
      </c>
      <c r="Z38">
        <v>5</v>
      </c>
      <c r="AA38">
        <v>15</v>
      </c>
      <c r="AB38">
        <f t="shared" si="3"/>
        <v>-10</v>
      </c>
      <c r="AC38">
        <f t="shared" si="4"/>
        <v>100</v>
      </c>
    </row>
    <row r="39" spans="1:33" x14ac:dyDescent="0.25">
      <c r="A39" s="1">
        <v>14</v>
      </c>
      <c r="B39">
        <f>A39-E19</f>
        <v>3.6050000000000004</v>
      </c>
      <c r="C39">
        <f t="shared" si="0"/>
        <v>12.996025000000003</v>
      </c>
      <c r="E39" s="1">
        <v>29.3</v>
      </c>
      <c r="F39">
        <f>E39-E20</f>
        <v>-10.724999999999998</v>
      </c>
      <c r="G39">
        <f t="shared" si="1"/>
        <v>115.02562499999995</v>
      </c>
      <c r="I39">
        <f t="shared" si="2"/>
        <v>410.2</v>
      </c>
      <c r="S39" s="1">
        <v>8.9</v>
      </c>
      <c r="T39" s="1">
        <v>40.4</v>
      </c>
      <c r="U39">
        <v>9</v>
      </c>
      <c r="V39">
        <v>10</v>
      </c>
      <c r="Z39">
        <v>6</v>
      </c>
      <c r="AA39">
        <v>14</v>
      </c>
      <c r="AB39">
        <f t="shared" si="3"/>
        <v>-8</v>
      </c>
      <c r="AC39">
        <f t="shared" si="4"/>
        <v>64</v>
      </c>
    </row>
    <row r="40" spans="1:33" x14ac:dyDescent="0.25">
      <c r="A40" s="1">
        <v>15.5</v>
      </c>
      <c r="B40">
        <f>A40-E19</f>
        <v>5.1050000000000004</v>
      </c>
      <c r="C40">
        <f t="shared" si="0"/>
        <v>26.061025000000004</v>
      </c>
      <c r="E40" s="1">
        <v>23.1</v>
      </c>
      <c r="F40">
        <f>E40-E20</f>
        <v>-16.924999999999997</v>
      </c>
      <c r="G40">
        <f t="shared" si="1"/>
        <v>286.45562499999988</v>
      </c>
      <c r="I40">
        <f t="shared" si="2"/>
        <v>358.05</v>
      </c>
      <c r="S40" s="1">
        <v>9.5</v>
      </c>
      <c r="T40" s="1">
        <v>40.700000000000003</v>
      </c>
      <c r="U40">
        <v>10</v>
      </c>
      <c r="V40">
        <v>11</v>
      </c>
      <c r="Z40">
        <v>7</v>
      </c>
      <c r="AA40">
        <v>13</v>
      </c>
      <c r="AB40">
        <f t="shared" si="3"/>
        <v>-6</v>
      </c>
      <c r="AC40">
        <f t="shared" si="4"/>
        <v>36</v>
      </c>
    </row>
    <row r="41" spans="1:33" x14ac:dyDescent="0.25">
      <c r="A41" s="1">
        <v>16.100000000000001</v>
      </c>
      <c r="B41">
        <f>A41-E19</f>
        <v>5.7050000000000018</v>
      </c>
      <c r="C41">
        <f t="shared" si="0"/>
        <v>32.547025000000019</v>
      </c>
      <c r="E41" s="1">
        <v>23.2</v>
      </c>
      <c r="F41">
        <f>E41-E20</f>
        <v>-16.824999999999999</v>
      </c>
      <c r="G41">
        <f t="shared" si="1"/>
        <v>283.080625</v>
      </c>
      <c r="I41">
        <f t="shared" si="2"/>
        <v>373.52000000000004</v>
      </c>
      <c r="S41" s="1">
        <v>11.1</v>
      </c>
      <c r="T41" s="1">
        <v>36.4</v>
      </c>
      <c r="U41">
        <v>11</v>
      </c>
      <c r="V41">
        <v>9</v>
      </c>
      <c r="Z41">
        <v>8</v>
      </c>
      <c r="AA41">
        <v>16</v>
      </c>
      <c r="AB41">
        <f t="shared" si="3"/>
        <v>-8</v>
      </c>
      <c r="AC41">
        <f t="shared" si="4"/>
        <v>64</v>
      </c>
    </row>
    <row r="42" spans="1:33" x14ac:dyDescent="0.25">
      <c r="A42" s="1">
        <v>16.7</v>
      </c>
      <c r="B42">
        <f>A42-E19</f>
        <v>6.3049999999999997</v>
      </c>
      <c r="C42">
        <f t="shared" si="0"/>
        <v>39.753024999999994</v>
      </c>
      <c r="E42" s="1">
        <v>22.4</v>
      </c>
      <c r="F42">
        <f>E42-E20</f>
        <v>-17.625</v>
      </c>
      <c r="G42">
        <f t="shared" si="1"/>
        <v>310.640625</v>
      </c>
      <c r="I42">
        <f t="shared" si="2"/>
        <v>374.08</v>
      </c>
      <c r="S42" s="1">
        <v>12.3</v>
      </c>
      <c r="T42" s="1">
        <v>35.9</v>
      </c>
      <c r="U42">
        <v>12</v>
      </c>
      <c r="V42">
        <v>8</v>
      </c>
      <c r="Z42">
        <v>9</v>
      </c>
      <c r="AA42">
        <v>10</v>
      </c>
      <c r="AB42">
        <f t="shared" si="3"/>
        <v>-1</v>
      </c>
      <c r="AC42">
        <f t="shared" si="4"/>
        <v>1</v>
      </c>
    </row>
    <row r="43" spans="1:33" x14ac:dyDescent="0.25">
      <c r="A43" s="1">
        <v>18</v>
      </c>
      <c r="B43">
        <f>A43-E19</f>
        <v>7.6050000000000004</v>
      </c>
      <c r="C43">
        <f t="shared" si="0"/>
        <v>57.836025000000006</v>
      </c>
      <c r="E43" s="1">
        <v>11.5</v>
      </c>
      <c r="F43">
        <f>E43-E20</f>
        <v>-28.524999999999999</v>
      </c>
      <c r="G43">
        <f t="shared" si="1"/>
        <v>813.67562499999997</v>
      </c>
      <c r="I43">
        <f t="shared" si="2"/>
        <v>207</v>
      </c>
      <c r="S43" s="1">
        <v>13.2</v>
      </c>
      <c r="T43" s="1">
        <v>43.5</v>
      </c>
      <c r="U43">
        <v>13</v>
      </c>
      <c r="V43">
        <v>12</v>
      </c>
      <c r="Z43">
        <v>10</v>
      </c>
      <c r="AA43">
        <v>11</v>
      </c>
      <c r="AB43">
        <f t="shared" si="3"/>
        <v>-1</v>
      </c>
      <c r="AC43">
        <f t="shared" si="4"/>
        <v>1</v>
      </c>
    </row>
    <row r="44" spans="1:33" x14ac:dyDescent="0.25">
      <c r="A44" s="1">
        <v>19.2</v>
      </c>
      <c r="B44">
        <f>A44-E19</f>
        <v>8.8049999999999997</v>
      </c>
      <c r="C44">
        <f t="shared" si="0"/>
        <v>77.528025</v>
      </c>
      <c r="E44" s="1">
        <v>9.8000000000000007</v>
      </c>
      <c r="F44">
        <f>E44-E20</f>
        <v>-30.224999999999998</v>
      </c>
      <c r="G44">
        <f t="shared" si="1"/>
        <v>913.55062499999985</v>
      </c>
      <c r="I44">
        <f t="shared" si="2"/>
        <v>188.16</v>
      </c>
      <c r="S44" s="1">
        <v>14</v>
      </c>
      <c r="T44" s="1">
        <v>29.3</v>
      </c>
      <c r="U44">
        <v>14</v>
      </c>
      <c r="V44">
        <v>7</v>
      </c>
      <c r="Z44">
        <v>11</v>
      </c>
      <c r="AA44">
        <v>9</v>
      </c>
      <c r="AB44">
        <f t="shared" si="3"/>
        <v>2</v>
      </c>
      <c r="AC44">
        <f t="shared" si="4"/>
        <v>4</v>
      </c>
    </row>
    <row r="45" spans="1:33" x14ac:dyDescent="0.25">
      <c r="A45" s="1">
        <v>20.5</v>
      </c>
      <c r="B45">
        <f>A45-E19</f>
        <v>10.105</v>
      </c>
      <c r="C45">
        <f t="shared" si="0"/>
        <v>102.11102500000001</v>
      </c>
      <c r="E45" s="1">
        <v>11.7</v>
      </c>
      <c r="F45">
        <f>E45-E20</f>
        <v>-28.324999999999999</v>
      </c>
      <c r="G45">
        <f t="shared" si="1"/>
        <v>802.30562499999996</v>
      </c>
      <c r="I45">
        <f t="shared" si="2"/>
        <v>239.85</v>
      </c>
      <c r="S45" s="1">
        <v>15.5</v>
      </c>
      <c r="T45" s="1">
        <v>23.1</v>
      </c>
      <c r="U45">
        <v>15</v>
      </c>
      <c r="V45">
        <v>5</v>
      </c>
      <c r="Z45">
        <v>12</v>
      </c>
      <c r="AA45">
        <v>8</v>
      </c>
      <c r="AB45">
        <f t="shared" si="3"/>
        <v>4</v>
      </c>
      <c r="AC45">
        <f t="shared" si="4"/>
        <v>16</v>
      </c>
    </row>
    <row r="46" spans="1:33" x14ac:dyDescent="0.25">
      <c r="B46" t="s">
        <v>9</v>
      </c>
      <c r="C46">
        <f>SUM(C26:C45)</f>
        <v>730.70949999999993</v>
      </c>
      <c r="F46" t="s">
        <v>9</v>
      </c>
      <c r="G46">
        <f>SUM(G26:G45)</f>
        <v>6865.0574999999999</v>
      </c>
      <c r="S46" s="1">
        <v>16.100000000000001</v>
      </c>
      <c r="T46" s="1">
        <v>23.2</v>
      </c>
      <c r="U46">
        <v>16</v>
      </c>
      <c r="V46">
        <v>6</v>
      </c>
      <c r="Z46">
        <v>13</v>
      </c>
      <c r="AA46">
        <v>12</v>
      </c>
      <c r="AB46">
        <f t="shared" si="3"/>
        <v>1</v>
      </c>
      <c r="AC46">
        <f t="shared" si="4"/>
        <v>1</v>
      </c>
      <c r="AF46">
        <f>6/(M2*(M2*M2-1))</f>
        <v>7.5187969924812035E-4</v>
      </c>
      <c r="AG46">
        <f>AF46*AC54</f>
        <v>1.9639097744360903</v>
      </c>
    </row>
    <row r="47" spans="1:33" x14ac:dyDescent="0.25">
      <c r="S47" s="1">
        <v>16.7</v>
      </c>
      <c r="T47" s="1">
        <v>22.4</v>
      </c>
      <c r="U47">
        <v>17</v>
      </c>
      <c r="V47">
        <v>4</v>
      </c>
      <c r="Z47">
        <v>14</v>
      </c>
      <c r="AA47">
        <v>7</v>
      </c>
      <c r="AB47">
        <f t="shared" si="3"/>
        <v>7</v>
      </c>
      <c r="AC47">
        <f t="shared" si="4"/>
        <v>49</v>
      </c>
    </row>
    <row r="48" spans="1:33" x14ac:dyDescent="0.25">
      <c r="S48" s="1">
        <v>18</v>
      </c>
      <c r="T48" s="1">
        <v>11.5</v>
      </c>
      <c r="U48">
        <v>18</v>
      </c>
      <c r="V48">
        <v>2</v>
      </c>
      <c r="Z48">
        <v>15</v>
      </c>
      <c r="AA48">
        <v>5</v>
      </c>
      <c r="AB48">
        <f t="shared" si="3"/>
        <v>10</v>
      </c>
      <c r="AC48">
        <f t="shared" si="4"/>
        <v>100</v>
      </c>
      <c r="AF48">
        <f>T60*SQRT(M2-2)</f>
        <v>-4.0895228277345286</v>
      </c>
      <c r="AG48">
        <f>SQRT(1-T60*T60)</f>
        <v>0.26622912452728675</v>
      </c>
    </row>
    <row r="49" spans="3:31" x14ac:dyDescent="0.25">
      <c r="S49" s="1">
        <v>19.2</v>
      </c>
      <c r="T49" s="1">
        <v>9.8000000000000007</v>
      </c>
      <c r="U49">
        <v>19</v>
      </c>
      <c r="V49">
        <v>1</v>
      </c>
      <c r="Z49">
        <v>16</v>
      </c>
      <c r="AA49">
        <v>6</v>
      </c>
      <c r="AB49">
        <f t="shared" si="3"/>
        <v>10</v>
      </c>
      <c r="AC49">
        <f t="shared" si="4"/>
        <v>100</v>
      </c>
    </row>
    <row r="50" spans="3:31" x14ac:dyDescent="0.25">
      <c r="S50" s="1">
        <v>20.5</v>
      </c>
      <c r="T50" s="1">
        <v>11.7</v>
      </c>
      <c r="U50">
        <v>20</v>
      </c>
      <c r="V50">
        <v>3</v>
      </c>
      <c r="Z50">
        <v>17</v>
      </c>
      <c r="AA50">
        <v>4</v>
      </c>
      <c r="AB50">
        <f t="shared" si="3"/>
        <v>13</v>
      </c>
      <c r="AC50">
        <f t="shared" si="4"/>
        <v>169</v>
      </c>
    </row>
    <row r="51" spans="3:31" x14ac:dyDescent="0.25">
      <c r="Z51">
        <v>18</v>
      </c>
      <c r="AA51">
        <v>2</v>
      </c>
      <c r="AB51">
        <f t="shared" si="3"/>
        <v>16</v>
      </c>
      <c r="AC51">
        <f t="shared" si="4"/>
        <v>256</v>
      </c>
    </row>
    <row r="52" spans="3:31" x14ac:dyDescent="0.25">
      <c r="I52" s="4">
        <f>1-POWER(H21,2)</f>
        <v>5.3135248866833851E-2</v>
      </c>
      <c r="K52">
        <f>I52/(SQRT(M2-2))</f>
        <v>1.2524098264591011E-2</v>
      </c>
      <c r="Z52">
        <v>19</v>
      </c>
      <c r="AA52">
        <v>1</v>
      </c>
      <c r="AB52">
        <f t="shared" si="3"/>
        <v>18</v>
      </c>
      <c r="AC52">
        <f t="shared" si="4"/>
        <v>324</v>
      </c>
    </row>
    <row r="53" spans="3:31" x14ac:dyDescent="0.25">
      <c r="C53">
        <f>E21-E19*E20</f>
        <v>-108.97037499999993</v>
      </c>
      <c r="D53" s="4">
        <f>H19*H20</f>
        <v>111.98619036845851</v>
      </c>
      <c r="I53">
        <f>H21*I52</f>
        <v>-5.1704303679644036E-2</v>
      </c>
      <c r="K53">
        <f>1.96*K52</f>
        <v>2.4547232598598381E-2</v>
      </c>
      <c r="Z53">
        <v>20</v>
      </c>
      <c r="AA53">
        <v>3</v>
      </c>
      <c r="AB53">
        <f t="shared" si="3"/>
        <v>17</v>
      </c>
      <c r="AC53">
        <f t="shared" si="4"/>
        <v>289</v>
      </c>
    </row>
    <row r="54" spans="3:31" x14ac:dyDescent="0.25">
      <c r="I54">
        <f>I53/(2*M2)</f>
        <v>-1.292607591991101E-3</v>
      </c>
      <c r="AB54" t="s">
        <v>9</v>
      </c>
      <c r="AC54" s="8">
        <f>SUM(AC34:AC53)</f>
        <v>2612</v>
      </c>
    </row>
    <row r="55" spans="3:31" x14ac:dyDescent="0.25">
      <c r="H55" s="15"/>
    </row>
    <row r="57" spans="3:31" x14ac:dyDescent="0.25">
      <c r="AC57" t="s">
        <v>23</v>
      </c>
      <c r="AD57" t="s">
        <v>24</v>
      </c>
      <c r="AE57" t="s">
        <v>35</v>
      </c>
    </row>
    <row r="58" spans="3:31" x14ac:dyDescent="0.25">
      <c r="AC58">
        <v>1</v>
      </c>
      <c r="AD58">
        <v>20</v>
      </c>
      <c r="AE58">
        <f>-1-1-1-1-1-1-1-1-1-1-1-1-1-1-1-1-1-1-1-1</f>
        <v>-20</v>
      </c>
    </row>
    <row r="59" spans="3:31" x14ac:dyDescent="0.25">
      <c r="AC59">
        <v>2</v>
      </c>
      <c r="AD59">
        <v>18</v>
      </c>
      <c r="AE59">
        <f>-1+1-1-1-1-1-1-1-1-1-1-1-1-1-1-1-1-1</f>
        <v>-16</v>
      </c>
    </row>
    <row r="60" spans="3:31" x14ac:dyDescent="0.25">
      <c r="S60" s="9" t="s">
        <v>29</v>
      </c>
      <c r="T60" s="8">
        <f>1-AG46</f>
        <v>-0.96390977443609027</v>
      </c>
      <c r="U60" t="s">
        <v>30</v>
      </c>
      <c r="AC60">
        <v>3</v>
      </c>
      <c r="AD60">
        <v>17</v>
      </c>
      <c r="AE60">
        <f>1-1-1-1-1-1-1-1-1-1-1-1-1-1-1-1-1</f>
        <v>-15</v>
      </c>
    </row>
    <row r="61" spans="3:31" x14ac:dyDescent="0.25">
      <c r="AC61">
        <v>4</v>
      </c>
      <c r="AD61">
        <v>19</v>
      </c>
      <c r="AE61">
        <f>-1-1-1-1-1-1-1-1-1-1-1-1-1-1-1-1</f>
        <v>-16</v>
      </c>
    </row>
    <row r="62" spans="3:31" x14ac:dyDescent="0.25">
      <c r="S62" s="8" t="s">
        <v>31</v>
      </c>
      <c r="T62" s="8">
        <f>AF48/AG48</f>
        <v>-15.360914531780985</v>
      </c>
      <c r="AC62">
        <v>5</v>
      </c>
      <c r="AD62">
        <v>15</v>
      </c>
      <c r="AE62">
        <f>-1-1+1-1-1-1-1-1-1-1-1-1-1-1-1</f>
        <v>-13</v>
      </c>
    </row>
    <row r="63" spans="3:31" x14ac:dyDescent="0.25">
      <c r="AC63">
        <v>6</v>
      </c>
      <c r="AD63">
        <v>14</v>
      </c>
      <c r="AE63">
        <f>-1+1-1-1-1-1-1-1-1-1-1-1-1-1</f>
        <v>-12</v>
      </c>
    </row>
    <row r="64" spans="3:31" x14ac:dyDescent="0.25">
      <c r="S64" t="s">
        <v>32</v>
      </c>
      <c r="AC64">
        <v>7</v>
      </c>
      <c r="AD64">
        <v>13</v>
      </c>
      <c r="AE64">
        <f>1-1-1-1-1-1-1-1-1-1-1-1-1</f>
        <v>-11</v>
      </c>
    </row>
    <row r="65" spans="18:37" x14ac:dyDescent="0.25">
      <c r="AC65">
        <v>8</v>
      </c>
      <c r="AD65">
        <v>16</v>
      </c>
      <c r="AE65">
        <f>-1-1-1-1-1-1-1-1-1-1-1-1</f>
        <v>-12</v>
      </c>
    </row>
    <row r="66" spans="18:37" x14ac:dyDescent="0.25">
      <c r="S66" t="s">
        <v>33</v>
      </c>
      <c r="U66" s="8" t="s">
        <v>34</v>
      </c>
      <c r="V66" s="8"/>
      <c r="W66" s="8"/>
      <c r="X66" s="8"/>
      <c r="Y66" s="8"/>
      <c r="Z66" s="8"/>
      <c r="AC66">
        <v>9</v>
      </c>
      <c r="AD66">
        <v>10</v>
      </c>
      <c r="AE66">
        <f>1-1-1+1-1-1-1-1-1-1-1</f>
        <v>-7</v>
      </c>
    </row>
    <row r="67" spans="18:37" x14ac:dyDescent="0.25">
      <c r="AC67">
        <v>10</v>
      </c>
      <c r="AD67">
        <v>11</v>
      </c>
      <c r="AE67">
        <f>-1-1+1-1-1-1-1-1-1-1</f>
        <v>-8</v>
      </c>
    </row>
    <row r="68" spans="18:37" x14ac:dyDescent="0.25">
      <c r="AC68">
        <v>11</v>
      </c>
      <c r="AD68">
        <v>9</v>
      </c>
      <c r="AE68">
        <f>-1+1-1-1-1-1-1-1-1</f>
        <v>-7</v>
      </c>
    </row>
    <row r="69" spans="18:37" x14ac:dyDescent="0.25">
      <c r="AC69">
        <v>12</v>
      </c>
      <c r="AD69">
        <v>8</v>
      </c>
      <c r="AE69">
        <f>1-1-1-1-1-1-1-1</f>
        <v>-6</v>
      </c>
    </row>
    <row r="70" spans="18:37" x14ac:dyDescent="0.25">
      <c r="AC70">
        <v>13</v>
      </c>
      <c r="AD70">
        <v>12</v>
      </c>
      <c r="AE70">
        <f>-1-1-1-1-1-1-1</f>
        <v>-7</v>
      </c>
    </row>
    <row r="71" spans="18:37" x14ac:dyDescent="0.25">
      <c r="AC71">
        <v>14</v>
      </c>
      <c r="AD71">
        <v>7</v>
      </c>
      <c r="AE71">
        <f>-1-1-1-1-1-1</f>
        <v>-6</v>
      </c>
    </row>
    <row r="72" spans="18:37" x14ac:dyDescent="0.25">
      <c r="AC72">
        <v>15</v>
      </c>
      <c r="AD72">
        <v>5</v>
      </c>
      <c r="AE72">
        <f>1-1-1-1-1</f>
        <v>-3</v>
      </c>
      <c r="AJ72">
        <f>AJ75*AK75</f>
        <v>-50.785928428215129</v>
      </c>
    </row>
    <row r="73" spans="18:37" x14ac:dyDescent="0.25">
      <c r="AC73">
        <v>16</v>
      </c>
      <c r="AD73">
        <v>6</v>
      </c>
      <c r="AE73">
        <f>-1-1-1-1</f>
        <v>-4</v>
      </c>
    </row>
    <row r="74" spans="18:37" x14ac:dyDescent="0.25">
      <c r="AC74">
        <v>17</v>
      </c>
      <c r="AD74">
        <v>4</v>
      </c>
      <c r="AE74">
        <f>-1-1-1</f>
        <v>-3</v>
      </c>
    </row>
    <row r="75" spans="18:37" x14ac:dyDescent="0.25">
      <c r="R75" s="4"/>
      <c r="AC75">
        <v>18</v>
      </c>
      <c r="AD75">
        <v>2</v>
      </c>
      <c r="AE75">
        <f>-1+1</f>
        <v>0</v>
      </c>
      <c r="AG75">
        <f>2*AE78</f>
        <v>-330</v>
      </c>
      <c r="AH75">
        <f>M2*(M2-1)</f>
        <v>380</v>
      </c>
      <c r="AJ75">
        <f>3*AE80</f>
        <v>-2.6052631578947372</v>
      </c>
      <c r="AK75">
        <f>SQRT(M2*(M2-1))</f>
        <v>19.493588689617926</v>
      </c>
    </row>
    <row r="76" spans="18:37" x14ac:dyDescent="0.25">
      <c r="AC76">
        <v>19</v>
      </c>
      <c r="AD76">
        <v>1</v>
      </c>
      <c r="AE76">
        <v>1</v>
      </c>
    </row>
    <row r="77" spans="18:37" x14ac:dyDescent="0.25">
      <c r="AC77">
        <v>20</v>
      </c>
      <c r="AD77">
        <v>3</v>
      </c>
    </row>
    <row r="78" spans="18:37" x14ac:dyDescent="0.25">
      <c r="AE78" s="8">
        <f>SUM(AE58:AE76)</f>
        <v>-165</v>
      </c>
      <c r="AJ78">
        <f>SQRT(2*(2*M2+5))</f>
        <v>9.4868329805051381</v>
      </c>
    </row>
    <row r="80" spans="18:37" x14ac:dyDescent="0.25">
      <c r="AD80" s="8" t="s">
        <v>36</v>
      </c>
      <c r="AE80" s="8">
        <f>AG75/AH75</f>
        <v>-0.86842105263157898</v>
      </c>
    </row>
    <row r="82" spans="30:44" x14ac:dyDescent="0.25">
      <c r="AD82" s="8" t="s">
        <v>37</v>
      </c>
      <c r="AE82" s="8">
        <f>AJ72/AJ78</f>
        <v>-5.3533068973151643</v>
      </c>
    </row>
    <row r="84" spans="30:44" x14ac:dyDescent="0.25">
      <c r="AD84" t="s">
        <v>38</v>
      </c>
    </row>
    <row r="86" spans="30:44" x14ac:dyDescent="0.25">
      <c r="AD86" t="s">
        <v>39</v>
      </c>
      <c r="AE86" s="8" t="s">
        <v>40</v>
      </c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</row>
  </sheetData>
  <sortState ref="V5:V24">
    <sortCondition ref="V5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9E1F8-8E6B-4CB9-A205-DFDD95DC900B}">
  <dimension ref="A1:AB94"/>
  <sheetViews>
    <sheetView tabSelected="1" topLeftCell="A67" zoomScaleNormal="100" workbookViewId="0">
      <selection activeCell="H2" sqref="H2"/>
    </sheetView>
  </sheetViews>
  <sheetFormatPr defaultRowHeight="15" x14ac:dyDescent="0.25"/>
  <cols>
    <col min="8" max="8" width="9.5703125" bestFit="1" customWidth="1"/>
    <col min="21" max="21" width="22.140625" customWidth="1"/>
    <col min="23" max="23" width="12.28515625" customWidth="1"/>
    <col min="25" max="25" width="15.7109375" customWidth="1"/>
    <col min="26" max="26" width="16.5703125" customWidth="1"/>
    <col min="28" max="28" width="15.5703125" customWidth="1"/>
  </cols>
  <sheetData>
    <row r="1" spans="1:28" x14ac:dyDescent="0.25">
      <c r="G1" t="s">
        <v>57</v>
      </c>
      <c r="H1" s="8">
        <v>2.1</v>
      </c>
    </row>
    <row r="2" spans="1:28" x14ac:dyDescent="0.25">
      <c r="A2" s="17" t="s">
        <v>0</v>
      </c>
      <c r="B2" s="17" t="s">
        <v>1</v>
      </c>
      <c r="D2" t="s">
        <v>3</v>
      </c>
      <c r="E2" s="8">
        <v>20</v>
      </c>
      <c r="G2" s="12" t="s">
        <v>46</v>
      </c>
      <c r="H2" s="14">
        <f>SUM(I26:I45)/E2</f>
        <v>616.35500000000002</v>
      </c>
      <c r="L2" s="17" t="s">
        <v>0</v>
      </c>
      <c r="M2" s="17" t="s">
        <v>1</v>
      </c>
      <c r="N2" s="17" t="s">
        <v>50</v>
      </c>
      <c r="O2" s="18" t="s">
        <v>51</v>
      </c>
      <c r="P2" s="17" t="s">
        <v>52</v>
      </c>
      <c r="S2" s="30" t="s">
        <v>65</v>
      </c>
      <c r="T2" s="30"/>
      <c r="U2" s="30" t="s">
        <v>66</v>
      </c>
      <c r="V2" s="19"/>
      <c r="W2" s="29" t="s">
        <v>68</v>
      </c>
      <c r="X2" s="28" t="s">
        <v>69</v>
      </c>
      <c r="Y2" s="28"/>
      <c r="Z2" s="29" t="s">
        <v>72</v>
      </c>
      <c r="AA2" s="28" t="s">
        <v>73</v>
      </c>
      <c r="AB2" s="28"/>
    </row>
    <row r="3" spans="1:28" x14ac:dyDescent="0.25">
      <c r="A3" s="1">
        <v>1</v>
      </c>
      <c r="B3" s="1">
        <v>93.1</v>
      </c>
      <c r="D3" t="s">
        <v>41</v>
      </c>
      <c r="E3" s="8">
        <f>SUM(A26:A45)*1/E2</f>
        <v>10.5</v>
      </c>
      <c r="G3" t="s">
        <v>47</v>
      </c>
      <c r="H3" s="11">
        <f>E7*(E6/E5)</f>
        <v>-2.7866917293233091</v>
      </c>
      <c r="L3" s="1">
        <v>1</v>
      </c>
      <c r="M3" s="1">
        <v>93.1</v>
      </c>
      <c r="N3" s="4">
        <f>H4+H3*L3</f>
        <v>93.998571428571438</v>
      </c>
      <c r="O3" s="4">
        <f>M3-N3</f>
        <v>-0.89857142857144368</v>
      </c>
      <c r="P3" s="4">
        <f>POWER(O3,2)</f>
        <v>0.80743061224492507</v>
      </c>
      <c r="S3" s="30"/>
      <c r="T3" s="30"/>
      <c r="U3" s="30"/>
      <c r="V3" s="19"/>
      <c r="W3" s="29"/>
      <c r="X3" s="28"/>
      <c r="Y3" s="28"/>
      <c r="Z3" s="29"/>
      <c r="AA3" s="28"/>
      <c r="AB3" s="28"/>
    </row>
    <row r="4" spans="1:28" x14ac:dyDescent="0.25">
      <c r="A4" s="1">
        <v>2</v>
      </c>
      <c r="B4" s="1">
        <v>92</v>
      </c>
      <c r="D4" t="s">
        <v>42</v>
      </c>
      <c r="E4" s="11">
        <f>SUM(E26:E45)*1/E2</f>
        <v>67.525000000000006</v>
      </c>
      <c r="G4" t="s">
        <v>48</v>
      </c>
      <c r="H4" s="11">
        <f>E4-H3*E3</f>
        <v>96.785263157894747</v>
      </c>
      <c r="L4" s="1">
        <v>2</v>
      </c>
      <c r="M4" s="1">
        <v>92</v>
      </c>
      <c r="N4" s="4">
        <f>H4+H3*L4</f>
        <v>91.211879699248129</v>
      </c>
      <c r="O4" s="4">
        <f t="shared" ref="O4:O22" si="0">M4-N4</f>
        <v>0.78812030075187067</v>
      </c>
      <c r="P4" s="4">
        <f t="shared" ref="P4:P22" si="1">POWER(O4,2)</f>
        <v>0.6211336084572191</v>
      </c>
      <c r="S4" s="17" t="s">
        <v>0</v>
      </c>
      <c r="T4" s="17" t="s">
        <v>1</v>
      </c>
      <c r="U4" s="23" t="s">
        <v>67</v>
      </c>
      <c r="V4" s="23"/>
      <c r="W4" s="29"/>
      <c r="X4" s="26" t="s">
        <v>70</v>
      </c>
      <c r="Y4" s="26" t="s">
        <v>71</v>
      </c>
      <c r="Z4" s="29"/>
      <c r="AA4" s="26" t="s">
        <v>74</v>
      </c>
      <c r="AB4" s="26" t="s">
        <v>75</v>
      </c>
    </row>
    <row r="5" spans="1:28" x14ac:dyDescent="0.25">
      <c r="A5" s="1">
        <v>3</v>
      </c>
      <c r="B5" s="1">
        <v>87.3</v>
      </c>
      <c r="D5" t="s">
        <v>43</v>
      </c>
      <c r="E5" s="11">
        <f>SQRT(C46/E2)</f>
        <v>5.7662812973353983</v>
      </c>
      <c r="L5" s="1">
        <v>3</v>
      </c>
      <c r="M5" s="1">
        <v>87.3</v>
      </c>
      <c r="N5" s="4">
        <f>H4+H3*L5</f>
        <v>88.425187969924821</v>
      </c>
      <c r="O5" s="4">
        <f t="shared" si="0"/>
        <v>-1.1251879699248235</v>
      </c>
      <c r="P5" s="4">
        <f t="shared" si="1"/>
        <v>1.2660479676635454</v>
      </c>
      <c r="S5" s="1">
        <v>1</v>
      </c>
      <c r="T5" s="1">
        <v>93.1</v>
      </c>
      <c r="U5" s="21">
        <f>$H$4+$H$3*S5</f>
        <v>93.998571428571438</v>
      </c>
      <c r="V5" s="22"/>
      <c r="W5" s="25">
        <f>SQRT($L$28+POWER($H$8*B26,2))</f>
        <v>1.7849450623929111</v>
      </c>
      <c r="X5" s="4">
        <f>U5-$H$1*W5</f>
        <v>90.25018679754632</v>
      </c>
      <c r="Y5" s="25">
        <f>U5+$H$1*W5</f>
        <v>97.746956059596556</v>
      </c>
      <c r="Z5" s="27">
        <f>SQRT(POWER(W5,2)+$H$6)</f>
        <v>4.5101628547106234</v>
      </c>
      <c r="AA5" s="4">
        <f>U5-$H$1*Z5</f>
        <v>84.527229433679125</v>
      </c>
      <c r="AB5" s="4">
        <f>U5+$H$1*Z5</f>
        <v>103.46991342346375</v>
      </c>
    </row>
    <row r="6" spans="1:28" x14ac:dyDescent="0.25">
      <c r="A6" s="1">
        <v>4</v>
      </c>
      <c r="B6" s="1">
        <v>91.4</v>
      </c>
      <c r="D6" t="s">
        <v>44</v>
      </c>
      <c r="E6" s="11">
        <f>SQRT(G46/E2)</f>
        <v>16.542305613184638</v>
      </c>
      <c r="G6" t="s">
        <v>53</v>
      </c>
      <c r="H6" s="11">
        <f>1/(E2-2)*P23</f>
        <v>17.155540100250644</v>
      </c>
      <c r="J6" s="24"/>
      <c r="L6" s="1">
        <v>4</v>
      </c>
      <c r="M6" s="1">
        <v>91.4</v>
      </c>
      <c r="N6" s="4">
        <f>H4+H3*L6</f>
        <v>85.638496240601512</v>
      </c>
      <c r="O6" s="4">
        <f t="shared" si="0"/>
        <v>5.7615037593984937</v>
      </c>
      <c r="P6" s="4">
        <f t="shared" si="1"/>
        <v>33.194925569562976</v>
      </c>
      <c r="S6" s="1">
        <v>2</v>
      </c>
      <c r="T6" s="1">
        <v>92</v>
      </c>
      <c r="U6" s="21">
        <f t="shared" ref="U6:U24" si="2">$H$4+$H$3*S6</f>
        <v>91.211879699248129</v>
      </c>
      <c r="V6" s="22"/>
      <c r="W6" s="25">
        <f t="shared" ref="W6:W24" si="3">SQRT($L$28+POWER($H$8*B27,2))</f>
        <v>1.6497479782816145</v>
      </c>
      <c r="X6" s="4">
        <f t="shared" ref="X6:X24" si="4">U6-$H$1*W6</f>
        <v>87.747408944856744</v>
      </c>
      <c r="Y6" s="25">
        <f t="shared" ref="Y6:Y24" si="5">U6+$H$1*W6</f>
        <v>94.676350453639515</v>
      </c>
      <c r="Z6" s="27">
        <f t="shared" ref="Z6:Z24" si="6">SQRT(POWER(W6,2)+$H$6)</f>
        <v>4.4583863103251744</v>
      </c>
      <c r="AA6" s="4">
        <f t="shared" ref="AA6:AA24" si="7">U6-$H$1*Z6</f>
        <v>81.849268447565265</v>
      </c>
      <c r="AB6" s="4">
        <f t="shared" ref="AB6:AB24" si="8">U6+$H$1*Z6</f>
        <v>100.57449095093099</v>
      </c>
    </row>
    <row r="7" spans="1:28" x14ac:dyDescent="0.25">
      <c r="A7" s="1">
        <v>5</v>
      </c>
      <c r="B7" s="1">
        <v>81.8</v>
      </c>
      <c r="D7" t="s">
        <v>45</v>
      </c>
      <c r="E7" s="11">
        <f>(H2-D9)/D10</f>
        <v>-0.97137900701271973</v>
      </c>
      <c r="G7" s="16" t="s">
        <v>54</v>
      </c>
      <c r="H7" s="11">
        <f>SQRT(H63)</f>
        <v>1.924054305107175</v>
      </c>
      <c r="L7" s="1">
        <v>5</v>
      </c>
      <c r="M7" s="1">
        <v>81.8</v>
      </c>
      <c r="N7" s="4">
        <f>H4+H3*L7</f>
        <v>82.851804511278203</v>
      </c>
      <c r="O7" s="4">
        <f t="shared" si="0"/>
        <v>-1.0518045112782062</v>
      </c>
      <c r="P7" s="4">
        <f t="shared" si="1"/>
        <v>1.1062927299451861</v>
      </c>
      <c r="S7" s="1">
        <v>3</v>
      </c>
      <c r="T7" s="1">
        <v>87.3</v>
      </c>
      <c r="U7" s="21">
        <f t="shared" si="2"/>
        <v>88.425187969924821</v>
      </c>
      <c r="V7" s="22"/>
      <c r="W7" s="25">
        <f t="shared" si="3"/>
        <v>1.5195076562004477</v>
      </c>
      <c r="X7" s="4">
        <f t="shared" si="4"/>
        <v>85.234221891903886</v>
      </c>
      <c r="Y7" s="25">
        <f t="shared" si="5"/>
        <v>91.616154047945756</v>
      </c>
      <c r="Z7" s="27">
        <f t="shared" si="6"/>
        <v>4.4118526287153363</v>
      </c>
      <c r="AA7" s="4">
        <f t="shared" si="7"/>
        <v>79.160297449622618</v>
      </c>
      <c r="AB7" s="4">
        <f t="shared" si="8"/>
        <v>97.690078490227023</v>
      </c>
    </row>
    <row r="8" spans="1:28" x14ac:dyDescent="0.25">
      <c r="A8" s="1">
        <v>6</v>
      </c>
      <c r="B8" s="1">
        <v>76.099999999999994</v>
      </c>
      <c r="G8" s="16" t="s">
        <v>55</v>
      </c>
      <c r="H8" s="11">
        <f>SQRT(F66)</f>
        <v>0.16061695010810981</v>
      </c>
      <c r="L8" s="1">
        <v>6</v>
      </c>
      <c r="M8" s="1">
        <v>76.099999999999994</v>
      </c>
      <c r="N8" s="4">
        <f>H4+H3*L8</f>
        <v>80.065112781954895</v>
      </c>
      <c r="O8" s="4">
        <f t="shared" si="0"/>
        <v>-3.9651127819549004</v>
      </c>
      <c r="P8" s="4">
        <f t="shared" si="1"/>
        <v>15.72211937362213</v>
      </c>
      <c r="S8" s="1">
        <v>4</v>
      </c>
      <c r="T8" s="1">
        <v>91.4</v>
      </c>
      <c r="U8" s="21">
        <f t="shared" si="2"/>
        <v>85.638496240601512</v>
      </c>
      <c r="V8" s="22"/>
      <c r="W8" s="25">
        <f t="shared" si="3"/>
        <v>1.3956125006545848</v>
      </c>
      <c r="X8" s="4">
        <f t="shared" si="4"/>
        <v>82.707709989226885</v>
      </c>
      <c r="Y8" s="25">
        <f t="shared" si="5"/>
        <v>88.569282491976139</v>
      </c>
      <c r="Z8" s="27">
        <f t="shared" si="6"/>
        <v>4.3707292700685532</v>
      </c>
      <c r="AA8" s="4">
        <f t="shared" si="7"/>
        <v>76.459964773457557</v>
      </c>
      <c r="AB8" s="4">
        <f t="shared" si="8"/>
        <v>94.817027707745467</v>
      </c>
    </row>
    <row r="9" spans="1:28" x14ac:dyDescent="0.25">
      <c r="A9" s="1">
        <v>7</v>
      </c>
      <c r="B9" s="1">
        <v>74.5</v>
      </c>
      <c r="D9" s="4">
        <f>E3*E4</f>
        <v>709.01250000000005</v>
      </c>
      <c r="L9" s="1">
        <v>7</v>
      </c>
      <c r="M9" s="1">
        <v>74.5</v>
      </c>
      <c r="N9" s="4">
        <f>H4+H3*L9</f>
        <v>77.278421052631586</v>
      </c>
      <c r="O9" s="4">
        <f t="shared" si="0"/>
        <v>-2.778421052631586</v>
      </c>
      <c r="P9" s="4">
        <f t="shared" si="1"/>
        <v>7.7196235457064102</v>
      </c>
      <c r="S9" s="1">
        <v>5</v>
      </c>
      <c r="T9" s="1">
        <v>81.8</v>
      </c>
      <c r="U9" s="21">
        <f t="shared" si="2"/>
        <v>82.851804511278203</v>
      </c>
      <c r="V9" s="22"/>
      <c r="W9" s="25">
        <f t="shared" si="3"/>
        <v>1.2799064794112776</v>
      </c>
      <c r="X9" s="4">
        <f t="shared" si="4"/>
        <v>80.164000904514523</v>
      </c>
      <c r="Y9" s="25">
        <f t="shared" si="5"/>
        <v>85.539608118041883</v>
      </c>
      <c r="Z9" s="27">
        <f t="shared" si="6"/>
        <v>4.3351702038431679</v>
      </c>
      <c r="AA9" s="4">
        <f t="shared" si="7"/>
        <v>73.747947083207549</v>
      </c>
      <c r="AB9" s="4">
        <f t="shared" si="8"/>
        <v>91.955661939348857</v>
      </c>
    </row>
    <row r="10" spans="1:28" x14ac:dyDescent="0.25">
      <c r="A10" s="1">
        <v>8</v>
      </c>
      <c r="B10" s="1">
        <v>77.400000000000006</v>
      </c>
      <c r="D10">
        <f>E5*E6</f>
        <v>95.387587472112955</v>
      </c>
      <c r="G10" t="s">
        <v>56</v>
      </c>
      <c r="H10" s="11">
        <f>H4-H1*H7</f>
        <v>92.744749117169675</v>
      </c>
      <c r="L10" s="1">
        <v>8</v>
      </c>
      <c r="M10" s="1">
        <v>77.400000000000006</v>
      </c>
      <c r="N10" s="4">
        <f>H4+H3*L10</f>
        <v>74.491729323308277</v>
      </c>
      <c r="O10" s="4">
        <f t="shared" si="0"/>
        <v>2.9082706766917283</v>
      </c>
      <c r="P10" s="4">
        <f t="shared" si="1"/>
        <v>8.4580383289049639</v>
      </c>
      <c r="S10" s="1">
        <v>6</v>
      </c>
      <c r="T10" s="1">
        <v>76.099999999999994</v>
      </c>
      <c r="U10" s="21">
        <f t="shared" si="2"/>
        <v>80.065112781954895</v>
      </c>
      <c r="V10" s="22"/>
      <c r="W10" s="25">
        <f t="shared" si="3"/>
        <v>1.1748117080701319</v>
      </c>
      <c r="X10" s="4">
        <f t="shared" si="4"/>
        <v>77.598008195007623</v>
      </c>
      <c r="Y10" s="25">
        <f t="shared" si="5"/>
        <v>82.532217368902167</v>
      </c>
      <c r="Z10" s="27">
        <f t="shared" si="6"/>
        <v>4.3053133044726613</v>
      </c>
      <c r="AA10" s="4">
        <f t="shared" si="7"/>
        <v>71.023954842562304</v>
      </c>
      <c r="AB10" s="4">
        <f t="shared" si="8"/>
        <v>89.106270721347485</v>
      </c>
    </row>
    <row r="11" spans="1:28" x14ac:dyDescent="0.25">
      <c r="A11" s="1">
        <v>9</v>
      </c>
      <c r="B11" s="1">
        <v>74.400000000000006</v>
      </c>
      <c r="G11" t="s">
        <v>58</v>
      </c>
      <c r="H11" s="11">
        <f>H4+H1*H7</f>
        <v>100.82577719861982</v>
      </c>
      <c r="L11" s="1">
        <v>9</v>
      </c>
      <c r="M11" s="1">
        <v>74.400000000000006</v>
      </c>
      <c r="N11" s="4">
        <f>H4+H3*L11</f>
        <v>71.705037593984969</v>
      </c>
      <c r="O11" s="4">
        <f t="shared" si="0"/>
        <v>2.694962406015037</v>
      </c>
      <c r="P11" s="4">
        <f t="shared" si="1"/>
        <v>7.2628223698343568</v>
      </c>
      <c r="S11" s="1">
        <v>7</v>
      </c>
      <c r="T11" s="1">
        <v>74.5</v>
      </c>
      <c r="U11" s="21">
        <f t="shared" si="2"/>
        <v>77.278421052631586</v>
      </c>
      <c r="V11" s="22"/>
      <c r="W11" s="25">
        <f t="shared" si="3"/>
        <v>1.083420561057622</v>
      </c>
      <c r="X11" s="4">
        <f t="shared" si="4"/>
        <v>75.003237874410587</v>
      </c>
      <c r="Y11" s="25">
        <f t="shared" si="5"/>
        <v>79.553604230852585</v>
      </c>
      <c r="Z11" s="27">
        <f t="shared" si="6"/>
        <v>4.2812778714272977</v>
      </c>
      <c r="AA11" s="4">
        <f t="shared" si="7"/>
        <v>68.287737522634259</v>
      </c>
      <c r="AB11" s="4">
        <f t="shared" si="8"/>
        <v>86.269104582628913</v>
      </c>
    </row>
    <row r="12" spans="1:28" x14ac:dyDescent="0.25">
      <c r="A12" s="1">
        <v>10</v>
      </c>
      <c r="B12" s="1">
        <v>64.7</v>
      </c>
      <c r="L12" s="1">
        <v>10</v>
      </c>
      <c r="M12" s="1">
        <v>64.7</v>
      </c>
      <c r="N12" s="4">
        <f>H4+H3*L12</f>
        <v>68.91834586466166</v>
      </c>
      <c r="O12" s="4">
        <f t="shared" si="0"/>
        <v>-4.2183458646616572</v>
      </c>
      <c r="P12" s="4">
        <f t="shared" si="1"/>
        <v>17.794441833908103</v>
      </c>
      <c r="S12" s="1">
        <v>8</v>
      </c>
      <c r="T12" s="1">
        <v>77.400000000000006</v>
      </c>
      <c r="U12" s="21">
        <f t="shared" si="2"/>
        <v>74.491729323308277</v>
      </c>
      <c r="V12" s="22"/>
      <c r="W12" s="25">
        <f t="shared" si="3"/>
        <v>1.009461878502713</v>
      </c>
      <c r="X12" s="4">
        <f t="shared" si="4"/>
        <v>72.371859378452584</v>
      </c>
      <c r="Y12" s="25">
        <f t="shared" si="5"/>
        <v>76.611599268163971</v>
      </c>
      <c r="Z12" s="27">
        <f t="shared" si="6"/>
        <v>4.2631623689933358</v>
      </c>
      <c r="AA12" s="4">
        <f t="shared" si="7"/>
        <v>65.539088348422268</v>
      </c>
      <c r="AB12" s="4">
        <f t="shared" si="8"/>
        <v>83.444370298194286</v>
      </c>
    </row>
    <row r="13" spans="1:28" x14ac:dyDescent="0.25">
      <c r="A13" s="1">
        <v>11</v>
      </c>
      <c r="B13" s="1">
        <v>61.4</v>
      </c>
      <c r="G13" t="s">
        <v>59</v>
      </c>
      <c r="H13" s="11">
        <f>H3-H1*H8</f>
        <v>-3.1239873245503396</v>
      </c>
      <c r="L13" s="1">
        <v>11</v>
      </c>
      <c r="M13" s="1">
        <v>61.4</v>
      </c>
      <c r="N13" s="4">
        <f>H4+H3*L13</f>
        <v>66.131654135338351</v>
      </c>
      <c r="O13" s="4">
        <f t="shared" si="0"/>
        <v>-4.7316541353383528</v>
      </c>
      <c r="P13" s="4">
        <f t="shared" si="1"/>
        <v>22.388550856464533</v>
      </c>
      <c r="S13" s="1">
        <v>9</v>
      </c>
      <c r="T13" s="1">
        <v>74.400000000000006</v>
      </c>
      <c r="U13" s="21">
        <f t="shared" si="2"/>
        <v>71.705037593984969</v>
      </c>
      <c r="V13" s="22"/>
      <c r="W13" s="25">
        <f t="shared" si="3"/>
        <v>0.95698592753608558</v>
      </c>
      <c r="X13" s="4">
        <f t="shared" si="4"/>
        <v>69.695367146159185</v>
      </c>
      <c r="Y13" s="25">
        <f t="shared" si="5"/>
        <v>73.714708041810752</v>
      </c>
      <c r="Z13" s="27">
        <f t="shared" si="6"/>
        <v>4.2510424798809936</v>
      </c>
      <c r="AA13" s="4">
        <f t="shared" si="7"/>
        <v>62.777848386234879</v>
      </c>
      <c r="AB13" s="4">
        <f t="shared" si="8"/>
        <v>80.632226801735058</v>
      </c>
    </row>
    <row r="14" spans="1:28" x14ac:dyDescent="0.25">
      <c r="A14" s="1">
        <v>12</v>
      </c>
      <c r="B14" s="1">
        <v>60.9</v>
      </c>
      <c r="G14" t="s">
        <v>60</v>
      </c>
      <c r="H14" s="11">
        <f>H3+H1*H8</f>
        <v>-2.4493961340962787</v>
      </c>
      <c r="L14" s="1">
        <v>12</v>
      </c>
      <c r="M14" s="1">
        <v>60.9</v>
      </c>
      <c r="N14" s="4">
        <f>H4+H3*L14</f>
        <v>63.344962406015036</v>
      </c>
      <c r="O14" s="4">
        <f t="shared" si="0"/>
        <v>-2.444962406015037</v>
      </c>
      <c r="P14" s="4">
        <f t="shared" si="1"/>
        <v>5.9778411668268383</v>
      </c>
      <c r="S14" s="1">
        <v>10</v>
      </c>
      <c r="T14" s="1">
        <v>64.7</v>
      </c>
      <c r="U14" s="21">
        <f t="shared" si="2"/>
        <v>68.91834586466166</v>
      </c>
      <c r="V14" s="22"/>
      <c r="W14" s="25">
        <f t="shared" si="3"/>
        <v>0.92963780913753713</v>
      </c>
      <c r="X14" s="4">
        <f t="shared" si="4"/>
        <v>66.966106465472834</v>
      </c>
      <c r="Y14" s="25">
        <f t="shared" si="5"/>
        <v>70.870585263850487</v>
      </c>
      <c r="Z14" s="27">
        <f t="shared" si="6"/>
        <v>4.2449695589519472</v>
      </c>
      <c r="AA14" s="4">
        <f t="shared" si="7"/>
        <v>60.003909790862572</v>
      </c>
      <c r="AB14" s="4">
        <f t="shared" si="8"/>
        <v>77.832781938460755</v>
      </c>
    </row>
    <row r="15" spans="1:28" x14ac:dyDescent="0.25">
      <c r="A15" s="1">
        <v>13</v>
      </c>
      <c r="B15" s="1">
        <v>70.5</v>
      </c>
      <c r="L15" s="1">
        <v>13</v>
      </c>
      <c r="M15" s="1">
        <v>70.5</v>
      </c>
      <c r="N15" s="4">
        <f>H4+H3*L15</f>
        <v>60.558270676691727</v>
      </c>
      <c r="O15" s="4">
        <f t="shared" si="0"/>
        <v>9.9417293233082731</v>
      </c>
      <c r="P15" s="4">
        <f t="shared" si="1"/>
        <v>98.83798193792758</v>
      </c>
      <c r="S15" s="1">
        <v>11</v>
      </c>
      <c r="T15" s="1">
        <v>61.4</v>
      </c>
      <c r="U15" s="21">
        <f t="shared" si="2"/>
        <v>66.131654135338351</v>
      </c>
      <c r="V15" s="22"/>
      <c r="W15" s="25">
        <f t="shared" si="3"/>
        <v>0.92963780913753713</v>
      </c>
      <c r="X15" s="4">
        <f t="shared" si="4"/>
        <v>64.179414736149525</v>
      </c>
      <c r="Y15" s="25">
        <f t="shared" si="5"/>
        <v>68.083893534527178</v>
      </c>
      <c r="Z15" s="27">
        <f t="shared" si="6"/>
        <v>4.2449695589519472</v>
      </c>
      <c r="AA15" s="4">
        <f t="shared" si="7"/>
        <v>57.217218061539263</v>
      </c>
      <c r="AB15" s="4">
        <f t="shared" si="8"/>
        <v>75.046090209137446</v>
      </c>
    </row>
    <row r="16" spans="1:28" x14ac:dyDescent="0.25">
      <c r="A16" s="1">
        <v>14</v>
      </c>
      <c r="B16" s="1">
        <v>63.3</v>
      </c>
      <c r="G16" t="s">
        <v>61</v>
      </c>
      <c r="H16" s="11">
        <f>H4/H7</f>
        <v>50.302771029377752</v>
      </c>
      <c r="L16" s="1">
        <v>14</v>
      </c>
      <c r="M16" s="1">
        <v>63.3</v>
      </c>
      <c r="N16" s="4">
        <f>H4+H3*L16</f>
        <v>57.771578947368418</v>
      </c>
      <c r="O16" s="4">
        <f t="shared" si="0"/>
        <v>5.5284210526315789</v>
      </c>
      <c r="P16" s="4">
        <f t="shared" si="1"/>
        <v>30.563439335180053</v>
      </c>
      <c r="S16" s="1">
        <v>12</v>
      </c>
      <c r="T16" s="1">
        <v>60.9</v>
      </c>
      <c r="U16" s="21">
        <f t="shared" si="2"/>
        <v>63.344962406015036</v>
      </c>
      <c r="V16" s="22"/>
      <c r="W16" s="25">
        <f t="shared" si="3"/>
        <v>0.95698592753608558</v>
      </c>
      <c r="X16" s="4">
        <f t="shared" si="4"/>
        <v>61.335291958189259</v>
      </c>
      <c r="Y16" s="25">
        <f t="shared" si="5"/>
        <v>65.354632853840812</v>
      </c>
      <c r="Z16" s="27">
        <f t="shared" si="6"/>
        <v>4.2510424798809936</v>
      </c>
      <c r="AA16" s="4">
        <f t="shared" si="7"/>
        <v>54.417773198264946</v>
      </c>
      <c r="AB16" s="4">
        <f t="shared" si="8"/>
        <v>72.272151613765118</v>
      </c>
    </row>
    <row r="17" spans="1:28" x14ac:dyDescent="0.25">
      <c r="A17" s="1">
        <v>15</v>
      </c>
      <c r="B17" s="1">
        <v>57.1</v>
      </c>
      <c r="G17" t="s">
        <v>62</v>
      </c>
      <c r="L17" s="1">
        <v>15</v>
      </c>
      <c r="M17" s="1">
        <v>57.1</v>
      </c>
      <c r="N17" s="4">
        <f>H4+H3*L17</f>
        <v>54.98488721804511</v>
      </c>
      <c r="O17" s="4">
        <f t="shared" si="0"/>
        <v>2.1151127819548918</v>
      </c>
      <c r="P17" s="4">
        <f t="shared" si="1"/>
        <v>4.4737020803889616</v>
      </c>
      <c r="S17" s="1">
        <v>13</v>
      </c>
      <c r="T17" s="1">
        <v>70.5</v>
      </c>
      <c r="U17" s="21">
        <f t="shared" si="2"/>
        <v>60.558270676691727</v>
      </c>
      <c r="V17" s="22"/>
      <c r="W17" s="25">
        <f t="shared" si="3"/>
        <v>1.009461878502713</v>
      </c>
      <c r="X17" s="4">
        <f t="shared" si="4"/>
        <v>58.438400731836026</v>
      </c>
      <c r="Y17" s="25">
        <f t="shared" si="5"/>
        <v>62.678140621547428</v>
      </c>
      <c r="Z17" s="27">
        <f t="shared" si="6"/>
        <v>4.2631623689933358</v>
      </c>
      <c r="AA17" s="4">
        <f t="shared" si="7"/>
        <v>51.605629701805725</v>
      </c>
      <c r="AB17" s="4">
        <f t="shared" si="8"/>
        <v>69.510911651577729</v>
      </c>
    </row>
    <row r="18" spans="1:28" x14ac:dyDescent="0.25">
      <c r="A18" s="1">
        <v>16</v>
      </c>
      <c r="B18" s="1">
        <v>47.2</v>
      </c>
      <c r="L18" s="1">
        <v>16</v>
      </c>
      <c r="M18" s="1">
        <v>47.2</v>
      </c>
      <c r="N18" s="4">
        <f>H4+H3*L18</f>
        <v>52.198195488721801</v>
      </c>
      <c r="O18" s="4">
        <f t="shared" si="0"/>
        <v>-4.9981954887217981</v>
      </c>
      <c r="P18" s="4">
        <f t="shared" si="1"/>
        <v>24.981958143478934</v>
      </c>
      <c r="S18" s="1">
        <v>14</v>
      </c>
      <c r="T18" s="1">
        <v>63.3</v>
      </c>
      <c r="U18" s="21">
        <f t="shared" si="2"/>
        <v>57.771578947368418</v>
      </c>
      <c r="V18" s="22"/>
      <c r="W18" s="25">
        <f t="shared" si="3"/>
        <v>1.083420561057622</v>
      </c>
      <c r="X18" s="4">
        <f t="shared" si="4"/>
        <v>55.496395769147412</v>
      </c>
      <c r="Y18" s="25">
        <f t="shared" si="5"/>
        <v>60.046762125589424</v>
      </c>
      <c r="Z18" s="27">
        <f t="shared" si="6"/>
        <v>4.2812778714272977</v>
      </c>
      <c r="AA18" s="4">
        <f t="shared" si="7"/>
        <v>48.780895417371092</v>
      </c>
      <c r="AB18" s="4">
        <f t="shared" si="8"/>
        <v>66.762262477365738</v>
      </c>
    </row>
    <row r="19" spans="1:28" x14ac:dyDescent="0.25">
      <c r="A19" s="1">
        <v>17</v>
      </c>
      <c r="B19" s="1">
        <v>45.4</v>
      </c>
      <c r="G19" t="s">
        <v>63</v>
      </c>
      <c r="H19" s="11">
        <f>H3/H8</f>
        <v>-17.349923077530811</v>
      </c>
      <c r="L19" s="1">
        <v>17</v>
      </c>
      <c r="M19" s="1">
        <v>45.4</v>
      </c>
      <c r="N19" s="4">
        <f>H4+H3*L19</f>
        <v>49.411503759398492</v>
      </c>
      <c r="O19" s="4">
        <f t="shared" si="0"/>
        <v>-4.0115037593984937</v>
      </c>
      <c r="P19" s="4">
        <f t="shared" si="1"/>
        <v>16.092162411668248</v>
      </c>
      <c r="S19" s="1">
        <v>15</v>
      </c>
      <c r="T19" s="1">
        <v>57.1</v>
      </c>
      <c r="U19" s="21">
        <f t="shared" si="2"/>
        <v>54.98488721804511</v>
      </c>
      <c r="V19" s="22"/>
      <c r="W19" s="25">
        <f t="shared" si="3"/>
        <v>1.1748117080701319</v>
      </c>
      <c r="X19" s="4">
        <f t="shared" si="4"/>
        <v>52.51778263109783</v>
      </c>
      <c r="Y19" s="25">
        <f t="shared" si="5"/>
        <v>57.451991804992389</v>
      </c>
      <c r="Z19" s="27">
        <f t="shared" si="6"/>
        <v>4.3053133044726613</v>
      </c>
      <c r="AA19" s="4">
        <f t="shared" si="7"/>
        <v>45.943729278652519</v>
      </c>
      <c r="AB19" s="4">
        <f t="shared" si="8"/>
        <v>64.026045157437693</v>
      </c>
    </row>
    <row r="20" spans="1:28" x14ac:dyDescent="0.25">
      <c r="A20" s="1">
        <v>18</v>
      </c>
      <c r="B20" s="1">
        <v>44.5</v>
      </c>
      <c r="G20" t="s">
        <v>64</v>
      </c>
      <c r="L20" s="1">
        <v>18</v>
      </c>
      <c r="M20" s="1">
        <v>44.5</v>
      </c>
      <c r="N20" s="4">
        <f>H4+H3*L20</f>
        <v>46.624812030075184</v>
      </c>
      <c r="O20" s="4">
        <f t="shared" si="0"/>
        <v>-2.1248120300751836</v>
      </c>
      <c r="P20" s="4">
        <f t="shared" si="1"/>
        <v>4.5148261631522226</v>
      </c>
      <c r="S20" s="1">
        <v>16</v>
      </c>
      <c r="T20" s="1">
        <v>47.2</v>
      </c>
      <c r="U20" s="21">
        <f t="shared" si="2"/>
        <v>52.198195488721801</v>
      </c>
      <c r="V20" s="22"/>
      <c r="W20" s="25">
        <f t="shared" si="3"/>
        <v>1.2799064794112776</v>
      </c>
      <c r="X20" s="4">
        <f t="shared" si="4"/>
        <v>49.510391881958121</v>
      </c>
      <c r="Y20" s="25">
        <f t="shared" si="5"/>
        <v>54.885999095485481</v>
      </c>
      <c r="Z20" s="27">
        <f t="shared" si="6"/>
        <v>4.3351702038431679</v>
      </c>
      <c r="AA20" s="4">
        <f t="shared" si="7"/>
        <v>43.094338060651147</v>
      </c>
      <c r="AB20" s="4">
        <f t="shared" si="8"/>
        <v>61.302052916792455</v>
      </c>
    </row>
    <row r="21" spans="1:28" x14ac:dyDescent="0.25">
      <c r="A21" s="1">
        <v>19</v>
      </c>
      <c r="B21" s="1">
        <v>43.8</v>
      </c>
      <c r="L21" s="1">
        <v>19</v>
      </c>
      <c r="M21" s="1">
        <v>43.8</v>
      </c>
      <c r="N21" s="4">
        <f>H4+H3*L21</f>
        <v>43.838120300751875</v>
      </c>
      <c r="O21" s="4">
        <f t="shared" si="0"/>
        <v>-3.8120300751877778E-2</v>
      </c>
      <c r="P21" s="4">
        <f t="shared" si="1"/>
        <v>1.4531573294136134E-3</v>
      </c>
      <c r="S21" s="1">
        <v>17</v>
      </c>
      <c r="T21" s="1">
        <v>45.4</v>
      </c>
      <c r="U21" s="21">
        <f t="shared" si="2"/>
        <v>49.411503759398492</v>
      </c>
      <c r="V21" s="22"/>
      <c r="W21" s="25">
        <f t="shared" si="3"/>
        <v>1.3956125006545848</v>
      </c>
      <c r="X21" s="4">
        <f t="shared" si="4"/>
        <v>46.480717508023865</v>
      </c>
      <c r="Y21" s="25">
        <f t="shared" si="5"/>
        <v>52.342290010773119</v>
      </c>
      <c r="Z21" s="27">
        <f t="shared" si="6"/>
        <v>4.3707292700685532</v>
      </c>
      <c r="AA21" s="4">
        <f t="shared" si="7"/>
        <v>40.23297229225453</v>
      </c>
      <c r="AB21" s="4">
        <f t="shared" si="8"/>
        <v>58.590035226542454</v>
      </c>
    </row>
    <row r="22" spans="1:28" x14ac:dyDescent="0.25">
      <c r="A22" s="1">
        <v>20</v>
      </c>
      <c r="B22" s="1">
        <v>43.7</v>
      </c>
      <c r="L22" s="1">
        <v>20</v>
      </c>
      <c r="M22" s="1">
        <v>43.7</v>
      </c>
      <c r="N22" s="4">
        <f>H4+H3*L22</f>
        <v>41.051428571428566</v>
      </c>
      <c r="O22" s="4">
        <f t="shared" si="0"/>
        <v>2.6485714285714366</v>
      </c>
      <c r="P22" s="4">
        <f t="shared" si="1"/>
        <v>7.0149306122449406</v>
      </c>
      <c r="S22" s="1">
        <v>18</v>
      </c>
      <c r="T22" s="1">
        <v>44.5</v>
      </c>
      <c r="U22" s="21">
        <f t="shared" si="2"/>
        <v>46.624812030075184</v>
      </c>
      <c r="V22" s="22"/>
      <c r="W22" s="25">
        <f t="shared" si="3"/>
        <v>1.5195076562004477</v>
      </c>
      <c r="X22" s="4">
        <f t="shared" si="4"/>
        <v>43.433845952054241</v>
      </c>
      <c r="Y22" s="25">
        <f t="shared" si="5"/>
        <v>49.815778108096126</v>
      </c>
      <c r="Z22" s="27">
        <f t="shared" si="6"/>
        <v>4.4118526287153363</v>
      </c>
      <c r="AA22" s="4">
        <f t="shared" si="7"/>
        <v>37.359921509772974</v>
      </c>
      <c r="AB22" s="4">
        <f t="shared" si="8"/>
        <v>55.889702550377393</v>
      </c>
    </row>
    <row r="23" spans="1:28" x14ac:dyDescent="0.25">
      <c r="O23" t="s">
        <v>9</v>
      </c>
      <c r="P23" s="10">
        <f>SUM(P3:P22)</f>
        <v>308.79972180451159</v>
      </c>
      <c r="S23" s="1">
        <v>19</v>
      </c>
      <c r="T23" s="1">
        <v>43.8</v>
      </c>
      <c r="U23" s="21">
        <f t="shared" si="2"/>
        <v>43.838120300751875</v>
      </c>
      <c r="V23" s="22"/>
      <c r="W23" s="25">
        <f t="shared" si="3"/>
        <v>1.6497479782816145</v>
      </c>
      <c r="X23" s="4">
        <f t="shared" si="4"/>
        <v>40.373649546360483</v>
      </c>
      <c r="Y23" s="25">
        <f t="shared" si="5"/>
        <v>47.302591055143267</v>
      </c>
      <c r="Z23" s="27">
        <f t="shared" si="6"/>
        <v>4.4583863103251744</v>
      </c>
      <c r="AA23" s="4">
        <f t="shared" si="7"/>
        <v>34.475509049069011</v>
      </c>
      <c r="AB23" s="4">
        <f t="shared" si="8"/>
        <v>53.200731552434739</v>
      </c>
    </row>
    <row r="24" spans="1:28" x14ac:dyDescent="0.25">
      <c r="S24" s="1">
        <v>20</v>
      </c>
      <c r="T24" s="1">
        <v>43.7</v>
      </c>
      <c r="U24" s="21">
        <f t="shared" si="2"/>
        <v>41.051428571428566</v>
      </c>
      <c r="V24" s="22"/>
      <c r="W24" s="25">
        <f t="shared" si="3"/>
        <v>1.7849450623929111</v>
      </c>
      <c r="X24" s="4">
        <f t="shared" si="4"/>
        <v>37.303043940403455</v>
      </c>
      <c r="Y24" s="25">
        <f t="shared" si="5"/>
        <v>44.799813202453677</v>
      </c>
      <c r="Z24" s="27">
        <f t="shared" si="6"/>
        <v>4.5101628547106234</v>
      </c>
      <c r="AA24" s="4">
        <f t="shared" si="7"/>
        <v>31.580086576536257</v>
      </c>
      <c r="AB24" s="4">
        <f t="shared" si="8"/>
        <v>50.522770566320872</v>
      </c>
    </row>
    <row r="25" spans="1:28" x14ac:dyDescent="0.25">
      <c r="A25" s="17" t="s">
        <v>0</v>
      </c>
      <c r="B25" s="17" t="s">
        <v>7</v>
      </c>
      <c r="C25" s="17" t="s">
        <v>8</v>
      </c>
      <c r="E25" s="17" t="s">
        <v>1</v>
      </c>
      <c r="F25" s="17" t="s">
        <v>10</v>
      </c>
      <c r="G25" s="17" t="s">
        <v>11</v>
      </c>
      <c r="H25" s="17"/>
      <c r="I25" s="17" t="s">
        <v>5</v>
      </c>
    </row>
    <row r="26" spans="1:28" x14ac:dyDescent="0.25">
      <c r="A26" s="1">
        <v>1</v>
      </c>
      <c r="B26">
        <f>A26-E3</f>
        <v>-9.5</v>
      </c>
      <c r="C26">
        <f>POWER(B26,2)</f>
        <v>90.25</v>
      </c>
      <c r="E26" s="1">
        <v>93.1</v>
      </c>
      <c r="F26" s="4">
        <f>E26-E4</f>
        <v>25.574999999999989</v>
      </c>
      <c r="G26" s="4">
        <f>POWER(F26,2)</f>
        <v>654.08062499999937</v>
      </c>
      <c r="I26">
        <f>A26*E26</f>
        <v>93.1</v>
      </c>
    </row>
    <row r="27" spans="1:28" x14ac:dyDescent="0.25">
      <c r="A27" s="1">
        <v>2</v>
      </c>
      <c r="B27">
        <f>A27-E3</f>
        <v>-8.5</v>
      </c>
      <c r="C27">
        <f t="shared" ref="C27:C45" si="9">POWER(B27,2)</f>
        <v>72.25</v>
      </c>
      <c r="E27" s="1">
        <v>92</v>
      </c>
      <c r="F27" s="4">
        <f>E27-E4</f>
        <v>24.474999999999994</v>
      </c>
      <c r="G27" s="4">
        <f t="shared" ref="G27:G45" si="10">POWER(F27,2)</f>
        <v>599.02562499999976</v>
      </c>
      <c r="I27">
        <f t="shared" ref="I27:I45" si="11">A27*E27</f>
        <v>184</v>
      </c>
    </row>
    <row r="28" spans="1:28" x14ac:dyDescent="0.25">
      <c r="A28" s="1">
        <v>3</v>
      </c>
      <c r="B28">
        <f>A28-E3</f>
        <v>-7.5</v>
      </c>
      <c r="C28">
        <f t="shared" si="9"/>
        <v>56.25</v>
      </c>
      <c r="E28" s="1">
        <v>87.3</v>
      </c>
      <c r="F28" s="4">
        <f>E28-E4</f>
        <v>19.774999999999991</v>
      </c>
      <c r="G28" s="4">
        <f t="shared" si="10"/>
        <v>391.05062499999968</v>
      </c>
      <c r="I28">
        <f t="shared" si="11"/>
        <v>261.89999999999998</v>
      </c>
      <c r="L28" s="4">
        <f>H6/E2</f>
        <v>0.85777700501253218</v>
      </c>
    </row>
    <row r="29" spans="1:28" x14ac:dyDescent="0.25">
      <c r="A29" s="1">
        <v>4</v>
      </c>
      <c r="B29">
        <f>A29-E3</f>
        <v>-6.5</v>
      </c>
      <c r="C29">
        <f t="shared" si="9"/>
        <v>42.25</v>
      </c>
      <c r="E29" s="1">
        <v>91.4</v>
      </c>
      <c r="F29" s="4">
        <f>E29-E4</f>
        <v>23.875</v>
      </c>
      <c r="G29" s="4">
        <f t="shared" si="10"/>
        <v>570.015625</v>
      </c>
      <c r="I29">
        <f t="shared" si="11"/>
        <v>365.6</v>
      </c>
    </row>
    <row r="30" spans="1:28" x14ac:dyDescent="0.25">
      <c r="A30" s="1">
        <v>5</v>
      </c>
      <c r="B30">
        <f>A30-E3</f>
        <v>-5.5</v>
      </c>
      <c r="C30">
        <f t="shared" si="9"/>
        <v>30.25</v>
      </c>
      <c r="E30" s="1">
        <v>81.8</v>
      </c>
      <c r="F30" s="4">
        <f>E30-E4</f>
        <v>14.274999999999991</v>
      </c>
      <c r="G30" s="4">
        <f t="shared" si="10"/>
        <v>203.77562499999976</v>
      </c>
      <c r="I30">
        <f t="shared" si="11"/>
        <v>409</v>
      </c>
    </row>
    <row r="31" spans="1:28" x14ac:dyDescent="0.25">
      <c r="A31" s="1">
        <v>6</v>
      </c>
      <c r="B31">
        <f>A31-E3</f>
        <v>-4.5</v>
      </c>
      <c r="C31">
        <f t="shared" si="9"/>
        <v>20.25</v>
      </c>
      <c r="E31" s="1">
        <v>76.099999999999994</v>
      </c>
      <c r="F31" s="4">
        <f>E31-E4</f>
        <v>8.5749999999999886</v>
      </c>
      <c r="G31" s="4">
        <f t="shared" si="10"/>
        <v>73.530624999999802</v>
      </c>
      <c r="I31">
        <f t="shared" si="11"/>
        <v>456.59999999999997</v>
      </c>
      <c r="Z31" s="20"/>
      <c r="AA31" s="20"/>
    </row>
    <row r="32" spans="1:28" x14ac:dyDescent="0.25">
      <c r="A32" s="1">
        <v>7</v>
      </c>
      <c r="B32">
        <f>A32-E3</f>
        <v>-3.5</v>
      </c>
      <c r="C32">
        <f t="shared" si="9"/>
        <v>12.25</v>
      </c>
      <c r="E32" s="1">
        <v>74.5</v>
      </c>
      <c r="F32" s="4">
        <f>E32-E4</f>
        <v>6.9749999999999943</v>
      </c>
      <c r="G32" s="4">
        <f t="shared" si="10"/>
        <v>48.65062499999992</v>
      </c>
      <c r="I32">
        <f t="shared" si="11"/>
        <v>521.5</v>
      </c>
    </row>
    <row r="33" spans="1:9" x14ac:dyDescent="0.25">
      <c r="A33" s="1">
        <v>8</v>
      </c>
      <c r="B33">
        <f>A33-E3</f>
        <v>-2.5</v>
      </c>
      <c r="C33">
        <f t="shared" si="9"/>
        <v>6.25</v>
      </c>
      <c r="E33" s="1">
        <v>77.400000000000006</v>
      </c>
      <c r="F33" s="4">
        <f>E33-E4</f>
        <v>9.875</v>
      </c>
      <c r="G33" s="4">
        <f t="shared" si="10"/>
        <v>97.515625</v>
      </c>
      <c r="I33">
        <f t="shared" si="11"/>
        <v>619.20000000000005</v>
      </c>
    </row>
    <row r="34" spans="1:9" x14ac:dyDescent="0.25">
      <c r="A34" s="1">
        <v>9</v>
      </c>
      <c r="B34">
        <f>A34-E3</f>
        <v>-1.5</v>
      </c>
      <c r="C34">
        <f t="shared" si="9"/>
        <v>2.25</v>
      </c>
      <c r="E34" s="1">
        <v>74.400000000000006</v>
      </c>
      <c r="F34" s="4">
        <f>E34-E4</f>
        <v>6.875</v>
      </c>
      <c r="G34" s="4">
        <f t="shared" si="10"/>
        <v>47.265625</v>
      </c>
      <c r="I34">
        <f t="shared" si="11"/>
        <v>669.6</v>
      </c>
    </row>
    <row r="35" spans="1:9" x14ac:dyDescent="0.25">
      <c r="A35" s="1">
        <v>10</v>
      </c>
      <c r="B35">
        <f>A35-E3</f>
        <v>-0.5</v>
      </c>
      <c r="C35">
        <f t="shared" si="9"/>
        <v>0.25</v>
      </c>
      <c r="E35" s="1">
        <v>64.7</v>
      </c>
      <c r="F35" s="4">
        <f>E35-E4</f>
        <v>-2.8250000000000028</v>
      </c>
      <c r="G35" s="4">
        <f t="shared" si="10"/>
        <v>7.9806250000000158</v>
      </c>
      <c r="I35">
        <f t="shared" si="11"/>
        <v>647</v>
      </c>
    </row>
    <row r="36" spans="1:9" x14ac:dyDescent="0.25">
      <c r="A36" s="1">
        <v>11</v>
      </c>
      <c r="B36">
        <f>A36-E3</f>
        <v>0.5</v>
      </c>
      <c r="C36">
        <f t="shared" si="9"/>
        <v>0.25</v>
      </c>
      <c r="E36" s="1">
        <v>61.4</v>
      </c>
      <c r="F36" s="4">
        <f>E36-E4</f>
        <v>-6.1250000000000071</v>
      </c>
      <c r="G36" s="4">
        <f t="shared" si="10"/>
        <v>37.515625000000085</v>
      </c>
      <c r="I36">
        <f t="shared" si="11"/>
        <v>675.4</v>
      </c>
    </row>
    <row r="37" spans="1:9" x14ac:dyDescent="0.25">
      <c r="A37" s="1">
        <v>12</v>
      </c>
      <c r="B37">
        <f>A37-E3</f>
        <v>1.5</v>
      </c>
      <c r="C37">
        <f t="shared" si="9"/>
        <v>2.25</v>
      </c>
      <c r="E37" s="1">
        <v>60.9</v>
      </c>
      <c r="F37" s="4">
        <f>E37-E4</f>
        <v>-6.6250000000000071</v>
      </c>
      <c r="G37" s="4">
        <f t="shared" si="10"/>
        <v>43.890625000000092</v>
      </c>
      <c r="I37">
        <f t="shared" si="11"/>
        <v>730.8</v>
      </c>
    </row>
    <row r="38" spans="1:9" x14ac:dyDescent="0.25">
      <c r="A38" s="1">
        <v>13</v>
      </c>
      <c r="B38">
        <f>A38-E3</f>
        <v>2.5</v>
      </c>
      <c r="C38">
        <f t="shared" si="9"/>
        <v>6.25</v>
      </c>
      <c r="E38" s="1">
        <v>70.5</v>
      </c>
      <c r="F38" s="4">
        <f>E38-E4</f>
        <v>2.9749999999999943</v>
      </c>
      <c r="G38" s="4">
        <f t="shared" si="10"/>
        <v>8.8506249999999653</v>
      </c>
      <c r="I38">
        <f t="shared" si="11"/>
        <v>916.5</v>
      </c>
    </row>
    <row r="39" spans="1:9" x14ac:dyDescent="0.25">
      <c r="A39" s="1">
        <v>14</v>
      </c>
      <c r="B39">
        <f>A39-E3</f>
        <v>3.5</v>
      </c>
      <c r="C39">
        <f t="shared" si="9"/>
        <v>12.25</v>
      </c>
      <c r="E39" s="1">
        <v>63.3</v>
      </c>
      <c r="F39" s="4">
        <f>E39-E4</f>
        <v>-4.2250000000000085</v>
      </c>
      <c r="G39" s="4">
        <f t="shared" si="10"/>
        <v>17.850625000000072</v>
      </c>
      <c r="I39">
        <f t="shared" si="11"/>
        <v>886.19999999999993</v>
      </c>
    </row>
    <row r="40" spans="1:9" x14ac:dyDescent="0.25">
      <c r="A40" s="1">
        <v>15</v>
      </c>
      <c r="B40">
        <f>A40-E3</f>
        <v>4.5</v>
      </c>
      <c r="C40">
        <f t="shared" si="9"/>
        <v>20.25</v>
      </c>
      <c r="E40" s="1">
        <v>57.1</v>
      </c>
      <c r="F40" s="4">
        <f>E40-E4</f>
        <v>-10.425000000000004</v>
      </c>
      <c r="G40" s="4">
        <f t="shared" si="10"/>
        <v>108.68062500000009</v>
      </c>
      <c r="I40">
        <f>A40*E40</f>
        <v>856.5</v>
      </c>
    </row>
    <row r="41" spans="1:9" x14ac:dyDescent="0.25">
      <c r="A41" s="1">
        <v>16</v>
      </c>
      <c r="B41">
        <f>A41-E3</f>
        <v>5.5</v>
      </c>
      <c r="C41">
        <f t="shared" si="9"/>
        <v>30.25</v>
      </c>
      <c r="E41" s="1">
        <v>47.2</v>
      </c>
      <c r="F41" s="4">
        <f>E41-E4</f>
        <v>-20.325000000000003</v>
      </c>
      <c r="G41" s="4">
        <f t="shared" si="10"/>
        <v>413.10562500000009</v>
      </c>
      <c r="I41">
        <f t="shared" si="11"/>
        <v>755.2</v>
      </c>
    </row>
    <row r="42" spans="1:9" x14ac:dyDescent="0.25">
      <c r="A42" s="1">
        <v>17</v>
      </c>
      <c r="B42">
        <f>A42-E3</f>
        <v>6.5</v>
      </c>
      <c r="C42">
        <f t="shared" si="9"/>
        <v>42.25</v>
      </c>
      <c r="E42" s="1">
        <v>45.4</v>
      </c>
      <c r="F42" s="4">
        <f>E42-E4</f>
        <v>-22.125000000000007</v>
      </c>
      <c r="G42" s="4">
        <f t="shared" si="10"/>
        <v>489.51562500000034</v>
      </c>
      <c r="I42">
        <f t="shared" si="11"/>
        <v>771.8</v>
      </c>
    </row>
    <row r="43" spans="1:9" x14ac:dyDescent="0.25">
      <c r="A43" s="1">
        <v>18</v>
      </c>
      <c r="B43">
        <f>A43-E3</f>
        <v>7.5</v>
      </c>
      <c r="C43">
        <f t="shared" si="9"/>
        <v>56.25</v>
      </c>
      <c r="E43" s="1">
        <v>44.5</v>
      </c>
      <c r="F43" s="4">
        <f>E43-E4</f>
        <v>-23.025000000000006</v>
      </c>
      <c r="G43" s="4">
        <f t="shared" si="10"/>
        <v>530.15062500000022</v>
      </c>
      <c r="I43">
        <f t="shared" si="11"/>
        <v>801</v>
      </c>
    </row>
    <row r="44" spans="1:9" x14ac:dyDescent="0.25">
      <c r="A44" s="1">
        <v>19</v>
      </c>
      <c r="B44">
        <f>A44-E3</f>
        <v>8.5</v>
      </c>
      <c r="C44">
        <f t="shared" si="9"/>
        <v>72.25</v>
      </c>
      <c r="E44" s="1">
        <v>43.8</v>
      </c>
      <c r="F44" s="4">
        <f>E44-E4</f>
        <v>-23.725000000000009</v>
      </c>
      <c r="G44" s="4">
        <f t="shared" si="10"/>
        <v>562.87562500000035</v>
      </c>
      <c r="I44">
        <f t="shared" si="11"/>
        <v>832.19999999999993</v>
      </c>
    </row>
    <row r="45" spans="1:9" x14ac:dyDescent="0.25">
      <c r="A45" s="1">
        <v>20</v>
      </c>
      <c r="B45">
        <f>A45-E3</f>
        <v>9.5</v>
      </c>
      <c r="C45">
        <f t="shared" si="9"/>
        <v>90.25</v>
      </c>
      <c r="E45" s="1">
        <v>43.7</v>
      </c>
      <c r="F45" s="4">
        <f>E45-E4</f>
        <v>-23.825000000000003</v>
      </c>
      <c r="G45" s="4">
        <f t="shared" si="10"/>
        <v>567.63062500000012</v>
      </c>
      <c r="I45">
        <f t="shared" si="11"/>
        <v>874</v>
      </c>
    </row>
    <row r="46" spans="1:9" x14ac:dyDescent="0.25">
      <c r="B46" t="s">
        <v>9</v>
      </c>
      <c r="C46" s="7">
        <f>SUM(C26:C45)</f>
        <v>665</v>
      </c>
      <c r="F46" t="s">
        <v>9</v>
      </c>
      <c r="G46" s="10">
        <f>SUM(G26:G45)</f>
        <v>5472.9574999999995</v>
      </c>
    </row>
    <row r="48" spans="1:9" x14ac:dyDescent="0.25">
      <c r="G48" s="4">
        <f>G46/E2</f>
        <v>273.647875</v>
      </c>
    </row>
    <row r="63" spans="5:8" x14ac:dyDescent="0.25">
      <c r="E63">
        <f>H6/E2</f>
        <v>0.85777700501253218</v>
      </c>
      <c r="F63">
        <f>POWER(E3,2)/POWER(E5,2)</f>
        <v>3.3157894736842097</v>
      </c>
      <c r="G63">
        <f>1+F63</f>
        <v>4.3157894736842097</v>
      </c>
      <c r="H63">
        <f>E63*G63</f>
        <v>3.7019849690014541</v>
      </c>
    </row>
    <row r="66" spans="1:16" x14ac:dyDescent="0.25">
      <c r="E66">
        <f>E2*POWER(E5,2)</f>
        <v>665.00000000000011</v>
      </c>
      <c r="F66">
        <f>H6/E66</f>
        <v>2.5797804662031038E-2</v>
      </c>
    </row>
    <row r="73" spans="1:16" x14ac:dyDescent="0.25">
      <c r="A73" s="17" t="s">
        <v>0</v>
      </c>
      <c r="B73" s="17" t="s">
        <v>1</v>
      </c>
      <c r="C73" s="17" t="s">
        <v>50</v>
      </c>
      <c r="F73" s="12" t="s">
        <v>76</v>
      </c>
      <c r="G73" s="11">
        <f>D94/H6</f>
        <v>301.01983079623602</v>
      </c>
      <c r="I73" t="s">
        <v>78</v>
      </c>
      <c r="J73" s="8" t="s">
        <v>79</v>
      </c>
      <c r="K73" s="8"/>
    </row>
    <row r="74" spans="1:16" x14ac:dyDescent="0.25">
      <c r="A74" s="1">
        <v>1</v>
      </c>
      <c r="B74" s="1">
        <v>93.1</v>
      </c>
      <c r="C74" s="4">
        <f>$H$4+$H$3*L3</f>
        <v>93.998571428571438</v>
      </c>
      <c r="D74" s="4">
        <f>POWER(C74-$E$4,2)</f>
        <v>700.84998418367366</v>
      </c>
    </row>
    <row r="75" spans="1:16" x14ac:dyDescent="0.25">
      <c r="A75" s="1">
        <v>2</v>
      </c>
      <c r="B75" s="1">
        <v>92</v>
      </c>
      <c r="C75" s="4">
        <f t="shared" ref="C75:C93" si="12">$H$4+$H$3*L4</f>
        <v>91.211879699248129</v>
      </c>
      <c r="D75" s="4">
        <f t="shared" ref="D75:D93" si="13">POWER(C75-$E$4,2)</f>
        <v>561.06826988665284</v>
      </c>
      <c r="F75" t="s">
        <v>77</v>
      </c>
      <c r="G75" s="8">
        <v>4.41</v>
      </c>
    </row>
    <row r="76" spans="1:16" x14ac:dyDescent="0.25">
      <c r="A76" s="1">
        <v>3</v>
      </c>
      <c r="B76" s="1">
        <v>87.3</v>
      </c>
      <c r="C76" s="4">
        <f t="shared" si="12"/>
        <v>88.425187969924821</v>
      </c>
      <c r="D76" s="4">
        <f t="shared" si="13"/>
        <v>436.81785717818997</v>
      </c>
      <c r="F76" t="s">
        <v>80</v>
      </c>
      <c r="G76" s="11">
        <f>(1-P80)*100</f>
        <v>94.357717526501688</v>
      </c>
    </row>
    <row r="77" spans="1:16" x14ac:dyDescent="0.25">
      <c r="A77" s="1">
        <v>4</v>
      </c>
      <c r="B77" s="1">
        <v>91.4</v>
      </c>
      <c r="C77" s="4">
        <f t="shared" si="12"/>
        <v>85.638496240601512</v>
      </c>
      <c r="D77" s="4">
        <f t="shared" si="13"/>
        <v>328.09874605828492</v>
      </c>
      <c r="P77" s="4"/>
    </row>
    <row r="78" spans="1:16" x14ac:dyDescent="0.25">
      <c r="A78" s="1">
        <v>5</v>
      </c>
      <c r="B78" s="1">
        <v>81.8</v>
      </c>
      <c r="C78" s="4">
        <f t="shared" si="12"/>
        <v>82.851804511278203</v>
      </c>
      <c r="D78" s="4">
        <f t="shared" si="13"/>
        <v>234.91093652693772</v>
      </c>
    </row>
    <row r="79" spans="1:16" x14ac:dyDescent="0.25">
      <c r="A79" s="1">
        <v>6</v>
      </c>
      <c r="B79" s="1">
        <v>76.099999999999994</v>
      </c>
      <c r="C79" s="4">
        <f t="shared" si="12"/>
        <v>80.065112781954895</v>
      </c>
      <c r="D79" s="4">
        <f t="shared" si="13"/>
        <v>157.25442858414837</v>
      </c>
      <c r="P79" s="4">
        <f>18*H6</f>
        <v>308.79972180451159</v>
      </c>
    </row>
    <row r="80" spans="1:16" x14ac:dyDescent="0.25">
      <c r="A80" s="1">
        <v>7</v>
      </c>
      <c r="B80" s="1">
        <v>74.5</v>
      </c>
      <c r="C80" s="4">
        <f t="shared" si="12"/>
        <v>77.278421052631586</v>
      </c>
      <c r="D80" s="4">
        <f t="shared" si="13"/>
        <v>95.12922222991692</v>
      </c>
      <c r="P80" s="3">
        <f>P79/(E2*G48)</f>
        <v>5.6422824734983154E-2</v>
      </c>
    </row>
    <row r="81" spans="1:20" x14ac:dyDescent="0.25">
      <c r="A81" s="1">
        <v>8</v>
      </c>
      <c r="B81" s="1">
        <v>77.400000000000006</v>
      </c>
      <c r="C81" s="4">
        <f t="shared" si="12"/>
        <v>74.491729323308277</v>
      </c>
      <c r="D81" s="4">
        <f t="shared" si="13"/>
        <v>48.535317464243327</v>
      </c>
    </row>
    <row r="82" spans="1:20" x14ac:dyDescent="0.25">
      <c r="A82" s="1">
        <v>9</v>
      </c>
      <c r="B82" s="1">
        <v>74.400000000000006</v>
      </c>
      <c r="C82" s="4">
        <f t="shared" si="12"/>
        <v>71.705037593984969</v>
      </c>
      <c r="D82" s="4">
        <f t="shared" si="13"/>
        <v>17.472714287127598</v>
      </c>
    </row>
    <row r="83" spans="1:20" x14ac:dyDescent="0.25">
      <c r="A83" s="1">
        <v>10</v>
      </c>
      <c r="B83" s="1">
        <v>64.7</v>
      </c>
      <c r="C83" s="4">
        <f t="shared" si="12"/>
        <v>68.91834586466166</v>
      </c>
      <c r="D83" s="4">
        <f t="shared" si="13"/>
        <v>1.9414126985697331</v>
      </c>
    </row>
    <row r="84" spans="1:20" x14ac:dyDescent="0.25">
      <c r="A84" s="1">
        <v>11</v>
      </c>
      <c r="B84" s="1">
        <v>61.4</v>
      </c>
      <c r="C84" s="4">
        <f t="shared" si="12"/>
        <v>66.131654135338351</v>
      </c>
      <c r="D84" s="4">
        <f t="shared" si="13"/>
        <v>1.9414126985697331</v>
      </c>
      <c r="O84" s="8" t="s">
        <v>81</v>
      </c>
      <c r="P84" s="8"/>
      <c r="Q84" s="8"/>
      <c r="R84" s="8"/>
      <c r="S84" s="8"/>
      <c r="T84" s="8"/>
    </row>
    <row r="85" spans="1:20" x14ac:dyDescent="0.25">
      <c r="A85" s="1">
        <v>12</v>
      </c>
      <c r="B85" s="1">
        <v>60.9</v>
      </c>
      <c r="C85" s="4">
        <f t="shared" si="12"/>
        <v>63.344962406015036</v>
      </c>
      <c r="D85" s="4">
        <f t="shared" si="13"/>
        <v>17.472714287127658</v>
      </c>
    </row>
    <row r="86" spans="1:20" x14ac:dyDescent="0.25">
      <c r="A86" s="1">
        <v>13</v>
      </c>
      <c r="B86" s="1">
        <v>70.5</v>
      </c>
      <c r="C86" s="4">
        <f t="shared" si="12"/>
        <v>60.558270676691727</v>
      </c>
      <c r="D86" s="4">
        <f t="shared" si="13"/>
        <v>48.535317464243427</v>
      </c>
    </row>
    <row r="87" spans="1:20" x14ac:dyDescent="0.25">
      <c r="A87" s="1">
        <v>14</v>
      </c>
      <c r="B87" s="1">
        <v>63.3</v>
      </c>
      <c r="C87" s="4">
        <f t="shared" si="12"/>
        <v>57.771578947368418</v>
      </c>
      <c r="D87" s="4">
        <f t="shared" si="13"/>
        <v>95.129222229917062</v>
      </c>
    </row>
    <row r="88" spans="1:20" x14ac:dyDescent="0.25">
      <c r="A88" s="1">
        <v>15</v>
      </c>
      <c r="B88" s="1">
        <v>57.1</v>
      </c>
      <c r="C88" s="4">
        <f t="shared" si="12"/>
        <v>54.98488721804511</v>
      </c>
      <c r="D88" s="4">
        <f t="shared" si="13"/>
        <v>157.25442858414857</v>
      </c>
    </row>
    <row r="89" spans="1:20" x14ac:dyDescent="0.25">
      <c r="A89" s="1">
        <v>16</v>
      </c>
      <c r="B89" s="1">
        <v>47.2</v>
      </c>
      <c r="C89" s="4">
        <f t="shared" si="12"/>
        <v>52.198195488721801</v>
      </c>
      <c r="D89" s="4">
        <f t="shared" si="13"/>
        <v>234.91093652693792</v>
      </c>
    </row>
    <row r="90" spans="1:20" x14ac:dyDescent="0.25">
      <c r="A90" s="1">
        <v>17</v>
      </c>
      <c r="B90" s="1">
        <v>45.4</v>
      </c>
      <c r="C90" s="4">
        <f t="shared" si="12"/>
        <v>49.411503759398492</v>
      </c>
      <c r="D90" s="4">
        <f t="shared" si="13"/>
        <v>328.09874605828514</v>
      </c>
    </row>
    <row r="91" spans="1:20" x14ac:dyDescent="0.25">
      <c r="A91" s="1">
        <v>18</v>
      </c>
      <c r="B91" s="1">
        <v>44.5</v>
      </c>
      <c r="C91" s="4">
        <f t="shared" si="12"/>
        <v>46.624812030075184</v>
      </c>
      <c r="D91" s="4">
        <f t="shared" si="13"/>
        <v>436.81785717819025</v>
      </c>
    </row>
    <row r="92" spans="1:20" x14ac:dyDescent="0.25">
      <c r="A92" s="1">
        <v>19</v>
      </c>
      <c r="B92" s="1">
        <v>43.8</v>
      </c>
      <c r="C92" s="4">
        <f t="shared" si="12"/>
        <v>43.838120300751875</v>
      </c>
      <c r="D92" s="4">
        <f t="shared" si="13"/>
        <v>561.06826988665318</v>
      </c>
    </row>
    <row r="93" spans="1:20" x14ac:dyDescent="0.25">
      <c r="A93" s="1">
        <v>20</v>
      </c>
      <c r="B93" s="1">
        <v>43.7</v>
      </c>
      <c r="C93" s="4">
        <f t="shared" si="12"/>
        <v>41.051428571428566</v>
      </c>
      <c r="D93" s="4">
        <f t="shared" si="13"/>
        <v>700.849984183674</v>
      </c>
    </row>
    <row r="94" spans="1:20" x14ac:dyDescent="0.25">
      <c r="C94" t="s">
        <v>9</v>
      </c>
      <c r="D94" s="10">
        <f>SUM(D74:D93)</f>
        <v>5164.1577781954911</v>
      </c>
    </row>
  </sheetData>
  <mergeCells count="6">
    <mergeCell ref="X2:Y3"/>
    <mergeCell ref="Z2:Z4"/>
    <mergeCell ref="AA2:AB3"/>
    <mergeCell ref="W2:W4"/>
    <mergeCell ref="S2:T3"/>
    <mergeCell ref="U2:U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8-9</vt:lpstr>
      <vt:lpstr>10-12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merkyr</dc:creator>
  <cp:lastModifiedBy>merkyr</cp:lastModifiedBy>
  <dcterms:created xsi:type="dcterms:W3CDTF">2023-04-03T16:20:22Z</dcterms:created>
  <dcterms:modified xsi:type="dcterms:W3CDTF">2023-05-05T08:40:32Z</dcterms:modified>
</cp:coreProperties>
</file>