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66925"/>
  <mc:AlternateContent xmlns:mc="http://schemas.openxmlformats.org/markup-compatibility/2006">
    <mc:Choice Requires="x15">
      <x15ac:absPath xmlns:x15ac="http://schemas.microsoft.com/office/spreadsheetml/2010/11/ac" url="C:\Users\E35123\Documents\OPERA\"/>
    </mc:Choice>
  </mc:AlternateContent>
  <xr:revisionPtr revIDLastSave="0" documentId="8_{38142DBC-2713-4D5B-A5C5-5AC587D97DC9}" xr6:coauthVersionLast="47" xr6:coauthVersionMax="47" xr10:uidLastSave="{00000000-0000-0000-0000-000000000000}"/>
  <bookViews>
    <workbookView xWindow="-98" yWindow="-98" windowWidth="19396" windowHeight="11596" xr2:uid="{00000000-000D-0000-FFFF-FFFF00000000}"/>
  </bookViews>
  <sheets>
    <sheet name="Model with S-Curves" sheetId="5" r:id="rId1"/>
    <sheet name="Market Scoping" sheetId="6" r:id="rId2"/>
    <sheet name="Comp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8" i="5" l="1"/>
  <c r="X8" i="5"/>
  <c r="N6" i="5" a="1"/>
  <c r="N6" i="5" s="1"/>
  <c r="U33" i="5"/>
  <c r="U36" i="5" s="1"/>
  <c r="U32" i="5"/>
  <c r="L8" i="5" a="1"/>
  <c r="L8" i="5" s="1"/>
  <c r="F99" i="5"/>
  <c r="B10" i="6"/>
  <c r="B9" i="6"/>
  <c r="B8" i="6"/>
  <c r="B13" i="5"/>
  <c r="G46" i="5"/>
  <c r="U19" i="5" s="1" a="1"/>
  <c r="U19" i="5" s="1"/>
  <c r="F46" i="5"/>
  <c r="U18" i="5" s="1" a="1"/>
  <c r="U18" i="5" s="1"/>
  <c r="E46" i="5"/>
  <c r="O17" i="5" s="1" a="1"/>
  <c r="O17" i="5" s="1"/>
  <c r="G36" i="5"/>
  <c r="T13" i="5" s="1" a="1"/>
  <c r="T13" i="5" s="1"/>
  <c r="F36" i="5"/>
  <c r="U12" i="5" s="1" a="1"/>
  <c r="U12" i="5" s="1"/>
  <c r="E36" i="5"/>
  <c r="T11" i="5" s="1" a="1"/>
  <c r="T11" i="5" s="1"/>
  <c r="U6" i="5" l="1" a="1"/>
  <c r="U6" i="5" s="1"/>
  <c r="S17" i="5" a="1"/>
  <c r="S17" i="5" s="1"/>
  <c r="T18" i="5" a="1"/>
  <c r="T18" i="5" s="1"/>
  <c r="P13" i="5" a="1"/>
  <c r="P13" i="5" s="1"/>
  <c r="L13" i="5" a="1"/>
  <c r="L13" i="5" s="1"/>
  <c r="L18" i="5" a="1"/>
  <c r="L18" i="5" s="1"/>
  <c r="L17" i="5" a="1"/>
  <c r="L17" i="5" s="1"/>
  <c r="T19" i="5" a="1"/>
  <c r="T19" i="5" s="1"/>
  <c r="L19" i="5" a="1"/>
  <c r="L19" i="5" s="1"/>
  <c r="O12" i="5" a="1"/>
  <c r="O12" i="5" s="1"/>
  <c r="L12" i="5" a="1"/>
  <c r="L12" i="5" s="1"/>
  <c r="M11" i="5" a="1"/>
  <c r="M11" i="5" s="1"/>
  <c r="L11" i="5" a="1"/>
  <c r="L11" i="5" s="1"/>
  <c r="U13" i="5" a="1"/>
  <c r="U13" i="5" s="1"/>
  <c r="M17" i="5" a="1"/>
  <c r="M17" i="5" s="1"/>
  <c r="N17" i="5" a="1"/>
  <c r="N17" i="5" s="1"/>
  <c r="N18" i="5" a="1"/>
  <c r="N18" i="5" s="1"/>
  <c r="P17" i="5" a="1"/>
  <c r="P17" i="5" s="1"/>
  <c r="Q17" i="5" a="1"/>
  <c r="Q17" i="5" s="1"/>
  <c r="R18" i="5" a="1"/>
  <c r="R18" i="5" s="1"/>
  <c r="N11" i="5" a="1"/>
  <c r="N11" i="5" s="1"/>
  <c r="O11" i="5" a="1"/>
  <c r="O11" i="5" s="1"/>
  <c r="T17" i="5" a="1"/>
  <c r="T17" i="5" s="1"/>
  <c r="U11" i="5" a="1"/>
  <c r="U11" i="5" s="1"/>
  <c r="N13" i="5" a="1"/>
  <c r="N13" i="5" s="1"/>
  <c r="Q13" i="5" a="1"/>
  <c r="Q13" i="5" s="1"/>
  <c r="S13" i="5" a="1"/>
  <c r="S13" i="5" s="1"/>
  <c r="M13" i="5" a="1"/>
  <c r="M13" i="5" s="1"/>
  <c r="O13" i="5" a="1"/>
  <c r="O13" i="5" s="1"/>
  <c r="R13" i="5" a="1"/>
  <c r="R13" i="5" s="1"/>
  <c r="Q12" i="5" a="1"/>
  <c r="Q12" i="5" s="1"/>
  <c r="M12" i="5" a="1"/>
  <c r="M12" i="5" s="1"/>
  <c r="R12" i="5" a="1"/>
  <c r="R12" i="5" s="1"/>
  <c r="N12" i="5" a="1"/>
  <c r="N12" i="5" s="1"/>
  <c r="S12" i="5" a="1"/>
  <c r="S12" i="5" s="1"/>
  <c r="T12" i="5" a="1"/>
  <c r="T12" i="5" s="1"/>
  <c r="AI5" i="5" s="1"/>
  <c r="P12" i="5" a="1"/>
  <c r="P12" i="5" s="1"/>
  <c r="R11" i="5" a="1"/>
  <c r="R11" i="5" s="1"/>
  <c r="S11" i="5" a="1"/>
  <c r="S11" i="5" s="1"/>
  <c r="P11" i="5" a="1"/>
  <c r="P11" i="5" s="1"/>
  <c r="Q11" i="5" a="1"/>
  <c r="Q11" i="5" s="1"/>
  <c r="M19" i="5" a="1"/>
  <c r="M19" i="5" s="1"/>
  <c r="S19" i="5" a="1"/>
  <c r="S19" i="5" s="1"/>
  <c r="P19" i="5" a="1"/>
  <c r="P19" i="5" s="1"/>
  <c r="Q19" i="5" a="1"/>
  <c r="Q19" i="5" s="1"/>
  <c r="R19" i="5" a="1"/>
  <c r="R19" i="5" s="1"/>
  <c r="N19" i="5" a="1"/>
  <c r="N19" i="5" s="1"/>
  <c r="O19" i="5" a="1"/>
  <c r="O19" i="5" s="1"/>
  <c r="O18" i="5" a="1"/>
  <c r="O18" i="5" s="1"/>
  <c r="S18" i="5" a="1"/>
  <c r="S18" i="5" s="1"/>
  <c r="P18" i="5" a="1"/>
  <c r="P18" i="5" s="1"/>
  <c r="M18" i="5" a="1"/>
  <c r="M18" i="5" s="1"/>
  <c r="Q18" i="5" a="1"/>
  <c r="Q18" i="5" s="1"/>
  <c r="R17" i="5" a="1"/>
  <c r="R17" i="5" s="1"/>
  <c r="U17" i="5" a="1"/>
  <c r="U17" i="5" s="1"/>
  <c r="AJ3" i="5" s="1"/>
  <c r="D46" i="5"/>
  <c r="C46" i="5"/>
  <c r="B46" i="5"/>
  <c r="J102" i="5" a="1"/>
  <c r="J102" i="5" s="1"/>
  <c r="C36" i="5"/>
  <c r="D36" i="5"/>
  <c r="B36" i="5"/>
  <c r="B9" i="5"/>
  <c r="L99" i="2"/>
  <c r="K99" i="2"/>
  <c r="L95" i="2"/>
  <c r="B110" i="2"/>
  <c r="L94" i="2" s="1"/>
  <c r="AC3" i="5" l="1"/>
  <c r="P8" i="5" a="1"/>
  <c r="P8" i="5" s="1"/>
  <c r="Q8" i="5" a="1"/>
  <c r="Q8" i="5" s="1"/>
  <c r="M8" i="5" a="1"/>
  <c r="M8" i="5" s="1"/>
  <c r="R10" i="5" a="1"/>
  <c r="R10" i="5" s="1"/>
  <c r="M10" i="5" a="1"/>
  <c r="M10" i="5" s="1"/>
  <c r="L10" i="5" a="1"/>
  <c r="L10" i="5" s="1"/>
  <c r="N9" i="5" a="1"/>
  <c r="N9" i="5" s="1"/>
  <c r="M9" i="5" a="1"/>
  <c r="M9" i="5" s="1"/>
  <c r="L9" i="5" a="1"/>
  <c r="L9" i="5" s="1"/>
  <c r="O9" i="5" a="1"/>
  <c r="O9" i="5" s="1"/>
  <c r="U16" i="5" a="1"/>
  <c r="U16" i="5" s="1"/>
  <c r="L16" i="5" a="1"/>
  <c r="L16" i="5" s="1"/>
  <c r="R16" i="5" a="1"/>
  <c r="R16" i="5" s="1"/>
  <c r="U15" i="5" a="1"/>
  <c r="U15" i="5" s="1"/>
  <c r="L15" i="5" a="1"/>
  <c r="L15" i="5" s="1"/>
  <c r="Q15" i="5" a="1"/>
  <c r="Q15" i="5" s="1"/>
  <c r="Q14" i="5" a="1"/>
  <c r="Q14" i="5" s="1"/>
  <c r="L14" i="5" a="1"/>
  <c r="L14" i="5" s="1"/>
  <c r="AJ5" i="5"/>
  <c r="AD5" i="5"/>
  <c r="AF3" i="5"/>
  <c r="AH5" i="5"/>
  <c r="AG3" i="5"/>
  <c r="AD3" i="5"/>
  <c r="AI3" i="5"/>
  <c r="AB3" i="5"/>
  <c r="AH3" i="5"/>
  <c r="AA3" i="5"/>
  <c r="AE3" i="5"/>
  <c r="AA5" i="5"/>
  <c r="AE5" i="5"/>
  <c r="AB5" i="5"/>
  <c r="AF5" i="5"/>
  <c r="AG5" i="5"/>
  <c r="AC5" i="5"/>
  <c r="O14" i="5" a="1"/>
  <c r="O14" i="5" s="1"/>
  <c r="N15" i="5" a="1"/>
  <c r="N15" i="5" s="1"/>
  <c r="R15" i="5" a="1"/>
  <c r="R15" i="5" s="1"/>
  <c r="P14" i="5" a="1"/>
  <c r="P14" i="5" s="1"/>
  <c r="M14" i="5" a="1"/>
  <c r="M14" i="5" s="1"/>
  <c r="S14" i="5" a="1"/>
  <c r="S14" i="5" s="1"/>
  <c r="T14" i="5" a="1"/>
  <c r="T14" i="5" s="1"/>
  <c r="M16" i="5" a="1"/>
  <c r="M16" i="5" s="1"/>
  <c r="N16" i="5" a="1"/>
  <c r="N16" i="5" s="1"/>
  <c r="T16" i="5" a="1"/>
  <c r="T16" i="5" s="1"/>
  <c r="P16" i="5" a="1"/>
  <c r="P16" i="5" s="1"/>
  <c r="Q16" i="5" a="1"/>
  <c r="Q16" i="5" s="1"/>
  <c r="S16" i="5" a="1"/>
  <c r="S16" i="5" s="1"/>
  <c r="O16" i="5" a="1"/>
  <c r="O16" i="5" s="1"/>
  <c r="S15" i="5" a="1"/>
  <c r="S15" i="5" s="1"/>
  <c r="O15" i="5" a="1"/>
  <c r="O15" i="5" s="1"/>
  <c r="T15" i="5" a="1"/>
  <c r="T15" i="5" s="1"/>
  <c r="P15" i="5" a="1"/>
  <c r="P15" i="5" s="1"/>
  <c r="M15" i="5" a="1"/>
  <c r="M15" i="5" s="1"/>
  <c r="N14" i="5" a="1"/>
  <c r="N14" i="5" s="1"/>
  <c r="U14" i="5" a="1"/>
  <c r="U14" i="5" s="1"/>
  <c r="R14" i="5" a="1"/>
  <c r="R14" i="5" s="1"/>
  <c r="P10" i="5" a="1"/>
  <c r="P10" i="5" s="1"/>
  <c r="S10" i="5" a="1"/>
  <c r="S10" i="5" s="1"/>
  <c r="O10" i="5" a="1"/>
  <c r="O10" i="5" s="1"/>
  <c r="Q10" i="5" a="1"/>
  <c r="Q10" i="5" s="1"/>
  <c r="T10" i="5" a="1"/>
  <c r="T10" i="5" s="1"/>
  <c r="S8" i="5" a="1"/>
  <c r="S8" i="5" s="1"/>
  <c r="T8" i="5" a="1"/>
  <c r="T8" i="5" s="1"/>
  <c r="N8" i="5" a="1"/>
  <c r="N8" i="5" s="1"/>
  <c r="O8" i="5" a="1"/>
  <c r="O8" i="5" s="1"/>
  <c r="R8" i="5" a="1"/>
  <c r="R8" i="5" s="1"/>
  <c r="U8" i="5" a="1"/>
  <c r="U8" i="5" s="1"/>
  <c r="R9" i="5" a="1"/>
  <c r="R9" i="5" s="1"/>
  <c r="Q9" i="5" a="1"/>
  <c r="Q9" i="5" s="1"/>
  <c r="U9" i="5" a="1"/>
  <c r="U9" i="5" s="1"/>
  <c r="S9" i="5" a="1"/>
  <c r="S9" i="5" s="1"/>
  <c r="P9" i="5" a="1"/>
  <c r="P9" i="5" s="1"/>
  <c r="T9" i="5" a="1"/>
  <c r="T9" i="5" s="1"/>
  <c r="U10" i="5" a="1"/>
  <c r="U10" i="5" s="1"/>
  <c r="N10" i="5" a="1"/>
  <c r="N10" i="5" s="1"/>
  <c r="K93" i="2"/>
  <c r="I97" i="2"/>
  <c r="J97" i="2"/>
  <c r="K97" i="2"/>
  <c r="K100" i="2" s="1"/>
  <c r="K94" i="2"/>
  <c r="I98" i="2"/>
  <c r="L93" i="2"/>
  <c r="L96" i="2" s="1"/>
  <c r="K98" i="2"/>
  <c r="L98" i="2"/>
  <c r="I93" i="2"/>
  <c r="I94" i="2"/>
  <c r="J93" i="2"/>
  <c r="J94" i="2"/>
  <c r="L97" i="2"/>
  <c r="L100" i="2" s="1"/>
  <c r="J98" i="2"/>
  <c r="C4" i="2"/>
  <c r="D4" i="2"/>
  <c r="E4" i="2"/>
  <c r="F4" i="2"/>
  <c r="C7" i="2"/>
  <c r="D7" i="2"/>
  <c r="E7" i="2"/>
  <c r="F7" i="2"/>
  <c r="C8" i="2"/>
  <c r="C9" i="2" s="1"/>
  <c r="C15" i="2"/>
  <c r="D15" i="2"/>
  <c r="E15" i="2"/>
  <c r="F15" i="2"/>
  <c r="G15" i="2"/>
  <c r="H15" i="2"/>
  <c r="I15" i="2"/>
  <c r="C18" i="2"/>
  <c r="C19" i="2" s="1"/>
  <c r="D18" i="2"/>
  <c r="E18" i="2"/>
  <c r="F18" i="2"/>
  <c r="G18" i="2"/>
  <c r="H18" i="2"/>
  <c r="I18" i="2"/>
  <c r="C26" i="2"/>
  <c r="C29" i="2"/>
  <c r="C30" i="2"/>
  <c r="C31" i="2"/>
  <c r="C37" i="2"/>
  <c r="D37" i="2"/>
  <c r="E37" i="2"/>
  <c r="F37" i="2"/>
  <c r="G37" i="2"/>
  <c r="H37" i="2"/>
  <c r="C40" i="2"/>
  <c r="C41" i="2" s="1"/>
  <c r="D40" i="2"/>
  <c r="E40" i="2"/>
  <c r="F40" i="2"/>
  <c r="G40" i="2"/>
  <c r="H40" i="2"/>
  <c r="C48" i="2"/>
  <c r="D48" i="2"/>
  <c r="E48" i="2"/>
  <c r="F48" i="2"/>
  <c r="G48" i="2"/>
  <c r="H48" i="2"/>
  <c r="I48" i="2"/>
  <c r="C51" i="2"/>
  <c r="C52" i="2" s="1"/>
  <c r="D51" i="2"/>
  <c r="E51" i="2"/>
  <c r="F51" i="2"/>
  <c r="G51" i="2"/>
  <c r="H51" i="2"/>
  <c r="I51" i="2"/>
  <c r="E59" i="2"/>
  <c r="F59" i="2"/>
  <c r="G59" i="2"/>
  <c r="C62" i="2"/>
  <c r="C63" i="2" s="1"/>
  <c r="D62" i="2"/>
  <c r="E62" i="2"/>
  <c r="F62" i="2"/>
  <c r="G62" i="2"/>
  <c r="C70" i="2"/>
  <c r="D70" i="2"/>
  <c r="E70" i="2"/>
  <c r="F70" i="2"/>
  <c r="G70" i="2"/>
  <c r="H70" i="2"/>
  <c r="I70" i="2"/>
  <c r="J70" i="2"/>
  <c r="C73" i="2"/>
  <c r="C74" i="2" s="1"/>
  <c r="D73" i="2"/>
  <c r="E73" i="2"/>
  <c r="F73" i="2"/>
  <c r="G73" i="2"/>
  <c r="H73" i="2"/>
  <c r="I73" i="2"/>
  <c r="J73" i="2"/>
  <c r="N33" i="5" l="1"/>
  <c r="U34" i="5"/>
  <c r="AB6" i="5"/>
  <c r="S35" i="5"/>
  <c r="U35" i="5"/>
  <c r="T35" i="5"/>
  <c r="O34" i="5"/>
  <c r="L35" i="5"/>
  <c r="M35" i="5"/>
  <c r="R35" i="5"/>
  <c r="Q35" i="5"/>
  <c r="P35" i="5"/>
  <c r="N35" i="5"/>
  <c r="R34" i="5"/>
  <c r="O35" i="5"/>
  <c r="Q34" i="5"/>
  <c r="O32" i="5"/>
  <c r="L32" i="5"/>
  <c r="P34" i="5"/>
  <c r="AJ4" i="5"/>
  <c r="AI6" i="5"/>
  <c r="AE6" i="5"/>
  <c r="S34" i="5"/>
  <c r="AH6" i="5"/>
  <c r="AC6" i="5"/>
  <c r="AI4" i="5"/>
  <c r="AF4" i="5"/>
  <c r="AB4" i="5"/>
  <c r="AC4" i="5"/>
  <c r="AH4" i="5"/>
  <c r="AA4" i="5"/>
  <c r="AD4" i="5"/>
  <c r="P32" i="5"/>
  <c r="AE4" i="5"/>
  <c r="R32" i="5"/>
  <c r="AG4" i="5"/>
  <c r="AJ6" i="5"/>
  <c r="AG6" i="5"/>
  <c r="AF6" i="5"/>
  <c r="AD6" i="5"/>
  <c r="S32" i="5"/>
  <c r="AA6" i="5"/>
  <c r="Q32" i="5"/>
  <c r="P33" i="5"/>
  <c r="S33" i="5"/>
  <c r="T34" i="5"/>
  <c r="N34" i="5"/>
  <c r="M34" i="5"/>
  <c r="L34" i="5"/>
  <c r="Q33" i="5"/>
  <c r="T33" i="5"/>
  <c r="M33" i="5"/>
  <c r="R33" i="5"/>
  <c r="L33" i="5"/>
  <c r="O33" i="5"/>
  <c r="T32" i="5"/>
  <c r="N32" i="5"/>
  <c r="M32" i="5"/>
  <c r="I96" i="2"/>
  <c r="I95" i="2"/>
  <c r="I100" i="2"/>
  <c r="I99" i="2"/>
  <c r="J100" i="2"/>
  <c r="J99" i="2"/>
  <c r="J96" i="2"/>
  <c r="J95" i="2"/>
  <c r="K96" i="2"/>
  <c r="K95" i="2"/>
  <c r="D63" i="2"/>
  <c r="C64" i="2"/>
  <c r="C53" i="2"/>
  <c r="D52" i="2"/>
  <c r="B111" i="2"/>
  <c r="E63" i="2"/>
  <c r="D64" i="2"/>
  <c r="D19" i="2"/>
  <c r="C20" i="2"/>
  <c r="C75" i="2"/>
  <c r="D74" i="2"/>
  <c r="D41" i="2"/>
  <c r="C42" i="2"/>
  <c r="D8" i="2"/>
  <c r="L6" i="5" l="1" a="1"/>
  <c r="L6" i="5" s="1"/>
  <c r="L7" i="5" s="1"/>
  <c r="B85" i="5" s="1"/>
  <c r="L36" i="5"/>
  <c r="S36" i="5"/>
  <c r="P36" i="5"/>
  <c r="W10" i="5" s="1"/>
  <c r="M36" i="5"/>
  <c r="T6" i="5" a="1"/>
  <c r="T6" i="5" s="1"/>
  <c r="T7" i="5" s="1"/>
  <c r="T24" i="5" s="1"/>
  <c r="S6" i="5" a="1"/>
  <c r="S6" i="5" s="1"/>
  <c r="S7" i="5" s="1"/>
  <c r="S24" i="5" s="1"/>
  <c r="O36" i="5"/>
  <c r="P6" i="5" a="1"/>
  <c r="P6" i="5" s="1"/>
  <c r="W16" i="5" s="1"/>
  <c r="R6" i="5" a="1"/>
  <c r="R6" i="5" s="1"/>
  <c r="R7" i="5" s="1"/>
  <c r="R24" i="5" s="1"/>
  <c r="O6" i="5" a="1"/>
  <c r="O6" i="5" s="1"/>
  <c r="O7" i="5" s="1"/>
  <c r="O24" i="5" s="1"/>
  <c r="N7" i="5"/>
  <c r="N36" i="5"/>
  <c r="Q6" i="5" a="1"/>
  <c r="Q6" i="5" s="1"/>
  <c r="Q7" i="5" s="1"/>
  <c r="Q24" i="5" s="1"/>
  <c r="M6" i="5" a="1"/>
  <c r="M6" i="5" s="1"/>
  <c r="M7" i="5" s="1"/>
  <c r="M24" i="5" s="1"/>
  <c r="T36" i="5"/>
  <c r="R36" i="5"/>
  <c r="Q36" i="5"/>
  <c r="D53" i="2"/>
  <c r="E52" i="2"/>
  <c r="E8" i="2"/>
  <c r="D9" i="2"/>
  <c r="D75" i="2"/>
  <c r="E74" i="2"/>
  <c r="E41" i="2"/>
  <c r="D42" i="2"/>
  <c r="E19" i="2"/>
  <c r="D20" i="2"/>
  <c r="F63" i="2"/>
  <c r="E64" i="2"/>
  <c r="X10" i="5" l="1"/>
  <c r="U7" i="5"/>
  <c r="U24" i="5" s="1"/>
  <c r="X16" i="5"/>
  <c r="P7" i="5"/>
  <c r="P22" i="5" s="1"/>
  <c r="H88" i="5"/>
  <c r="H85" i="5"/>
  <c r="H84" i="5"/>
  <c r="D88" i="5"/>
  <c r="D85" i="5"/>
  <c r="D84" i="5"/>
  <c r="C85" i="5"/>
  <c r="C88" i="5"/>
  <c r="G88" i="5"/>
  <c r="G85" i="5"/>
  <c r="G84" i="5"/>
  <c r="F88" i="5"/>
  <c r="F85" i="5"/>
  <c r="F84" i="5"/>
  <c r="T29" i="5"/>
  <c r="J88" i="5"/>
  <c r="J85" i="5"/>
  <c r="J84" i="5"/>
  <c r="K88" i="5"/>
  <c r="K84" i="5"/>
  <c r="E88" i="5"/>
  <c r="E85" i="5"/>
  <c r="E84" i="5"/>
  <c r="I88" i="5"/>
  <c r="I85" i="5"/>
  <c r="I84" i="5"/>
  <c r="N29" i="5"/>
  <c r="N21" i="5"/>
  <c r="N24" i="5"/>
  <c r="N27" i="5"/>
  <c r="L24" i="5"/>
  <c r="L28" i="5"/>
  <c r="L22" i="5"/>
  <c r="P24" i="5"/>
  <c r="L26" i="5"/>
  <c r="L21" i="5"/>
  <c r="L29" i="5"/>
  <c r="O26" i="5"/>
  <c r="O25" i="5"/>
  <c r="N26" i="5"/>
  <c r="N25" i="5"/>
  <c r="M29" i="5"/>
  <c r="S29" i="5"/>
  <c r="O29" i="5"/>
  <c r="P29" i="5"/>
  <c r="R29" i="5"/>
  <c r="Q29" i="5"/>
  <c r="U29" i="5"/>
  <c r="M26" i="5"/>
  <c r="L25" i="5"/>
  <c r="O21" i="5"/>
  <c r="U21" i="5"/>
  <c r="U26" i="5"/>
  <c r="Q21" i="5"/>
  <c r="T21" i="5"/>
  <c r="S21" i="5"/>
  <c r="P21" i="5"/>
  <c r="R21" i="5"/>
  <c r="M21" i="5"/>
  <c r="M25" i="5"/>
  <c r="U25" i="5"/>
  <c r="S25" i="5"/>
  <c r="Q26" i="5"/>
  <c r="S26" i="5"/>
  <c r="T25" i="5"/>
  <c r="P26" i="5"/>
  <c r="T26" i="5"/>
  <c r="Q25" i="5"/>
  <c r="R25" i="5"/>
  <c r="R26" i="5"/>
  <c r="P25" i="5"/>
  <c r="E53" i="2"/>
  <c r="F52" i="2"/>
  <c r="F19" i="2"/>
  <c r="E20" i="2"/>
  <c r="F41" i="2"/>
  <c r="E42" i="2"/>
  <c r="E75" i="2"/>
  <c r="F74" i="2"/>
  <c r="G63" i="2"/>
  <c r="G64" i="2" s="1"/>
  <c r="F64" i="2"/>
  <c r="F8" i="2"/>
  <c r="F9" i="2" s="1"/>
  <c r="E9" i="2"/>
  <c r="K85" i="5" l="1"/>
  <c r="L23" i="5"/>
  <c r="P23" i="5"/>
  <c r="N28" i="5"/>
  <c r="N22" i="5"/>
  <c r="N23" i="5" s="1"/>
  <c r="P28" i="5"/>
  <c r="P27" i="5"/>
  <c r="Q27" i="5"/>
  <c r="Q28" i="5"/>
  <c r="S22" i="5"/>
  <c r="S27" i="5"/>
  <c r="S28" i="5"/>
  <c r="O28" i="5"/>
  <c r="O27" i="5"/>
  <c r="M28" i="5"/>
  <c r="M27" i="5"/>
  <c r="L27" i="5"/>
  <c r="T27" i="5"/>
  <c r="T28" i="5"/>
  <c r="U28" i="5"/>
  <c r="U27" i="5"/>
  <c r="O22" i="5"/>
  <c r="O23" i="5" s="1"/>
  <c r="M22" i="5"/>
  <c r="M23" i="5" s="1"/>
  <c r="U22" i="5"/>
  <c r="U23" i="5" s="1"/>
  <c r="F53" i="2"/>
  <c r="G52" i="2"/>
  <c r="F75" i="2"/>
  <c r="G74" i="2"/>
  <c r="G41" i="2"/>
  <c r="F42" i="2"/>
  <c r="F20" i="2"/>
  <c r="G19" i="2"/>
  <c r="N30" i="5" l="1"/>
  <c r="U30" i="5"/>
  <c r="M30" i="5"/>
  <c r="M38" i="5" s="1"/>
  <c r="L30" i="5"/>
  <c r="S23" i="5"/>
  <c r="S30" i="5" s="1"/>
  <c r="O30" i="5"/>
  <c r="R28" i="5"/>
  <c r="R27" i="5"/>
  <c r="R22" i="5"/>
  <c r="R23" i="5" s="1"/>
  <c r="T22" i="5"/>
  <c r="Q22" i="5"/>
  <c r="H52" i="2"/>
  <c r="G53" i="2"/>
  <c r="G20" i="2"/>
  <c r="H19" i="2"/>
  <c r="G42" i="2"/>
  <c r="H41" i="2"/>
  <c r="H42" i="2" s="1"/>
  <c r="G75" i="2"/>
  <c r="H74" i="2"/>
  <c r="U39" i="5" l="1"/>
  <c r="U38" i="5"/>
  <c r="X12" i="5" s="1"/>
  <c r="R30" i="5"/>
  <c r="R39" i="5" s="1"/>
  <c r="N38" i="5"/>
  <c r="N42" i="5" s="1"/>
  <c r="N39" i="5"/>
  <c r="L38" i="5"/>
  <c r="L40" i="5" s="1"/>
  <c r="M40" i="5" s="1"/>
  <c r="N40" i="5" s="1"/>
  <c r="L39" i="5"/>
  <c r="S38" i="5"/>
  <c r="S39" i="5"/>
  <c r="O38" i="5"/>
  <c r="O39" i="5"/>
  <c r="M39" i="5"/>
  <c r="T23" i="5"/>
  <c r="T30" i="5" s="1"/>
  <c r="Q23" i="5"/>
  <c r="Q30" i="5" s="1"/>
  <c r="P30" i="5"/>
  <c r="P39" i="5" s="1"/>
  <c r="I52" i="2"/>
  <c r="I53" i="2" s="1"/>
  <c r="H53" i="2"/>
  <c r="I74" i="2"/>
  <c r="H75" i="2"/>
  <c r="H20" i="2"/>
  <c r="I19" i="2"/>
  <c r="I20" i="2" s="1"/>
  <c r="U46" i="5" l="1"/>
  <c r="O40" i="5"/>
  <c r="U42" i="5"/>
  <c r="R38" i="5"/>
  <c r="R46" i="5" s="1"/>
  <c r="L42" i="5"/>
  <c r="L43" i="5" s="1"/>
  <c r="N46" i="5"/>
  <c r="O42" i="5"/>
  <c r="O46" i="5"/>
  <c r="S42" i="5"/>
  <c r="S46" i="5"/>
  <c r="L46" i="5"/>
  <c r="L47" i="5" s="1"/>
  <c r="P38" i="5"/>
  <c r="Q38" i="5"/>
  <c r="Q46" i="5" s="1"/>
  <c r="Q39" i="5"/>
  <c r="T38" i="5"/>
  <c r="T46" i="5" s="1"/>
  <c r="T39" i="5"/>
  <c r="M42" i="5"/>
  <c r="M46" i="5"/>
  <c r="J74" i="2"/>
  <c r="J75" i="2" s="1"/>
  <c r="I75" i="2"/>
  <c r="P46" i="5" l="1"/>
  <c r="W12" i="5"/>
  <c r="P40" i="5"/>
  <c r="W14" i="5" s="1"/>
  <c r="R42" i="5"/>
  <c r="T42" i="5"/>
  <c r="M43" i="5"/>
  <c r="Q42" i="5"/>
  <c r="M47" i="5"/>
  <c r="N47" i="5" s="1"/>
  <c r="O47" i="5" s="1"/>
  <c r="P47" i="5" s="1"/>
  <c r="Q47" i="5" s="1"/>
  <c r="R47" i="5" s="1"/>
  <c r="S47" i="5" s="1"/>
  <c r="T47" i="5" s="1"/>
  <c r="U47" i="5" s="1"/>
  <c r="P42" i="5"/>
  <c r="Q40" i="5" l="1"/>
  <c r="R40" i="5" s="1"/>
  <c r="S40" i="5" s="1"/>
  <c r="T40" i="5" s="1"/>
  <c r="U40" i="5" s="1"/>
  <c r="X14" i="5" s="1"/>
  <c r="N43" i="5"/>
  <c r="O43" i="5" s="1"/>
  <c r="P43" i="5" s="1"/>
  <c r="Q43" i="5" l="1"/>
  <c r="R43" i="5" s="1"/>
  <c r="S43" i="5" s="1"/>
  <c r="T43" i="5" s="1"/>
  <c r="U43"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<sst xmlns="http://schemas.openxmlformats.org/spreadsheetml/2006/main" count="323" uniqueCount="216">
  <si>
    <t>Outbrain: https://my.pitchbook.com/profile/51552-82/company/profile#general-info</t>
  </si>
  <si>
    <t>20??</t>
  </si>
  <si>
    <t>Value of founders shares ($M)</t>
  </si>
  <si>
    <t>% of shares owned by founders</t>
  </si>
  <si>
    <t>Shares bought</t>
  </si>
  <si>
    <t>Post-Money Valuation ($M)</t>
  </si>
  <si>
    <t>Pre-Money Valuation ($M)</t>
  </si>
  <si>
    <t>Amount raised ($M)</t>
  </si>
  <si>
    <t>Later VC</t>
  </si>
  <si>
    <t>Series D</t>
  </si>
  <si>
    <t>Series C</t>
  </si>
  <si>
    <t>Series B</t>
  </si>
  <si>
    <t>Series A</t>
  </si>
  <si>
    <t>Seed</t>
  </si>
  <si>
    <t>Pindrop</t>
  </si>
  <si>
    <t>Acquired Loccus: https://blog.hiya.com/loccus.ai-joins-hiya</t>
  </si>
  <si>
    <t>Mezzanine</t>
  </si>
  <si>
    <t>Hiya</t>
  </si>
  <si>
    <t>Series AA</t>
  </si>
  <si>
    <t>Paravision</t>
  </si>
  <si>
    <t>Early VC</t>
  </si>
  <si>
    <t>Deepbrain</t>
  </si>
  <si>
    <t>Clarity</t>
  </si>
  <si>
    <t>Later stage VC</t>
  </si>
  <si>
    <t>Series A1</t>
  </si>
  <si>
    <t>Hive</t>
  </si>
  <si>
    <t>3 employees</t>
  </si>
  <si>
    <t>Founded in 2021 by 3 people</t>
  </si>
  <si>
    <t>Early Stage VC</t>
  </si>
  <si>
    <t>Accelerator</t>
  </si>
  <si>
    <t>Reality Defender</t>
  </si>
  <si>
    <t>Accumulated discounted cash flow</t>
  </si>
  <si>
    <t>Discounted cash flow</t>
  </si>
  <si>
    <t>Cash Flow</t>
  </si>
  <si>
    <t>Revenue</t>
  </si>
  <si>
    <t>Cloud hosting</t>
  </si>
  <si>
    <t>Payment to algorithm providers</t>
  </si>
  <si>
    <t>$/year</t>
  </si>
  <si>
    <t xml:space="preserve"> </t>
  </si>
  <si>
    <t>Pricing</t>
  </si>
  <si>
    <t>Costs</t>
  </si>
  <si>
    <t>Discount rate</t>
  </si>
  <si>
    <t>$ to $M</t>
  </si>
  <si>
    <t>Of revenue</t>
  </si>
  <si>
    <t>https://liquidspace.com/us/ca</t>
  </si>
  <si>
    <t>Office</t>
  </si>
  <si>
    <t>https://www.indeed.com/career/software-engineer/salaries/CA</t>
  </si>
  <si>
    <t>Founders</t>
  </si>
  <si>
    <t>https://www.nextonestaffing.com/blogs/cost-to-hire-california-2024/</t>
  </si>
  <si>
    <t>Year</t>
  </si>
  <si>
    <t>Employee salary</t>
  </si>
  <si>
    <t>of revenue</t>
  </si>
  <si>
    <t>Discounted Cash Flow</t>
  </si>
  <si>
    <t>Employees and Customers</t>
  </si>
  <si>
    <t>Basic Model</t>
  </si>
  <si>
    <t>/employee and year</t>
  </si>
  <si>
    <t xml:space="preserve">178 employees </t>
  </si>
  <si>
    <t>7 years after founding</t>
  </si>
  <si>
    <t>268 employees</t>
  </si>
  <si>
    <t>10 years after founding</t>
  </si>
  <si>
    <t>463 employees</t>
  </si>
  <si>
    <t>11 years after founding</t>
  </si>
  <si>
    <t>Funding &amp; Cash Flow</t>
  </si>
  <si>
    <t>Funding</t>
  </si>
  <si>
    <t>Cash Flow with Funding</t>
  </si>
  <si>
    <t>Accumulated cash flow with funding</t>
  </si>
  <si>
    <t>Misc</t>
  </si>
  <si>
    <t>Founder starting salary</t>
  </si>
  <si>
    <t>Founder higher salary</t>
  </si>
  <si>
    <t>Implementation fee</t>
  </si>
  <si>
    <t>Employee salary growth rate</t>
  </si>
  <si>
    <t>https://aquilacommercial.com/learning-center/california-vs-austin-rental-rates-calculator/</t>
  </si>
  <si>
    <t>Griffeye</t>
  </si>
  <si>
    <t>Employee count</t>
  </si>
  <si>
    <t>Revenue (SEK)</t>
  </si>
  <si>
    <t>Profit (SEK)</t>
  </si>
  <si>
    <t>4L8E3PFT</t>
  </si>
  <si>
    <t>USD to SEK (yearly average)</t>
  </si>
  <si>
    <t>Revenue per employee (fixed USD conversion)</t>
  </si>
  <si>
    <t>Convert to $M</t>
  </si>
  <si>
    <t>Estimated price (USD)</t>
  </si>
  <si>
    <t>https://www.magnetforensics.com/news/magnet-forensics-acquires-griffeye-a-leading-digital-media-forensics-software-firm/</t>
  </si>
  <si>
    <t>(Used by over 1000 law enforcement agencies, data from 2023. Revenue in 2023 was 10.81M</t>
  </si>
  <si>
    <t>Estimated No of Customers</t>
  </si>
  <si>
    <t>Revenue ($M)</t>
  </si>
  <si>
    <t>Profit ($M)</t>
  </si>
  <si>
    <t>Revenue per employee ($M)</t>
  </si>
  <si>
    <t>Revenue (fixed USD conversion)</t>
  </si>
  <si>
    <t>Profit (fixed USD conversion)</t>
  </si>
  <si>
    <t>Revenue/employee</t>
  </si>
  <si>
    <t>YoY Growth</t>
  </si>
  <si>
    <t>50k</t>
  </si>
  <si>
    <t>85k</t>
  </si>
  <si>
    <t>108k</t>
  </si>
  <si>
    <t>133k</t>
  </si>
  <si>
    <t>171k</t>
  </si>
  <si>
    <t xml:space="preserve">SaaS growth </t>
  </si>
  <si>
    <t>https://chartmogul.com/reports/saas-growth-report/</t>
  </si>
  <si>
    <t>25-66%</t>
  </si>
  <si>
    <t>Best:</t>
  </si>
  <si>
    <t>1-3M</t>
  </si>
  <si>
    <t>3-8M</t>
  </si>
  <si>
    <t>(median and top quartile)</t>
  </si>
  <si>
    <t>8-15M</t>
  </si>
  <si>
    <t>Segment Parameters</t>
  </si>
  <si>
    <t>News Media</t>
  </si>
  <si>
    <t>Small Customer</t>
  </si>
  <si>
    <t>Medium Customer</t>
  </si>
  <si>
    <t>Large Customer</t>
  </si>
  <si>
    <t>Final market share</t>
  </si>
  <si>
    <t>Starting market share</t>
  </si>
  <si>
    <t>No of potential customers</t>
  </si>
  <si>
    <t>x0</t>
  </si>
  <si>
    <t>Starting year</t>
  </si>
  <si>
    <t>Year market saturated</t>
  </si>
  <si>
    <t>k</t>
  </si>
  <si>
    <t>a</t>
  </si>
  <si>
    <t>Revenue per employee</t>
  </si>
  <si>
    <t>Insurance</t>
  </si>
  <si>
    <t>Employees (derived from above)</t>
  </si>
  <si>
    <t>Performance adjustor</t>
  </si>
  <si>
    <t>$M revenue</t>
  </si>
  <si>
    <t>Founder salary increase breakpoint</t>
  </si>
  <si>
    <t>US</t>
  </si>
  <si>
    <t>Foreign</t>
  </si>
  <si>
    <r>
      <rPr>
        <b/>
        <sz val="12"/>
        <color theme="1"/>
        <rFont val="Calibri"/>
        <family val="2"/>
        <scheme val="minor"/>
      </rPr>
      <t>Insurance</t>
    </r>
    <r>
      <rPr>
        <sz val="12"/>
        <color theme="1"/>
        <rFont val="Calibri"/>
        <family val="2"/>
        <scheme val="minor"/>
      </rPr>
      <t xml:space="preserve">: </t>
    </r>
    <r>
      <rPr>
        <sz val="12"/>
        <color theme="1"/>
        <rFont val="Calibri"/>
        <family val="2"/>
        <scheme val="minor"/>
      </rPr>
      <t>No of small customers (US)</t>
    </r>
  </si>
  <si>
    <r>
      <rPr>
        <b/>
        <sz val="12"/>
        <color theme="1"/>
        <rFont val="Calibri"/>
        <family val="2"/>
        <scheme val="minor"/>
      </rPr>
      <t>Insurance</t>
    </r>
    <r>
      <rPr>
        <sz val="12"/>
        <color theme="1"/>
        <rFont val="Calibri"/>
        <family val="2"/>
        <scheme val="minor"/>
      </rPr>
      <t>: No of medium customers (US)</t>
    </r>
  </si>
  <si>
    <r>
      <rPr>
        <b/>
        <sz val="12"/>
        <color theme="1"/>
        <rFont val="Calibri"/>
        <family val="2"/>
        <scheme val="minor"/>
      </rPr>
      <t>Insurance</t>
    </r>
    <r>
      <rPr>
        <sz val="12"/>
        <color theme="1"/>
        <rFont val="Calibri"/>
        <family val="2"/>
        <scheme val="minor"/>
      </rPr>
      <t xml:space="preserve">: </t>
    </r>
    <r>
      <rPr>
        <sz val="12"/>
        <color theme="1"/>
        <rFont val="Calibri"/>
        <family val="2"/>
        <scheme val="minor"/>
      </rPr>
      <t>No of large customers</t>
    </r>
    <r>
      <rPr>
        <sz val="12"/>
        <color theme="1"/>
        <rFont val="Calibri"/>
        <family val="2"/>
        <scheme val="minor"/>
      </rPr>
      <t xml:space="preserve"> (US)</t>
    </r>
  </si>
  <si>
    <r>
      <rPr>
        <b/>
        <sz val="12"/>
        <color theme="1"/>
        <rFont val="Calibri"/>
        <family val="2"/>
        <scheme val="minor"/>
      </rPr>
      <t>Media</t>
    </r>
    <r>
      <rPr>
        <sz val="12"/>
        <color theme="1"/>
        <rFont val="Calibri"/>
        <family val="2"/>
        <scheme val="minor"/>
      </rPr>
      <t xml:space="preserve">: </t>
    </r>
    <r>
      <rPr>
        <sz val="12"/>
        <color theme="1"/>
        <rFont val="Calibri"/>
        <family val="2"/>
        <scheme val="minor"/>
      </rPr>
      <t>No of small customers</t>
    </r>
    <r>
      <rPr>
        <sz val="12"/>
        <color theme="1"/>
        <rFont val="Calibri"/>
        <family val="2"/>
        <scheme val="minor"/>
      </rPr>
      <t xml:space="preserve"> (US)</t>
    </r>
  </si>
  <si>
    <r>
      <rPr>
        <b/>
        <sz val="12"/>
        <color theme="1"/>
        <rFont val="Calibri"/>
        <family val="2"/>
        <scheme val="minor"/>
      </rPr>
      <t>Media</t>
    </r>
    <r>
      <rPr>
        <sz val="12"/>
        <color theme="1"/>
        <rFont val="Calibri"/>
        <family val="2"/>
        <scheme val="minor"/>
      </rPr>
      <t>: No of medium customers (US)</t>
    </r>
  </si>
  <si>
    <r>
      <rPr>
        <b/>
        <sz val="12"/>
        <color theme="1"/>
        <rFont val="Calibri"/>
        <family val="2"/>
        <scheme val="minor"/>
      </rPr>
      <t>Media</t>
    </r>
    <r>
      <rPr>
        <sz val="12"/>
        <color theme="1"/>
        <rFont val="Calibri"/>
        <family val="2"/>
        <scheme val="minor"/>
      </rPr>
      <t xml:space="preserve">: </t>
    </r>
    <r>
      <rPr>
        <sz val="12"/>
        <color theme="1"/>
        <rFont val="Calibri"/>
        <family val="2"/>
        <scheme val="minor"/>
      </rPr>
      <t>No of large customers</t>
    </r>
    <r>
      <rPr>
        <sz val="12"/>
        <color theme="1"/>
        <rFont val="Calibri"/>
        <family val="2"/>
        <scheme val="minor"/>
      </rPr>
      <t xml:space="preserve"> (US)</t>
    </r>
  </si>
  <si>
    <r>
      <rPr>
        <b/>
        <sz val="12"/>
        <color theme="1"/>
        <rFont val="Calibri"/>
        <family val="2"/>
        <scheme val="minor"/>
      </rPr>
      <t>Media</t>
    </r>
    <r>
      <rPr>
        <sz val="12"/>
        <color theme="1"/>
        <rFont val="Calibri"/>
        <family val="2"/>
        <scheme val="minor"/>
      </rPr>
      <t xml:space="preserve">: </t>
    </r>
    <r>
      <rPr>
        <sz val="12"/>
        <color theme="1"/>
        <rFont val="Calibri"/>
        <family val="2"/>
        <scheme val="minor"/>
      </rPr>
      <t>No of small customers</t>
    </r>
    <r>
      <rPr>
        <sz val="12"/>
        <color theme="1"/>
        <rFont val="Calibri"/>
        <family val="2"/>
        <scheme val="minor"/>
      </rPr>
      <t xml:space="preserve"> (Foreign)</t>
    </r>
  </si>
  <si>
    <r>
      <rPr>
        <b/>
        <sz val="12"/>
        <color theme="1"/>
        <rFont val="Calibri"/>
        <family val="2"/>
        <scheme val="minor"/>
      </rPr>
      <t>Media</t>
    </r>
    <r>
      <rPr>
        <sz val="12"/>
        <color theme="1"/>
        <rFont val="Calibri"/>
        <family val="2"/>
        <scheme val="minor"/>
      </rPr>
      <t>: No of medium customers (Foreign)</t>
    </r>
  </si>
  <si>
    <r>
      <rPr>
        <b/>
        <sz val="12"/>
        <color theme="1"/>
        <rFont val="Calibri"/>
        <family val="2"/>
        <scheme val="minor"/>
      </rPr>
      <t>Media</t>
    </r>
    <r>
      <rPr>
        <sz val="12"/>
        <color theme="1"/>
        <rFont val="Calibri"/>
        <family val="2"/>
        <scheme val="minor"/>
      </rPr>
      <t xml:space="preserve">: </t>
    </r>
    <r>
      <rPr>
        <sz val="12"/>
        <color theme="1"/>
        <rFont val="Calibri"/>
        <family val="2"/>
        <scheme val="minor"/>
      </rPr>
      <t>No of large customers</t>
    </r>
    <r>
      <rPr>
        <sz val="12"/>
        <color theme="1"/>
        <rFont val="Calibri"/>
        <family val="2"/>
        <scheme val="minor"/>
      </rPr>
      <t xml:space="preserve"> (Foreign)</t>
    </r>
  </si>
  <si>
    <r>
      <rPr>
        <b/>
        <sz val="12"/>
        <color theme="1"/>
        <rFont val="Calibri"/>
        <family val="2"/>
        <scheme val="minor"/>
      </rPr>
      <t>Insurance</t>
    </r>
    <r>
      <rPr>
        <sz val="12"/>
        <color theme="1"/>
        <rFont val="Calibri"/>
        <family val="2"/>
        <scheme val="minor"/>
      </rPr>
      <t xml:space="preserve">: </t>
    </r>
    <r>
      <rPr>
        <sz val="12"/>
        <color theme="1"/>
        <rFont val="Calibri"/>
        <family val="2"/>
        <scheme val="minor"/>
      </rPr>
      <t>No of small customers (Foreign)</t>
    </r>
  </si>
  <si>
    <r>
      <rPr>
        <b/>
        <sz val="12"/>
        <color theme="1"/>
        <rFont val="Calibri"/>
        <family val="2"/>
        <scheme val="minor"/>
      </rPr>
      <t>Insurance</t>
    </r>
    <r>
      <rPr>
        <sz val="12"/>
        <color theme="1"/>
        <rFont val="Calibri"/>
        <family val="2"/>
        <scheme val="minor"/>
      </rPr>
      <t>: No of medium customers (Foreign)</t>
    </r>
  </si>
  <si>
    <r>
      <rPr>
        <b/>
        <sz val="12"/>
        <color theme="1"/>
        <rFont val="Calibri"/>
        <family val="2"/>
        <scheme val="minor"/>
      </rPr>
      <t>Insurance</t>
    </r>
    <r>
      <rPr>
        <sz val="12"/>
        <color theme="1"/>
        <rFont val="Calibri"/>
        <family val="2"/>
        <scheme val="minor"/>
      </rPr>
      <t xml:space="preserve">: </t>
    </r>
    <r>
      <rPr>
        <sz val="12"/>
        <color theme="1"/>
        <rFont val="Calibri"/>
        <family val="2"/>
        <scheme val="minor"/>
      </rPr>
      <t>No of large customers</t>
    </r>
    <r>
      <rPr>
        <sz val="12"/>
        <color theme="1"/>
        <rFont val="Calibri"/>
        <family val="2"/>
        <scheme val="minor"/>
      </rPr>
      <t xml:space="preserve"> (Foreign)</t>
    </r>
  </si>
  <si>
    <t>Small</t>
  </si>
  <si>
    <t>Medium</t>
  </si>
  <si>
    <t>Large</t>
  </si>
  <si>
    <t>Local news:</t>
  </si>
  <si>
    <t>https://localnewsinitiative.northwestern.edu/projects/state-of-local-news/2024/</t>
  </si>
  <si>
    <t>Regional news:</t>
  </si>
  <si>
    <t>National news:</t>
  </si>
  <si>
    <t>No list found. Examples of organizations with national reach:
Papers: New york times, washington post, wall street journal, USA today, LA times, 
TV: ABC news, NBC, CBS, CNN, Fox, MSNBC, PBS
Online only: HuffPost, Politico, Axios, Vox, ProPublica, FiveThirtyEight
Radio: NPR, APM
Magazines: Time, The Atlantic, The New Yorker, The Week, Newsweek
Wires: AP</t>
  </si>
  <si>
    <t>Database of news stations. While it claims "local news". It is possible that any news organization is part of this. It seems to be focused around "do you have news near you?". Therefor regional and national should be subtracted from this number</t>
  </si>
  <si>
    <t>No list found. E.g https://researchguides.jcu.edu/news has text from more than 245 regional news papers. Assume 500 regional news outlets</t>
  </si>
  <si>
    <t>Equipment cost</t>
  </si>
  <si>
    <t>Travel costs</t>
  </si>
  <si>
    <t>Other costs</t>
  </si>
  <si>
    <t>Per employee / year</t>
  </si>
  <si>
    <t>Assume $2000 computer, $1000 phone, $500 other. Buy new equipment every 4 years</t>
  </si>
  <si>
    <t>https://www.travelperk.com/blog/average-cost-of-business-travel/</t>
  </si>
  <si>
    <t>Average business trip $1500. Sales heavy organisation. Assume 2 trips / employee</t>
  </si>
  <si>
    <t>Total organizations</t>
  </si>
  <si>
    <t>https://coinlaw.io/us-insurance-industry-statistics/?utm_source=chatgpt.com
https://www.atlas-mag.net/en/article/distribution-of-insurance-companies-in-usa-per-state
https://www.zippia.com/advice/insurance-industry-statistics/?utm_source=chatgpt.com</t>
  </si>
  <si>
    <t>Assume 5% of total</t>
  </si>
  <si>
    <t>Assume 25% of total</t>
  </si>
  <si>
    <t>Assume 70% of total</t>
  </si>
  <si>
    <t>Other pricing</t>
  </si>
  <si>
    <t>General parameters</t>
  </si>
  <si>
    <t>Plotting</t>
  </si>
  <si>
    <t>Insurance (foreign)</t>
  </si>
  <si>
    <t>Insurance (US)</t>
  </si>
  <si>
    <t>Media (foreign)</t>
  </si>
  <si>
    <t>Media (US)</t>
  </si>
  <si>
    <t>Small customer ($M)</t>
  </si>
  <si>
    <t>Medium customer ($M)</t>
  </si>
  <si>
    <t>Large customer ($M)</t>
  </si>
  <si>
    <t>Total revenue ($M)</t>
  </si>
  <si>
    <t>Total costs ($M)</t>
  </si>
  <si>
    <t>Other costs ($M)</t>
  </si>
  <si>
    <t>Travel costs ($M)</t>
  </si>
  <si>
    <t>Founder salaries ($M)</t>
  </si>
  <si>
    <t>Employee salaries ($M)</t>
  </si>
  <si>
    <t>Benefits/salary taxes ($M)</t>
  </si>
  <si>
    <t>Office lease ($M)</t>
  </si>
  <si>
    <t>Payment to algorithm providers ($M)</t>
  </si>
  <si>
    <t>Cloud hosting ($M)</t>
  </si>
  <si>
    <t>Equipment cost ($M)</t>
  </si>
  <si>
    <t>Cash Flow ($M)</t>
  </si>
  <si>
    <t>Accumulated cash position ($M)</t>
  </si>
  <si>
    <t>Operating margin</t>
  </si>
  <si>
    <t>Increase/decrease revenue / employee from the log fit of median values</t>
  </si>
  <si>
    <t>Not used for anything at the moment</t>
  </si>
  <si>
    <t>Can be used to plot when we need funding etc. Due to model being very early and very assumption heavy I don't know if it is good to present this information</t>
  </si>
  <si>
    <t>Software licenses aside from cloud hosting, non-salary related marketing, other unexpected costs, etc.</t>
  </si>
  <si>
    <t>Not presented in the deck as we are valuing based on revenue multiple and not terminal growth rate and NPV</t>
  </si>
  <si>
    <t>Misc information</t>
  </si>
  <si>
    <t>Employee cost to salary ratio</t>
  </si>
  <si>
    <t>Assumed high, due to equity programs at early stages of the company</t>
  </si>
  <si>
    <t>Of annual subscription cost</t>
  </si>
  <si>
    <t>Customers year 5</t>
  </si>
  <si>
    <t>Customers year 10</t>
  </si>
  <si>
    <t>Revenue 5</t>
  </si>
  <si>
    <t>Revenue 10</t>
  </si>
  <si>
    <t>Profit 5</t>
  </si>
  <si>
    <t>Profit 10</t>
  </si>
  <si>
    <t>Acc cash 5</t>
  </si>
  <si>
    <t>Acc cash 10</t>
  </si>
  <si>
    <t>Rev / emp 5</t>
  </si>
  <si>
    <t>Rev / emp 10</t>
  </si>
  <si>
    <t>For easy changing of slide deck ( to be removed)</t>
  </si>
  <si>
    <t>FY1</t>
  </si>
  <si>
    <t>FY2</t>
  </si>
  <si>
    <t>FY3</t>
  </si>
  <si>
    <t>FY4</t>
  </si>
  <si>
    <t>FY5</t>
  </si>
  <si>
    <t>FY6</t>
  </si>
  <si>
    <t>FY7</t>
  </si>
  <si>
    <t>FY8</t>
  </si>
  <si>
    <t>FY9</t>
  </si>
  <si>
    <t>FY10</t>
  </si>
  <si>
    <t xml:space="preserve">Subtract national and regional from local news number as it is not clear that the local news number is JUST local news </t>
  </si>
  <si>
    <t>Does not yeild unreasonable numbers. Perhaps even conservative</t>
  </si>
  <si>
    <t>Compared to https://www.linkedin.com/pulse/saas-revenue-per-employee-metrics-sammy-abdullah-m38jc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</si>
</sst>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0.0000"/>
  </numFmts>
  <fonts count="1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0000"/>
        <bgColor indexed="64"/>
      </patternFill>
    </fill>
  </fills>
  <borders count="16">
    <border>
      <left/>
      <right/>
      <top/>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s>
  <cellStyleXfs count="5">
    <xf numFmtId="0" fontId="0" fillId="0" borderId="0"/>
    <xf numFmtId="0" fontId="9" fillId="0" borderId="0"/>
    <xf numFmtId="9" fontId="9" fillId="0" borderId="0" applyFont="0" applyFill="0" applyBorder="0" applyAlignment="0" applyProtection="0"/>
    <xf numFmtId="9" fontId="14" fillId="0" borderId="0" applyFont="0" applyFill="0" applyBorder="0" applyAlignment="0" applyProtection="0"/>
    <xf numFmtId="0" fontId="15" fillId="0" borderId="0" applyNumberFormat="0" applyFill="0" applyBorder="0" applyAlignment="0" applyProtection="0"/>
  </cellStyleXfs>
  <cellXfs count="88">
    <xf numFmtId="0" fontId="0" fillId="0" borderId="0" xfId="0"/>
    <xf numFmtId="0" fontId="9" fillId="0" borderId="0" xfId="1"/>
    <xf numFmtId="0" fontId="13" fillId="0" borderId="0" xfId="1" applyFont="1"/>
    <xf numFmtId="9" fontId="0" fillId="0" borderId="0" xfId="2" applyFont="1"/>
    <xf numFmtId="9" fontId="9" fillId="0" borderId="0" xfId="1" applyNumberFormat="1"/>
    <xf numFmtId="0" fontId="11" fillId="0" borderId="0" xfId="1" applyFont="1"/>
    <xf numFmtId="0" fontId="12" fillId="0" borderId="0" xfId="1" applyFont="1"/>
    <xf numFmtId="164" fontId="9" fillId="0" borderId="0" xfId="1" applyNumberFormat="1"/>
    <xf numFmtId="0" fontId="9" fillId="0" borderId="1" xfId="1" applyBorder="1"/>
    <xf numFmtId="0" fontId="9" fillId="0" borderId="2" xfId="1" applyBorder="1"/>
    <xf numFmtId="0" fontId="9" fillId="0" borderId="3" xfId="1" applyBorder="1"/>
    <xf numFmtId="0" fontId="9" fillId="0" borderId="4" xfId="1" applyBorder="1"/>
    <xf numFmtId="0" fontId="9" fillId="0" borderId="5" xfId="1" applyBorder="1"/>
    <xf numFmtId="0" fontId="9" fillId="0" borderId="6" xfId="1" applyBorder="1"/>
    <xf numFmtId="0" fontId="9" fillId="0" borderId="7" xfId="1" applyBorder="1"/>
    <xf numFmtId="0" fontId="8" fillId="0" borderId="0" xfId="1" applyFont="1"/>
    <xf numFmtId="0" fontId="12" fillId="0" borderId="8" xfId="1" applyFont="1" applyBorder="1"/>
    <xf numFmtId="0" fontId="9" fillId="0" borderId="9" xfId="1" applyBorder="1"/>
    <xf numFmtId="0" fontId="9" fillId="0" borderId="11" xfId="1" applyBorder="1"/>
    <xf numFmtId="0" fontId="0" fillId="0" borderId="0" xfId="0" applyAlignment="1">
      <alignment wrapText="1"/>
    </xf>
    <xf numFmtId="0" fontId="7" fillId="0" borderId="0" xfId="1" applyFont="1"/>
    <xf numFmtId="0" fontId="9" fillId="0" borderId="13" xfId="1" applyBorder="1"/>
    <xf numFmtId="0" fontId="9" fillId="0" borderId="12" xfId="1" applyBorder="1"/>
    <xf numFmtId="0" fontId="9" fillId="0" borderId="14" xfId="1" applyBorder="1"/>
    <xf numFmtId="0" fontId="6" fillId="0" borderId="15" xfId="1" applyFont="1" applyBorder="1"/>
    <xf numFmtId="0" fontId="5" fillId="0" borderId="0" xfId="1" applyFont="1"/>
    <xf numFmtId="165" fontId="9" fillId="0" borderId="0" xfId="1" applyNumberFormat="1"/>
    <xf numFmtId="0" fontId="9" fillId="2" borderId="5" xfId="1" applyFill="1" applyBorder="1"/>
    <xf numFmtId="0" fontId="5" fillId="0" borderId="13" xfId="1" applyFont="1" applyBorder="1"/>
    <xf numFmtId="0" fontId="9" fillId="2" borderId="6" xfId="1" applyFill="1" applyBorder="1"/>
    <xf numFmtId="0" fontId="5" fillId="0" borderId="6" xfId="1" applyFont="1" applyBorder="1"/>
    <xf numFmtId="0" fontId="5" fillId="0" borderId="12" xfId="1" applyFont="1" applyBorder="1"/>
    <xf numFmtId="0" fontId="9" fillId="2" borderId="0" xfId="1" applyFill="1"/>
    <xf numFmtId="0" fontId="5" fillId="0" borderId="14" xfId="1" applyFont="1" applyBorder="1"/>
    <xf numFmtId="0" fontId="9" fillId="2" borderId="2" xfId="1" applyFill="1" applyBorder="1"/>
    <xf numFmtId="0" fontId="6" fillId="0" borderId="13" xfId="1" applyFont="1" applyBorder="1"/>
    <xf numFmtId="0" fontId="6" fillId="0" borderId="12" xfId="1" applyFont="1" applyBorder="1"/>
    <xf numFmtId="0" fontId="6" fillId="0" borderId="6" xfId="1" applyFont="1" applyBorder="1"/>
    <xf numFmtId="0" fontId="6" fillId="0" borderId="14" xfId="1" applyFont="1" applyBorder="1"/>
    <xf numFmtId="0" fontId="6" fillId="0" borderId="2" xfId="1" applyFont="1" applyBorder="1"/>
    <xf numFmtId="9" fontId="9" fillId="0" borderId="0" xfId="3" applyFont="1"/>
    <xf numFmtId="0" fontId="4" fillId="0" borderId="0" xfId="1" applyFont="1"/>
    <xf numFmtId="0" fontId="4" fillId="0" borderId="0" xfId="1" applyFont="1" applyAlignment="1">
      <alignment wrapText="1"/>
    </xf>
    <xf numFmtId="9" fontId="9" fillId="0" borderId="3" xfId="3" applyFont="1" applyBorder="1"/>
    <xf numFmtId="0" fontId="4" fillId="0" borderId="12" xfId="1" applyFont="1" applyBorder="1"/>
    <xf numFmtId="9" fontId="9" fillId="0" borderId="3" xfId="1" applyNumberFormat="1" applyBorder="1"/>
    <xf numFmtId="0" fontId="4" fillId="0" borderId="14" xfId="1" applyFont="1" applyBorder="1"/>
    <xf numFmtId="0" fontId="9" fillId="0" borderId="0" xfId="3" applyNumberFormat="1" applyFont="1" applyBorder="1"/>
    <xf numFmtId="0" fontId="9" fillId="0" borderId="3" xfId="3" applyNumberFormat="1" applyFont="1" applyBorder="1"/>
    <xf numFmtId="0" fontId="4" fillId="0" borderId="10" xfId="1" applyFont="1" applyBorder="1"/>
    <xf numFmtId="0" fontId="9" fillId="0" borderId="12" xfId="3" applyNumberFormat="1" applyFont="1" applyBorder="1"/>
    <xf numFmtId="0" fontId="4" fillId="0" borderId="11" xfId="1" applyFont="1" applyBorder="1"/>
    <xf numFmtId="0" fontId="12" fillId="0" borderId="15" xfId="1" applyFont="1" applyBorder="1"/>
    <xf numFmtId="0" fontId="12" fillId="0" borderId="5" xfId="1" applyFont="1" applyBorder="1"/>
    <xf numFmtId="0" fontId="12" fillId="0" borderId="4" xfId="1" applyFont="1" applyBorder="1"/>
    <xf numFmtId="0" fontId="4" fillId="0" borderId="9" xfId="1" applyFont="1" applyBorder="1"/>
    <xf numFmtId="0" fontId="4" fillId="0" borderId="13" xfId="1" applyFont="1" applyBorder="1"/>
    <xf numFmtId="9" fontId="9" fillId="0" borderId="6" xfId="1" applyNumberFormat="1" applyBorder="1"/>
    <xf numFmtId="9" fontId="9" fillId="0" borderId="7" xfId="1" applyNumberFormat="1" applyBorder="1"/>
    <xf numFmtId="0" fontId="7" fillId="0" borderId="11" xfId="1" applyFont="1" applyBorder="1"/>
    <xf numFmtId="0" fontId="10" fillId="2" borderId="2" xfId="1" applyFont="1" applyFill="1" applyBorder="1"/>
    <xf numFmtId="9" fontId="9" fillId="0" borderId="13" xfId="1" applyNumberFormat="1" applyBorder="1"/>
    <xf numFmtId="9" fontId="9" fillId="0" borderId="12" xfId="1" applyNumberFormat="1" applyBorder="1"/>
    <xf numFmtId="9" fontId="4" fillId="0" borderId="6" xfId="1" applyNumberFormat="1" applyFont="1" applyBorder="1"/>
    <xf numFmtId="0" fontId="13" fillId="0" borderId="0" xfId="0" applyFont="1"/>
    <xf numFmtId="0" fontId="15" fillId="0" borderId="0" xfId="4"/>
    <xf numFmtId="9" fontId="9" fillId="0" borderId="0" xfId="3" applyFont="1" applyBorder="1"/>
    <xf numFmtId="0" fontId="4" fillId="0" borderId="8" xfId="1" applyFont="1" applyBorder="1"/>
    <xf numFmtId="0" fontId="3" fillId="0" borderId="0" xfId="1" applyFont="1"/>
    <xf numFmtId="0" fontId="3" fillId="0" borderId="10" xfId="1" applyFont="1" applyBorder="1"/>
    <xf numFmtId="0" fontId="8" fillId="3" borderId="9" xfId="1" applyFont="1" applyFill="1" applyBorder="1"/>
    <xf numFmtId="0" fontId="9" fillId="3" borderId="6" xfId="1" applyFill="1" applyBorder="1"/>
    <xf numFmtId="0" fontId="9" fillId="3" borderId="7" xfId="1" applyFill="1" applyBorder="1"/>
    <xf numFmtId="0" fontId="8" fillId="3" borderId="10" xfId="1" applyFont="1" applyFill="1" applyBorder="1"/>
    <xf numFmtId="0" fontId="9" fillId="3" borderId="0" xfId="1" applyFill="1"/>
    <xf numFmtId="0" fontId="9" fillId="3" borderId="3" xfId="1" applyFill="1" applyBorder="1"/>
    <xf numFmtId="0" fontId="8" fillId="3" borderId="11" xfId="1" applyFont="1" applyFill="1" applyBorder="1"/>
    <xf numFmtId="0" fontId="9" fillId="3" borderId="2" xfId="1" applyFill="1" applyBorder="1"/>
    <xf numFmtId="0" fontId="9" fillId="3" borderId="1" xfId="1" applyFill="1" applyBorder="1"/>
    <xf numFmtId="0" fontId="2" fillId="0" borderId="3" xfId="1" applyFont="1" applyBorder="1"/>
    <xf numFmtId="0" fontId="1" fillId="0" borderId="0" xfId="1" applyFont="1"/>
    <xf numFmtId="0" fontId="3" fillId="0" borderId="0" xfId="1" applyFont="1" applyAlignment="1">
      <alignment horizontal="center"/>
    </xf>
    <xf numFmtId="0" fontId="10" fillId="2" borderId="12" xfId="1" applyFont="1" applyFill="1" applyBorder="1" applyAlignment="1">
      <alignment horizontal="center"/>
    </xf>
    <xf numFmtId="0" fontId="10" fillId="2" borderId="0" xfId="1" applyFont="1" applyFill="1" applyAlignment="1">
      <alignment horizontal="center"/>
    </xf>
    <xf numFmtId="0" fontId="10" fillId="2" borderId="15" xfId="1" applyFont="1" applyFill="1" applyBorder="1" applyAlignment="1">
      <alignment horizontal="center"/>
    </xf>
    <xf numFmtId="0" fontId="10" fillId="2" borderId="5" xfId="1" applyFont="1" applyFill="1" applyBorder="1" applyAlignment="1">
      <alignment horizontal="center"/>
    </xf>
    <xf numFmtId="0" fontId="10" fillId="2" borderId="4" xfId="1" applyFont="1" applyFill="1" applyBorder="1" applyAlignment="1">
      <alignment horizontal="center"/>
    </xf>
    <xf numFmtId="0" fontId="10" fillId="2" borderId="2" xfId="1" applyFont="1" applyFill="1" applyBorder="1" applyAlignment="1">
      <alignment horizontal="center"/>
    </xf>
  </cellXfs>
  <cellStyles count="5">
    <cellStyle name="Hyperlink" xfId="4" builtinId="8"/>
    <cellStyle name="Normal" xfId="0" builtinId="0"/>
    <cellStyle name="Normal 2" xfId="1" xr:uid="{AE8D2EF8-7507-5F43-97E3-868F166DACAD}"/>
    <cellStyle name="Percent" xfId="3" builtinId="5"/>
    <cellStyle name="Percent 2" xfId="2" xr:uid="{D3EF9A7D-58C5-A945-8B31-95D71B0AD39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&amp; Accumulated Cash Flow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9666063210242768E-2"/>
          <c:y val="0.110846286701209"/>
          <c:w val="0.93033393678975729"/>
          <c:h val="0.71273441856037423"/>
        </c:manualLayout>
      </c:layout>
      <c:areaChart>
        <c:grouping val="stacked"/>
        <c:varyColors val="0"/>
        <c:ser>
          <c:idx val="1"/>
          <c:order val="0"/>
          <c:tx>
            <c:v>Accumulated Cash Position</c:v>
          </c:tx>
          <c:spPr>
            <a:solidFill>
              <a:schemeClr val="accent2"/>
            </a:solidFill>
            <a:ln>
              <a:noFill/>
            </a:ln>
            <a:effectLst/>
          </c:spPr>
          <c:cat>
            <c:numRef>
              <c:f>'Model with S-Curves'!$L$3:$U$3</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'Model with S-Curves'!$L$40:$U$40</c:f>
              <c:numCache>
                <c:formatCode>General</c:formatCode>
                <c:ptCount val="10"/>
                <c:pt idx="0">
                  <c:v>-0.55962000000000001</c:v>
                </c:pt>
                <c:pt idx="1">
                  <c:v>-1.7769500000000007</c:v>
                </c:pt>
                <c:pt idx="2">
                  <c:v>-4.1484734000000003</c:v>
                </c:pt>
                <c:pt idx="3">
                  <c:v>-6.0121575289999996</c:v>
                </c:pt>
                <c:pt idx="4">
                  <c:v>-6.9252715590499996</c:v>
                </c:pt>
                <c:pt idx="5">
                  <c:v>-6.0641402334830019</c:v>
                </c:pt>
                <c:pt idx="6">
                  <c:v>-3.2332632198931961</c:v>
                </c:pt>
                <c:pt idx="7">
                  <c:v>1.5389984241091881</c:v>
                </c:pt>
                <c:pt idx="8">
                  <c:v>8.0135966225918054</c:v>
                </c:pt>
                <c:pt idx="9">
                  <c:v>14.609773985098364</c:v>
                </c:pt>
              </c:numCache>
            </c:numRef>
          </c:val>
          <c:extLst>
            <c:ext xmlns:c16="http://schemas.microsoft.com/office/drawing/2014/chart" uri="{C3380CC4-5D6E-409C-BE32-E72D297353CC}">
              <c16:uniqueId val="{00000000-C6BD-D643-B54E-BDB1F55E1BEA}"/>
            </c:ext>
          </c:extLst>
        </c:ser>
        <c:dLbls>
          <c:showLegendKey val="0"/>
          <c:showVal val="0"/>
          <c:showCatName val="0"/>
          <c:showSerName val="0"/>
          <c:showPercent val="0"/>
          <c:showBubbleSize val="0"/>
        </c:dLbls>
        <c:axId val="824623519"/>
        <c:axId val="858523711"/>
      </c:areaChart>
      <c:lineChart>
        <c:grouping val="standard"/>
        <c:varyColors val="0"/>
        <c:ser>
          <c:idx val="0"/>
          <c:order val="1"/>
          <c:tx>
            <c:v>Revenue</c:v>
          </c:tx>
          <c:spPr>
            <a:ln w="28575" cap="rnd">
              <a:solidFill>
                <a:schemeClr val="accent1"/>
              </a:solidFill>
              <a:round/>
            </a:ln>
            <a:effectLst/>
          </c:spPr>
          <c:marker>
            <c:symbol val="none"/>
          </c:marker>
          <c:val>
            <c:numRef>
              <c:f>'Model with S-Curves'!$L$36:$U$36</c:f>
              <c:numCache>
                <c:formatCode>General</c:formatCode>
                <c:ptCount val="10"/>
                <c:pt idx="0">
                  <c:v>0.21</c:v>
                </c:pt>
                <c:pt idx="1">
                  <c:v>0.49299999999999994</c:v>
                </c:pt>
                <c:pt idx="2">
                  <c:v>1.286</c:v>
                </c:pt>
                <c:pt idx="3">
                  <c:v>3.6110000000000002</c:v>
                </c:pt>
                <c:pt idx="4">
                  <c:v>8.4919999999999991</c:v>
                </c:pt>
                <c:pt idx="5">
                  <c:v>16.975999999999999</c:v>
                </c:pt>
                <c:pt idx="6">
                  <c:v>27.714999999999996</c:v>
                </c:pt>
                <c:pt idx="7">
                  <c:v>40.196999999999996</c:v>
                </c:pt>
                <c:pt idx="8">
                  <c:v>54.622999999999998</c:v>
                </c:pt>
                <c:pt idx="9">
                  <c:v>66.724999999999994</c:v>
                </c:pt>
              </c:numCache>
            </c:numRef>
          </c:val>
          <c:smooth val="0"/>
          <c:extLst>
            <c:ext xmlns:c16="http://schemas.microsoft.com/office/drawing/2014/chart" uri="{C3380CC4-5D6E-409C-BE32-E72D297353CC}">
              <c16:uniqueId val="{00000001-C6BD-D643-B54E-BDB1F55E1BEA}"/>
            </c:ext>
          </c:extLst>
        </c:ser>
        <c:ser>
          <c:idx val="3"/>
          <c:order val="2"/>
          <c:tx>
            <c:v>Cash Flow</c:v>
          </c:tx>
          <c:spPr>
            <a:ln w="28575" cap="rnd">
              <a:solidFill>
                <a:schemeClr val="accent4"/>
              </a:solidFill>
              <a:round/>
            </a:ln>
            <a:effectLst/>
          </c:spPr>
          <c:marker>
            <c:symbol val="none"/>
          </c:marker>
          <c:val>
            <c:numRef>
              <c:f>'Model with S-Curves'!$L$38:$U$38</c:f>
              <c:numCache>
                <c:formatCode>General</c:formatCode>
                <c:ptCount val="10"/>
                <c:pt idx="0">
                  <c:v>-0.55962000000000001</c:v>
                </c:pt>
                <c:pt idx="1">
                  <c:v>-1.2173300000000007</c:v>
                </c:pt>
                <c:pt idx="2">
                  <c:v>-2.3715233999999996</c:v>
                </c:pt>
                <c:pt idx="3">
                  <c:v>-1.8636841289999997</c:v>
                </c:pt>
                <c:pt idx="4">
                  <c:v>-0.91311403005000003</c:v>
                </c:pt>
                <c:pt idx="5">
                  <c:v>0.86113132556699767</c:v>
                </c:pt>
                <c:pt idx="6">
                  <c:v>2.8308770135898058</c:v>
                </c:pt>
                <c:pt idx="7">
                  <c:v>4.7722616440023842</c:v>
                </c:pt>
                <c:pt idx="8">
                  <c:v>6.4745981984826173</c:v>
                </c:pt>
                <c:pt idx="9">
                  <c:v>6.5961773625065589</c:v>
                </c:pt>
              </c:numCache>
            </c:numRef>
          </c:val>
          <c:smooth val="0"/>
          <c:extLst>
            <c:ext xmlns:c16="http://schemas.microsoft.com/office/drawing/2014/chart" uri="{C3380CC4-5D6E-409C-BE32-E72D297353CC}">
              <c16:uniqueId val="{00000002-C6BD-D643-B54E-BDB1F55E1BEA}"/>
            </c:ext>
          </c:extLst>
        </c:ser>
        <c:dLbls>
          <c:showLegendKey val="0"/>
          <c:showVal val="0"/>
          <c:showCatName val="0"/>
          <c:showSerName val="0"/>
          <c:showPercent val="0"/>
          <c:showBubbleSize val="0"/>
        </c:dLbls>
        <c:marker val="1"/>
        <c:smooth val="0"/>
        <c:axId val="824623519"/>
        <c:axId val="858523711"/>
      </c:lineChart>
      <c:catAx>
        <c:axId val="824623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523711"/>
        <c:crosses val="autoZero"/>
        <c:auto val="1"/>
        <c:lblAlgn val="ctr"/>
        <c:lblOffset val="100"/>
        <c:noMultiLvlLbl val="0"/>
      </c:catAx>
      <c:valAx>
        <c:axId val="858523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623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Revenye per employee function 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0"/>
            <c:dispEq val="1"/>
            <c:trendlineLbl>
              <c:layout>
                <c:manualLayout>
                  <c:x val="0.11205652717975641"/>
                  <c:y val="-0.1376001169515838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'Model with S-Curves'!$F$101:$F$106</c:f>
              <c:numCache>
                <c:formatCode>General</c:formatCode>
                <c:ptCount val="6"/>
                <c:pt idx="0">
                  <c:v>1</c:v>
                </c:pt>
                <c:pt idx="1">
                  <c:v>2</c:v>
                </c:pt>
                <c:pt idx="2">
                  <c:v>4</c:v>
                </c:pt>
                <c:pt idx="3">
                  <c:v>7.5</c:v>
                </c:pt>
                <c:pt idx="4">
                  <c:v>15</c:v>
                </c:pt>
                <c:pt idx="5">
                  <c:v>20</c:v>
                </c:pt>
              </c:numCache>
            </c:numRef>
          </c:xVal>
          <c:yVal>
            <c:numRef>
              <c:f>'Model with S-Curves'!$G$101:$G$106</c:f>
              <c:numCache>
                <c:formatCode>General</c:formatCode>
                <c:ptCount val="6"/>
                <c:pt idx="0">
                  <c:v>3.1375E-2</c:v>
                </c:pt>
                <c:pt idx="1">
                  <c:v>7.3332999999999995E-2</c:v>
                </c:pt>
                <c:pt idx="2">
                  <c:v>9.4787999999999997E-2</c:v>
                </c:pt>
                <c:pt idx="3">
                  <c:v>0.125</c:v>
                </c:pt>
                <c:pt idx="4">
                  <c:v>0.15834400000000001</c:v>
                </c:pt>
                <c:pt idx="5">
                  <c:v>0.18624599999999999</c:v>
                </c:pt>
              </c:numCache>
            </c:numRef>
          </c:yVal>
          <c:smooth val="0"/>
          <c:extLst>
            <c:ext xmlns:c16="http://schemas.microsoft.com/office/drawing/2014/chart" uri="{C3380CC4-5D6E-409C-BE32-E72D297353CC}">
              <c16:uniqueId val="{00000000-2765-F846-99E5-EE44446C51C8}"/>
            </c:ext>
          </c:extLst>
        </c:ser>
        <c:dLbls>
          <c:showLegendKey val="0"/>
          <c:showVal val="0"/>
          <c:showCatName val="0"/>
          <c:showSerName val="0"/>
          <c:showPercent val="0"/>
          <c:showBubbleSize val="0"/>
        </c:dLbls>
        <c:axId val="568043663"/>
        <c:axId val="2142228368"/>
      </c:scatterChart>
      <c:valAx>
        <c:axId val="5680436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228368"/>
        <c:crosses val="autoZero"/>
        <c:crossBetween val="midCat"/>
      </c:valAx>
      <c:valAx>
        <c:axId val="2142228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043663"/>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'Model with S-Curves'!$K$8</c:f>
              <c:strCache>
                <c:ptCount val="1"/>
                <c:pt idx="0">
                  <c:v>Media: No of small customers (US)</c:v>
                </c:pt>
              </c:strCache>
            </c:strRef>
          </c:tx>
          <c:spPr>
            <a:ln w="28575" cap="rnd">
              <a:solidFill>
                <a:schemeClr val="accent1"/>
              </a:solidFill>
              <a:round/>
            </a:ln>
            <a:effectLst/>
          </c:spPr>
          <c:marker>
            <c:symbol val="none"/>
          </c:marker>
          <c:val>
            <c:numRef>
              <c:f>'Model with S-Curves'!$L$8:$U$8</c:f>
              <c:numCache>
                <c:formatCode>General</c:formatCode>
                <c:ptCount val="10"/>
                <c:pt idx="0">
                  <c:v>10</c:v>
                </c:pt>
                <c:pt idx="1">
                  <c:v>27</c:v>
                </c:pt>
                <c:pt idx="2">
                  <c:v>70</c:v>
                </c:pt>
                <c:pt idx="3">
                  <c:v>176</c:v>
                </c:pt>
                <c:pt idx="4">
                  <c:v>398</c:v>
                </c:pt>
                <c:pt idx="5">
                  <c:v>740</c:v>
                </c:pt>
                <c:pt idx="6">
                  <c:v>1082</c:v>
                </c:pt>
                <c:pt idx="7">
                  <c:v>1304</c:v>
                </c:pt>
                <c:pt idx="8">
                  <c:v>1410</c:v>
                </c:pt>
                <c:pt idx="9">
                  <c:v>1453</c:v>
                </c:pt>
              </c:numCache>
            </c:numRef>
          </c:val>
          <c:smooth val="0"/>
          <c:extLst>
            <c:ext xmlns:c16="http://schemas.microsoft.com/office/drawing/2014/chart" uri="{C3380CC4-5D6E-409C-BE32-E72D297353CC}">
              <c16:uniqueId val="{00000000-7500-D24C-85B8-D6E875264F83}"/>
            </c:ext>
          </c:extLst>
        </c:ser>
        <c:ser>
          <c:idx val="1"/>
          <c:order val="1"/>
          <c:tx>
            <c:strRef>
              <c:f>'Model with S-Curves'!$K$9</c:f>
              <c:strCache>
                <c:ptCount val="1"/>
                <c:pt idx="0">
                  <c:v>Media: No of medium customers (US)</c:v>
                </c:pt>
              </c:strCache>
            </c:strRef>
          </c:tx>
          <c:spPr>
            <a:ln w="28575" cap="rnd">
              <a:solidFill>
                <a:schemeClr val="accent2"/>
              </a:solidFill>
              <a:round/>
            </a:ln>
            <a:effectLst/>
          </c:spPr>
          <c:marker>
            <c:symbol val="none"/>
          </c:marker>
          <c:val>
            <c:numRef>
              <c:f>'Model with S-Curves'!$L$9:$U$9</c:f>
              <c:numCache>
                <c:formatCode>General</c:formatCode>
                <c:ptCount val="10"/>
                <c:pt idx="0">
                  <c:v>1</c:v>
                </c:pt>
                <c:pt idx="1">
                  <c:v>2</c:v>
                </c:pt>
                <c:pt idx="2">
                  <c:v>5</c:v>
                </c:pt>
                <c:pt idx="3">
                  <c:v>12</c:v>
                </c:pt>
                <c:pt idx="4">
                  <c:v>27</c:v>
                </c:pt>
                <c:pt idx="5">
                  <c:v>50</c:v>
                </c:pt>
                <c:pt idx="6">
                  <c:v>73</c:v>
                </c:pt>
                <c:pt idx="7">
                  <c:v>88</c:v>
                </c:pt>
                <c:pt idx="8">
                  <c:v>95</c:v>
                </c:pt>
                <c:pt idx="9">
                  <c:v>98</c:v>
                </c:pt>
              </c:numCache>
            </c:numRef>
          </c:val>
          <c:smooth val="0"/>
          <c:extLst>
            <c:ext xmlns:c16="http://schemas.microsoft.com/office/drawing/2014/chart" uri="{C3380CC4-5D6E-409C-BE32-E72D297353CC}">
              <c16:uniqueId val="{00000000-6AEF-614A-86CE-25B7D4116EE9}"/>
            </c:ext>
          </c:extLst>
        </c:ser>
        <c:ser>
          <c:idx val="2"/>
          <c:order val="2"/>
          <c:tx>
            <c:strRef>
              <c:f>'Model with S-Curves'!$K$10</c:f>
              <c:strCache>
                <c:ptCount val="1"/>
                <c:pt idx="0">
                  <c:v>Media: No of large customers (US)</c:v>
                </c:pt>
              </c:strCache>
            </c:strRef>
          </c:tx>
          <c:spPr>
            <a:ln w="28575" cap="rnd">
              <a:solidFill>
                <a:schemeClr val="accent3"/>
              </a:solidFill>
              <a:round/>
            </a:ln>
            <a:effectLst/>
          </c:spPr>
          <c:marker>
            <c:symbol val="none"/>
          </c:marker>
          <c:val>
            <c:numRef>
              <c:f>'Model with S-Curves'!$L$10:$U$10</c:f>
              <c:numCache>
                <c:formatCode>General</c:formatCode>
                <c:ptCount val="10"/>
                <c:pt idx="0">
                  <c:v>0</c:v>
                </c:pt>
                <c:pt idx="1">
                  <c:v>0</c:v>
                </c:pt>
                <c:pt idx="2">
                  <c:v>0</c:v>
                </c:pt>
                <c:pt idx="3">
                  <c:v>0</c:v>
                </c:pt>
                <c:pt idx="4">
                  <c:v>1</c:v>
                </c:pt>
                <c:pt idx="5">
                  <c:v>2</c:v>
                </c:pt>
                <c:pt idx="6">
                  <c:v>3</c:v>
                </c:pt>
                <c:pt idx="7">
                  <c:v>4</c:v>
                </c:pt>
                <c:pt idx="8">
                  <c:v>4</c:v>
                </c:pt>
                <c:pt idx="9">
                  <c:v>4</c:v>
                </c:pt>
              </c:numCache>
            </c:numRef>
          </c:val>
          <c:smooth val="0"/>
          <c:extLst>
            <c:ext xmlns:c16="http://schemas.microsoft.com/office/drawing/2014/chart" uri="{C3380CC4-5D6E-409C-BE32-E72D297353CC}">
              <c16:uniqueId val="{00000001-6AEF-614A-86CE-25B7D4116EE9}"/>
            </c:ext>
          </c:extLst>
        </c:ser>
        <c:ser>
          <c:idx val="3"/>
          <c:order val="3"/>
          <c:tx>
            <c:strRef>
              <c:f>'Model with S-Curves'!$K$11</c:f>
              <c:strCache>
                <c:ptCount val="1"/>
                <c:pt idx="0">
                  <c:v>Media: No of small customers (Foreign)</c:v>
                </c:pt>
              </c:strCache>
            </c:strRef>
          </c:tx>
          <c:spPr>
            <a:ln w="28575" cap="rnd">
              <a:solidFill>
                <a:schemeClr val="accent4"/>
              </a:solidFill>
              <a:round/>
            </a:ln>
            <a:effectLst/>
          </c:spPr>
          <c:marker>
            <c:symbol val="none"/>
          </c:marker>
          <c:val>
            <c:numRef>
              <c:f>'Model with S-Curves'!$L$11:$U$11</c:f>
              <c:numCache>
                <c:formatCode>General</c:formatCode>
                <c:ptCount val="10"/>
                <c:pt idx="0">
                  <c:v>0</c:v>
                </c:pt>
                <c:pt idx="1">
                  <c:v>2</c:v>
                </c:pt>
                <c:pt idx="2">
                  <c:v>7</c:v>
                </c:pt>
                <c:pt idx="3">
                  <c:v>18</c:v>
                </c:pt>
                <c:pt idx="4">
                  <c:v>44</c:v>
                </c:pt>
                <c:pt idx="5">
                  <c:v>100</c:v>
                </c:pt>
                <c:pt idx="6">
                  <c:v>185</c:v>
                </c:pt>
                <c:pt idx="7">
                  <c:v>270</c:v>
                </c:pt>
                <c:pt idx="8">
                  <c:v>326</c:v>
                </c:pt>
                <c:pt idx="9">
                  <c:v>352</c:v>
                </c:pt>
              </c:numCache>
            </c:numRef>
          </c:val>
          <c:smooth val="0"/>
          <c:extLst>
            <c:ext xmlns:c16="http://schemas.microsoft.com/office/drawing/2014/chart" uri="{C3380CC4-5D6E-409C-BE32-E72D297353CC}">
              <c16:uniqueId val="{00000002-6AEF-614A-86CE-25B7D4116EE9}"/>
            </c:ext>
          </c:extLst>
        </c:ser>
        <c:ser>
          <c:idx val="4"/>
          <c:order val="4"/>
          <c:tx>
            <c:strRef>
              <c:f>'Model with S-Curves'!$K$12</c:f>
              <c:strCache>
                <c:ptCount val="1"/>
                <c:pt idx="0">
                  <c:v>Media: No of medium customers (Foreign)</c:v>
                </c:pt>
              </c:strCache>
            </c:strRef>
          </c:tx>
          <c:spPr>
            <a:ln w="28575" cap="rnd">
              <a:solidFill>
                <a:schemeClr val="accent5"/>
              </a:solidFill>
              <a:round/>
            </a:ln>
            <a:effectLst/>
          </c:spPr>
          <c:marker>
            <c:symbol val="none"/>
          </c:marker>
          <c:val>
            <c:numRef>
              <c:f>'Model with S-Curves'!$L$12:$U$12</c:f>
              <c:numCache>
                <c:formatCode>General</c:formatCode>
                <c:ptCount val="10"/>
                <c:pt idx="0">
                  <c:v>0</c:v>
                </c:pt>
                <c:pt idx="1">
                  <c:v>0</c:v>
                </c:pt>
                <c:pt idx="2">
                  <c:v>0</c:v>
                </c:pt>
                <c:pt idx="3">
                  <c:v>1</c:v>
                </c:pt>
                <c:pt idx="4">
                  <c:v>3</c:v>
                </c:pt>
                <c:pt idx="5">
                  <c:v>7</c:v>
                </c:pt>
                <c:pt idx="6">
                  <c:v>13</c:v>
                </c:pt>
                <c:pt idx="7">
                  <c:v>18</c:v>
                </c:pt>
                <c:pt idx="8">
                  <c:v>22</c:v>
                </c:pt>
                <c:pt idx="9">
                  <c:v>24</c:v>
                </c:pt>
              </c:numCache>
            </c:numRef>
          </c:val>
          <c:smooth val="0"/>
          <c:extLst>
            <c:ext xmlns:c16="http://schemas.microsoft.com/office/drawing/2014/chart" uri="{C3380CC4-5D6E-409C-BE32-E72D297353CC}">
              <c16:uniqueId val="{00000003-6AEF-614A-86CE-25B7D4116EE9}"/>
            </c:ext>
          </c:extLst>
        </c:ser>
        <c:ser>
          <c:idx val="5"/>
          <c:order val="5"/>
          <c:tx>
            <c:strRef>
              <c:f>'Model with S-Curves'!$K$13</c:f>
              <c:strCache>
                <c:ptCount val="1"/>
                <c:pt idx="0">
                  <c:v>Media: No of large customers (Foreign)</c:v>
                </c:pt>
              </c:strCache>
            </c:strRef>
          </c:tx>
          <c:spPr>
            <a:ln w="28575" cap="rnd">
              <a:solidFill>
                <a:schemeClr val="accent6"/>
              </a:solidFill>
              <a:round/>
            </a:ln>
            <a:effectLst/>
          </c:spPr>
          <c:marker>
            <c:symbol val="none"/>
          </c:marker>
          <c:val>
            <c:numRef>
              <c:f>'Model with S-Curves'!$L$13:$U$13</c:f>
              <c:numCache>
                <c:formatCode>General</c:formatCode>
                <c:ptCount val="10"/>
                <c:pt idx="0">
                  <c:v>0</c:v>
                </c:pt>
                <c:pt idx="1">
                  <c:v>0</c:v>
                </c:pt>
                <c:pt idx="2">
                  <c:v>0</c:v>
                </c:pt>
                <c:pt idx="3">
                  <c:v>0</c:v>
                </c:pt>
                <c:pt idx="4">
                  <c:v>0</c:v>
                </c:pt>
                <c:pt idx="5">
                  <c:v>0</c:v>
                </c:pt>
                <c:pt idx="6">
                  <c:v>1</c:v>
                </c:pt>
                <c:pt idx="7">
                  <c:v>1</c:v>
                </c:pt>
                <c:pt idx="8">
                  <c:v>1</c:v>
                </c:pt>
                <c:pt idx="9">
                  <c:v>1</c:v>
                </c:pt>
              </c:numCache>
            </c:numRef>
          </c:val>
          <c:smooth val="0"/>
          <c:extLst>
            <c:ext xmlns:c16="http://schemas.microsoft.com/office/drawing/2014/chart" uri="{C3380CC4-5D6E-409C-BE32-E72D297353CC}">
              <c16:uniqueId val="{00000004-6AEF-614A-86CE-25B7D4116EE9}"/>
            </c:ext>
          </c:extLst>
        </c:ser>
        <c:ser>
          <c:idx val="6"/>
          <c:order val="6"/>
          <c:tx>
            <c:strRef>
              <c:f>'Model with S-Curves'!$K$14</c:f>
              <c:strCache>
                <c:ptCount val="1"/>
                <c:pt idx="0">
                  <c:v>Insurance: No of small customers (US)</c:v>
                </c:pt>
              </c:strCache>
            </c:strRef>
          </c:tx>
          <c:spPr>
            <a:ln w="28575" cap="rnd">
              <a:solidFill>
                <a:schemeClr val="accent1">
                  <a:lumMod val="60000"/>
                </a:schemeClr>
              </a:solidFill>
              <a:round/>
            </a:ln>
            <a:effectLst/>
          </c:spPr>
          <c:marker>
            <c:symbol val="none"/>
          </c:marker>
          <c:val>
            <c:numRef>
              <c:f>'Model with S-Curves'!$L$14:$U$14</c:f>
              <c:numCache>
                <c:formatCode>General</c:formatCode>
                <c:ptCount val="10"/>
                <c:pt idx="0">
                  <c:v>0</c:v>
                </c:pt>
                <c:pt idx="1">
                  <c:v>0</c:v>
                </c:pt>
                <c:pt idx="2">
                  <c:v>0</c:v>
                </c:pt>
                <c:pt idx="3">
                  <c:v>5</c:v>
                </c:pt>
                <c:pt idx="4">
                  <c:v>15</c:v>
                </c:pt>
                <c:pt idx="5">
                  <c:v>39</c:v>
                </c:pt>
                <c:pt idx="6">
                  <c:v>98</c:v>
                </c:pt>
                <c:pt idx="7">
                  <c:v>221</c:v>
                </c:pt>
                <c:pt idx="8">
                  <c:v>410</c:v>
                </c:pt>
                <c:pt idx="9">
                  <c:v>599</c:v>
                </c:pt>
              </c:numCache>
            </c:numRef>
          </c:val>
          <c:smooth val="0"/>
          <c:extLst>
            <c:ext xmlns:c16="http://schemas.microsoft.com/office/drawing/2014/chart" uri="{C3380CC4-5D6E-409C-BE32-E72D297353CC}">
              <c16:uniqueId val="{00000005-6AEF-614A-86CE-25B7D4116EE9}"/>
            </c:ext>
          </c:extLst>
        </c:ser>
        <c:ser>
          <c:idx val="7"/>
          <c:order val="7"/>
          <c:tx>
            <c:strRef>
              <c:f>'Model with S-Curves'!$K$15</c:f>
              <c:strCache>
                <c:ptCount val="1"/>
                <c:pt idx="0">
                  <c:v>Insurance: No of medium customers (US)</c:v>
                </c:pt>
              </c:strCache>
            </c:strRef>
          </c:tx>
          <c:spPr>
            <a:ln w="28575" cap="rnd">
              <a:solidFill>
                <a:schemeClr val="accent2">
                  <a:lumMod val="60000"/>
                </a:schemeClr>
              </a:solidFill>
              <a:round/>
            </a:ln>
            <a:effectLst/>
          </c:spPr>
          <c:marker>
            <c:symbol val="none"/>
          </c:marker>
          <c:val>
            <c:numRef>
              <c:f>'Model with S-Curves'!$L$15:$U$15</c:f>
              <c:numCache>
                <c:formatCode>General</c:formatCode>
                <c:ptCount val="10"/>
                <c:pt idx="0">
                  <c:v>0</c:v>
                </c:pt>
                <c:pt idx="1">
                  <c:v>0</c:v>
                </c:pt>
                <c:pt idx="2">
                  <c:v>0</c:v>
                </c:pt>
                <c:pt idx="3">
                  <c:v>2</c:v>
                </c:pt>
                <c:pt idx="4">
                  <c:v>5</c:v>
                </c:pt>
                <c:pt idx="5">
                  <c:v>14</c:v>
                </c:pt>
                <c:pt idx="6">
                  <c:v>36</c:v>
                </c:pt>
                <c:pt idx="7">
                  <c:v>81</c:v>
                </c:pt>
                <c:pt idx="8">
                  <c:v>150</c:v>
                </c:pt>
                <c:pt idx="9">
                  <c:v>219</c:v>
                </c:pt>
              </c:numCache>
            </c:numRef>
          </c:val>
          <c:smooth val="0"/>
          <c:extLst>
            <c:ext xmlns:c16="http://schemas.microsoft.com/office/drawing/2014/chart" uri="{C3380CC4-5D6E-409C-BE32-E72D297353CC}">
              <c16:uniqueId val="{00000006-6AEF-614A-86CE-25B7D4116EE9}"/>
            </c:ext>
          </c:extLst>
        </c:ser>
        <c:ser>
          <c:idx val="8"/>
          <c:order val="8"/>
          <c:tx>
            <c:strRef>
              <c:f>'Model with S-Curves'!$K$16</c:f>
              <c:strCache>
                <c:ptCount val="1"/>
                <c:pt idx="0">
                  <c:v>Insurance: No of large customers (US)</c:v>
                </c:pt>
              </c:strCache>
            </c:strRef>
          </c:tx>
          <c:spPr>
            <a:ln w="28575" cap="rnd">
              <a:solidFill>
                <a:schemeClr val="accent3">
                  <a:lumMod val="60000"/>
                </a:schemeClr>
              </a:solidFill>
              <a:round/>
            </a:ln>
            <a:effectLst/>
          </c:spPr>
          <c:marker>
            <c:symbol val="none"/>
          </c:marker>
          <c:val>
            <c:numRef>
              <c:f>'Model with S-Curves'!$L$16:$U$16</c:f>
              <c:numCache>
                <c:formatCode>General</c:formatCode>
                <c:ptCount val="10"/>
                <c:pt idx="0">
                  <c:v>0</c:v>
                </c:pt>
                <c:pt idx="1">
                  <c:v>0</c:v>
                </c:pt>
                <c:pt idx="2">
                  <c:v>0</c:v>
                </c:pt>
                <c:pt idx="3">
                  <c:v>0</c:v>
                </c:pt>
                <c:pt idx="4">
                  <c:v>1</c:v>
                </c:pt>
                <c:pt idx="5">
                  <c:v>3</c:v>
                </c:pt>
                <c:pt idx="6">
                  <c:v>7</c:v>
                </c:pt>
                <c:pt idx="7">
                  <c:v>16</c:v>
                </c:pt>
                <c:pt idx="8">
                  <c:v>30</c:v>
                </c:pt>
                <c:pt idx="9">
                  <c:v>44</c:v>
                </c:pt>
              </c:numCache>
            </c:numRef>
          </c:val>
          <c:smooth val="0"/>
          <c:extLst>
            <c:ext xmlns:c16="http://schemas.microsoft.com/office/drawing/2014/chart" uri="{C3380CC4-5D6E-409C-BE32-E72D297353CC}">
              <c16:uniqueId val="{00000007-6AEF-614A-86CE-25B7D4116EE9}"/>
            </c:ext>
          </c:extLst>
        </c:ser>
        <c:ser>
          <c:idx val="9"/>
          <c:order val="9"/>
          <c:tx>
            <c:strRef>
              <c:f>'Model with S-Curves'!$K$17</c:f>
              <c:strCache>
                <c:ptCount val="1"/>
                <c:pt idx="0">
                  <c:v>Insurance: No of small customers (Foreign)</c:v>
                </c:pt>
              </c:strCache>
            </c:strRef>
          </c:tx>
          <c:spPr>
            <a:ln w="28575" cap="rnd">
              <a:solidFill>
                <a:schemeClr val="accent4">
                  <a:lumMod val="60000"/>
                </a:schemeClr>
              </a:solidFill>
              <a:round/>
            </a:ln>
            <a:effectLst/>
          </c:spPr>
          <c:marker>
            <c:symbol val="none"/>
          </c:marker>
          <c:val>
            <c:numRef>
              <c:f>'Model with S-Curves'!$L$17:$U$17</c:f>
              <c:numCache>
                <c:formatCode>General</c:formatCode>
                <c:ptCount val="10"/>
                <c:pt idx="0">
                  <c:v>0</c:v>
                </c:pt>
                <c:pt idx="1">
                  <c:v>0</c:v>
                </c:pt>
                <c:pt idx="2">
                  <c:v>0</c:v>
                </c:pt>
                <c:pt idx="3">
                  <c:v>1</c:v>
                </c:pt>
                <c:pt idx="4">
                  <c:v>4</c:v>
                </c:pt>
                <c:pt idx="5">
                  <c:v>10</c:v>
                </c:pt>
                <c:pt idx="6">
                  <c:v>24</c:v>
                </c:pt>
                <c:pt idx="7">
                  <c:v>55</c:v>
                </c:pt>
                <c:pt idx="8">
                  <c:v>103</c:v>
                </c:pt>
                <c:pt idx="9">
                  <c:v>150</c:v>
                </c:pt>
              </c:numCache>
            </c:numRef>
          </c:val>
          <c:smooth val="0"/>
          <c:extLst>
            <c:ext xmlns:c16="http://schemas.microsoft.com/office/drawing/2014/chart" uri="{C3380CC4-5D6E-409C-BE32-E72D297353CC}">
              <c16:uniqueId val="{00000008-6AEF-614A-86CE-25B7D4116EE9}"/>
            </c:ext>
          </c:extLst>
        </c:ser>
        <c:ser>
          <c:idx val="10"/>
          <c:order val="10"/>
          <c:tx>
            <c:strRef>
              <c:f>'Model with S-Curves'!$K$18</c:f>
              <c:strCache>
                <c:ptCount val="1"/>
                <c:pt idx="0">
                  <c:v>Insurance: No of medium customers (Foreign)</c:v>
                </c:pt>
              </c:strCache>
            </c:strRef>
          </c:tx>
          <c:spPr>
            <a:ln w="28575" cap="rnd">
              <a:solidFill>
                <a:schemeClr val="accent5">
                  <a:lumMod val="60000"/>
                </a:schemeClr>
              </a:solidFill>
              <a:round/>
            </a:ln>
            <a:effectLst/>
          </c:spPr>
          <c:marker>
            <c:symbol val="none"/>
          </c:marker>
          <c:val>
            <c:numRef>
              <c:f>'Model with S-Curves'!$L$18:$U$18</c:f>
              <c:numCache>
                <c:formatCode>General</c:formatCode>
                <c:ptCount val="10"/>
                <c:pt idx="0">
                  <c:v>0</c:v>
                </c:pt>
                <c:pt idx="1">
                  <c:v>0</c:v>
                </c:pt>
                <c:pt idx="2">
                  <c:v>0</c:v>
                </c:pt>
                <c:pt idx="3">
                  <c:v>1</c:v>
                </c:pt>
                <c:pt idx="4">
                  <c:v>1</c:v>
                </c:pt>
                <c:pt idx="5">
                  <c:v>4</c:v>
                </c:pt>
                <c:pt idx="6">
                  <c:v>9</c:v>
                </c:pt>
                <c:pt idx="7">
                  <c:v>20</c:v>
                </c:pt>
                <c:pt idx="8">
                  <c:v>38</c:v>
                </c:pt>
                <c:pt idx="9">
                  <c:v>55</c:v>
                </c:pt>
              </c:numCache>
            </c:numRef>
          </c:val>
          <c:smooth val="0"/>
          <c:extLst>
            <c:ext xmlns:c16="http://schemas.microsoft.com/office/drawing/2014/chart" uri="{C3380CC4-5D6E-409C-BE32-E72D297353CC}">
              <c16:uniqueId val="{00000009-6AEF-614A-86CE-25B7D4116EE9}"/>
            </c:ext>
          </c:extLst>
        </c:ser>
        <c:ser>
          <c:idx val="11"/>
          <c:order val="11"/>
          <c:tx>
            <c:strRef>
              <c:f>'Model with S-Curves'!$K$19</c:f>
              <c:strCache>
                <c:ptCount val="1"/>
                <c:pt idx="0">
                  <c:v>Insurance: No of large customers (Foreign)</c:v>
                </c:pt>
              </c:strCache>
            </c:strRef>
          </c:tx>
          <c:spPr>
            <a:ln w="28575" cap="rnd">
              <a:solidFill>
                <a:schemeClr val="accent6">
                  <a:lumMod val="60000"/>
                </a:schemeClr>
              </a:solidFill>
              <a:round/>
            </a:ln>
            <a:effectLst/>
          </c:spPr>
          <c:marker>
            <c:symbol val="none"/>
          </c:marker>
          <c:val>
            <c:numRef>
              <c:f>'Model with S-Curves'!$L$19:$U$19</c:f>
              <c:numCache>
                <c:formatCode>General</c:formatCode>
                <c:ptCount val="10"/>
                <c:pt idx="0">
                  <c:v>0</c:v>
                </c:pt>
                <c:pt idx="1">
                  <c:v>0</c:v>
                </c:pt>
                <c:pt idx="2">
                  <c:v>0</c:v>
                </c:pt>
                <c:pt idx="3">
                  <c:v>0</c:v>
                </c:pt>
                <c:pt idx="4">
                  <c:v>0</c:v>
                </c:pt>
                <c:pt idx="5">
                  <c:v>1</c:v>
                </c:pt>
                <c:pt idx="6">
                  <c:v>2</c:v>
                </c:pt>
                <c:pt idx="7">
                  <c:v>4</c:v>
                </c:pt>
                <c:pt idx="8">
                  <c:v>8</c:v>
                </c:pt>
                <c:pt idx="9">
                  <c:v>11</c:v>
                </c:pt>
              </c:numCache>
            </c:numRef>
          </c:val>
          <c:smooth val="0"/>
          <c:extLst>
            <c:ext xmlns:c16="http://schemas.microsoft.com/office/drawing/2014/chart" uri="{C3380CC4-5D6E-409C-BE32-E72D297353CC}">
              <c16:uniqueId val="{0000000A-6AEF-614A-86CE-25B7D4116EE9}"/>
            </c:ext>
          </c:extLst>
        </c:ser>
        <c:dLbls>
          <c:showLegendKey val="0"/>
          <c:showVal val="0"/>
          <c:showCatName val="0"/>
          <c:showSerName val="0"/>
          <c:showPercent val="0"/>
          <c:showBubbleSize val="0"/>
        </c:dLbls>
        <c:smooth val="0"/>
        <c:axId val="563031775"/>
        <c:axId val="663121087"/>
      </c:lineChart>
      <c:catAx>
        <c:axId val="5630317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121087"/>
        <c:crosses val="autoZero"/>
        <c:auto val="1"/>
        <c:lblAlgn val="ctr"/>
        <c:lblOffset val="100"/>
        <c:noMultiLvlLbl val="0"/>
      </c:catAx>
      <c:valAx>
        <c:axId val="663121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31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Customers</a:t>
            </a:r>
            <a:r>
              <a:rPr lang="en-US" baseline="0"/>
              <a:t> per Segment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3"/>
          <c:order val="0"/>
          <c:tx>
            <c:strRef>
              <c:f>'Model with S-Curves'!$Z$6</c:f>
              <c:strCache>
                <c:ptCount val="1"/>
                <c:pt idx="0">
                  <c:v>Media (US)</c:v>
                </c:pt>
              </c:strCache>
            </c:strRef>
          </c:tx>
          <c:spPr>
            <a:solidFill>
              <a:schemeClr val="accent4"/>
            </a:solidFill>
            <a:ln w="25400">
              <a:noFill/>
            </a:ln>
            <a:effectLst/>
          </c:spPr>
          <c:cat>
            <c:numRef>
              <c:f>'Model with S-Curves'!$AA$2:$AJ$2</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'Model with S-Curves'!$AA$6:$AJ$6</c:f>
              <c:numCache>
                <c:formatCode>General</c:formatCode>
                <c:ptCount val="10"/>
                <c:pt idx="0">
                  <c:v>11</c:v>
                </c:pt>
                <c:pt idx="1">
                  <c:v>29</c:v>
                </c:pt>
                <c:pt idx="2">
                  <c:v>75</c:v>
                </c:pt>
                <c:pt idx="3">
                  <c:v>188</c:v>
                </c:pt>
                <c:pt idx="4">
                  <c:v>426</c:v>
                </c:pt>
                <c:pt idx="5">
                  <c:v>792</c:v>
                </c:pt>
                <c:pt idx="6">
                  <c:v>1158</c:v>
                </c:pt>
                <c:pt idx="7">
                  <c:v>1396</c:v>
                </c:pt>
                <c:pt idx="8">
                  <c:v>1509</c:v>
                </c:pt>
                <c:pt idx="9">
                  <c:v>1555</c:v>
                </c:pt>
              </c:numCache>
            </c:numRef>
          </c:val>
          <c:extLst>
            <c:ext xmlns:c16="http://schemas.microsoft.com/office/drawing/2014/chart" uri="{C3380CC4-5D6E-409C-BE32-E72D297353CC}">
              <c16:uniqueId val="{00000003-E9D6-FC49-93CC-1B538240170F}"/>
            </c:ext>
          </c:extLst>
        </c:ser>
        <c:ser>
          <c:idx val="2"/>
          <c:order val="1"/>
          <c:tx>
            <c:strRef>
              <c:f>'Model with S-Curves'!$Z$5</c:f>
              <c:strCache>
                <c:ptCount val="1"/>
                <c:pt idx="0">
                  <c:v>Media (foreign)</c:v>
                </c:pt>
              </c:strCache>
            </c:strRef>
          </c:tx>
          <c:spPr>
            <a:solidFill>
              <a:schemeClr val="accent3"/>
            </a:solidFill>
            <a:ln w="25400">
              <a:noFill/>
            </a:ln>
            <a:effectLst/>
          </c:spPr>
          <c:cat>
            <c:numRef>
              <c:f>'Model with S-Curves'!$AA$2:$AJ$2</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'Model with S-Curves'!$AA$5:$AJ$5</c:f>
              <c:numCache>
                <c:formatCode>General</c:formatCode>
                <c:ptCount val="10"/>
                <c:pt idx="0">
                  <c:v>0</c:v>
                </c:pt>
                <c:pt idx="1">
                  <c:v>2</c:v>
                </c:pt>
                <c:pt idx="2">
                  <c:v>7</c:v>
                </c:pt>
                <c:pt idx="3">
                  <c:v>19</c:v>
                </c:pt>
                <c:pt idx="4">
                  <c:v>47</c:v>
                </c:pt>
                <c:pt idx="5">
                  <c:v>107</c:v>
                </c:pt>
                <c:pt idx="6">
                  <c:v>199</c:v>
                </c:pt>
                <c:pt idx="7">
                  <c:v>289</c:v>
                </c:pt>
                <c:pt idx="8">
                  <c:v>349</c:v>
                </c:pt>
                <c:pt idx="9">
                  <c:v>377</c:v>
                </c:pt>
              </c:numCache>
            </c:numRef>
          </c:val>
          <c:extLst>
            <c:ext xmlns:c16="http://schemas.microsoft.com/office/drawing/2014/chart" uri="{C3380CC4-5D6E-409C-BE32-E72D297353CC}">
              <c16:uniqueId val="{00000002-E9D6-FC49-93CC-1B538240170F}"/>
            </c:ext>
          </c:extLst>
        </c:ser>
        <c:ser>
          <c:idx val="1"/>
          <c:order val="2"/>
          <c:tx>
            <c:strRef>
              <c:f>'Model with S-Curves'!$Z$4</c:f>
              <c:strCache>
                <c:ptCount val="1"/>
                <c:pt idx="0">
                  <c:v>Insurance (US)</c:v>
                </c:pt>
              </c:strCache>
            </c:strRef>
          </c:tx>
          <c:spPr>
            <a:solidFill>
              <a:schemeClr val="accent2"/>
            </a:solidFill>
            <a:ln w="25400">
              <a:noFill/>
            </a:ln>
            <a:effectLst/>
          </c:spPr>
          <c:cat>
            <c:numRef>
              <c:f>'Model with S-Curves'!$AA$2:$AJ$2</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'Model with S-Curves'!$AA$4:$AJ$4</c:f>
              <c:numCache>
                <c:formatCode>General</c:formatCode>
                <c:ptCount val="10"/>
                <c:pt idx="0">
                  <c:v>0</c:v>
                </c:pt>
                <c:pt idx="1">
                  <c:v>0</c:v>
                </c:pt>
                <c:pt idx="2">
                  <c:v>0</c:v>
                </c:pt>
                <c:pt idx="3">
                  <c:v>7</c:v>
                </c:pt>
                <c:pt idx="4">
                  <c:v>21</c:v>
                </c:pt>
                <c:pt idx="5">
                  <c:v>56</c:v>
                </c:pt>
                <c:pt idx="6">
                  <c:v>141</c:v>
                </c:pt>
                <c:pt idx="7">
                  <c:v>318</c:v>
                </c:pt>
                <c:pt idx="8">
                  <c:v>590</c:v>
                </c:pt>
                <c:pt idx="9">
                  <c:v>862</c:v>
                </c:pt>
              </c:numCache>
            </c:numRef>
          </c:val>
          <c:extLst>
            <c:ext xmlns:c16="http://schemas.microsoft.com/office/drawing/2014/chart" uri="{C3380CC4-5D6E-409C-BE32-E72D297353CC}">
              <c16:uniqueId val="{00000001-E9D6-FC49-93CC-1B538240170F}"/>
            </c:ext>
          </c:extLst>
        </c:ser>
        <c:ser>
          <c:idx val="0"/>
          <c:order val="3"/>
          <c:tx>
            <c:strRef>
              <c:f>'Model with S-Curves'!$Z$3</c:f>
              <c:strCache>
                <c:ptCount val="1"/>
                <c:pt idx="0">
                  <c:v>Insurance (foreign)</c:v>
                </c:pt>
              </c:strCache>
            </c:strRef>
          </c:tx>
          <c:spPr>
            <a:solidFill>
              <a:schemeClr val="accent1"/>
            </a:solidFill>
            <a:ln>
              <a:noFill/>
            </a:ln>
            <a:effectLst/>
          </c:spPr>
          <c:cat>
            <c:numRef>
              <c:f>'Model with S-Curves'!$AA$2:$AJ$2</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'Model with S-Curves'!$AA$3:$AJ$3</c:f>
              <c:numCache>
                <c:formatCode>General</c:formatCode>
                <c:ptCount val="10"/>
                <c:pt idx="0">
                  <c:v>0</c:v>
                </c:pt>
                <c:pt idx="1">
                  <c:v>0</c:v>
                </c:pt>
                <c:pt idx="2">
                  <c:v>0</c:v>
                </c:pt>
                <c:pt idx="3">
                  <c:v>2</c:v>
                </c:pt>
                <c:pt idx="4">
                  <c:v>5</c:v>
                </c:pt>
                <c:pt idx="5">
                  <c:v>15</c:v>
                </c:pt>
                <c:pt idx="6">
                  <c:v>35</c:v>
                </c:pt>
                <c:pt idx="7">
                  <c:v>79</c:v>
                </c:pt>
                <c:pt idx="8">
                  <c:v>149</c:v>
                </c:pt>
                <c:pt idx="9">
                  <c:v>216</c:v>
                </c:pt>
              </c:numCache>
            </c:numRef>
          </c:val>
          <c:extLst>
            <c:ext xmlns:c16="http://schemas.microsoft.com/office/drawing/2014/chart" uri="{C3380CC4-5D6E-409C-BE32-E72D297353CC}">
              <c16:uniqueId val="{00000000-E9D6-FC49-93CC-1B538240170F}"/>
            </c:ext>
          </c:extLst>
        </c:ser>
        <c:dLbls>
          <c:showLegendKey val="0"/>
          <c:showVal val="0"/>
          <c:showCatName val="0"/>
          <c:showSerName val="0"/>
          <c:showPercent val="0"/>
          <c:showBubbleSize val="0"/>
        </c:dLbls>
        <c:axId val="768060495"/>
        <c:axId val="767859599"/>
      </c:areaChart>
      <c:catAx>
        <c:axId val="7680604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859599"/>
        <c:crosses val="autoZero"/>
        <c:auto val="1"/>
        <c:lblAlgn val="ctr"/>
        <c:lblOffset val="100"/>
        <c:noMultiLvlLbl val="0"/>
      </c:catAx>
      <c:valAx>
        <c:axId val="767859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customers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0604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556683</xdr:colOff>
      <xdr:row>58</xdr:row>
      <xdr:rowOff>19050</xdr:rowOff>
    </xdr:from>
    <xdr:to>
      <xdr:col>12</xdr:col>
      <xdr:colOff>76200</xdr:colOff>
      <xdr:row>79</xdr:row>
      <xdr:rowOff>110067</xdr:rowOff>
    </xdr:to>
    <xdr:graphicFrame macro="">
      <xdr:nvGraphicFramePr>
        <xdr:cNvPr id="2" name="Chart 1">
          <a:extLst>
            <a:ext uri="{FF2B5EF4-FFF2-40B4-BE49-F238E27FC236}">
              <a16:creationId xmlns:a16="http://schemas.microsoft.com/office/drawing/2014/main" id="{BEA05B42-57A2-8544-A72D-4DBFF8F7B4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747329</xdr:colOff>
      <xdr:row>72</xdr:row>
      <xdr:rowOff>21897</xdr:rowOff>
    </xdr:from>
    <xdr:to>
      <xdr:col>21</xdr:col>
      <xdr:colOff>370709</xdr:colOff>
      <xdr:row>85</xdr:row>
      <xdr:rowOff>123496</xdr:rowOff>
    </xdr:to>
    <xdr:graphicFrame macro="">
      <xdr:nvGraphicFramePr>
        <xdr:cNvPr id="3" name="Chart 2">
          <a:extLst>
            <a:ext uri="{FF2B5EF4-FFF2-40B4-BE49-F238E27FC236}">
              <a16:creationId xmlns:a16="http://schemas.microsoft.com/office/drawing/2014/main" id="{D683E55C-7E80-FD9E-6B45-50228EDB17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577850</xdr:colOff>
      <xdr:row>17</xdr:row>
      <xdr:rowOff>127705</xdr:rowOff>
    </xdr:from>
    <xdr:to>
      <xdr:col>38</xdr:col>
      <xdr:colOff>736600</xdr:colOff>
      <xdr:row>38</xdr:row>
      <xdr:rowOff>199437</xdr:rowOff>
    </xdr:to>
    <xdr:graphicFrame macro="">
      <xdr:nvGraphicFramePr>
        <xdr:cNvPr id="4" name="Chart 3">
          <a:extLst>
            <a:ext uri="{FF2B5EF4-FFF2-40B4-BE49-F238E27FC236}">
              <a16:creationId xmlns:a16="http://schemas.microsoft.com/office/drawing/2014/main" id="{42131688-C45A-FA0E-30C8-84312DE3F2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87343</xdr:colOff>
      <xdr:row>6</xdr:row>
      <xdr:rowOff>133787</xdr:rowOff>
    </xdr:from>
    <xdr:to>
      <xdr:col>36</xdr:col>
      <xdr:colOff>555767</xdr:colOff>
      <xdr:row>19</xdr:row>
      <xdr:rowOff>117211</xdr:rowOff>
    </xdr:to>
    <xdr:graphicFrame macro="">
      <xdr:nvGraphicFramePr>
        <xdr:cNvPr id="7" name="Chart 6">
          <a:extLst>
            <a:ext uri="{FF2B5EF4-FFF2-40B4-BE49-F238E27FC236}">
              <a16:creationId xmlns:a16="http://schemas.microsoft.com/office/drawing/2014/main" id="{FEC0DDD4-EDA0-DB0C-7B1F-F867C925AC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localnewsinitiative.northwestern.edu/projects/state-of-local-news/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EB5AC-2D2A-304F-93C5-0DF49A2131E2}">
  <dimension ref="A1:AJ106"/>
  <sheetViews>
    <sheetView tabSelected="1" topLeftCell="J1" zoomScale="108" workbookViewId="0">
      <selection activeCell="W9" sqref="W9"/>
    </sheetView>
  </sheetViews>
  <sheetFormatPr defaultColWidth="10.796875" defaultRowHeight="15.75" x14ac:dyDescent="0.5"/>
  <cols>
    <col min="1" max="1" width="29.796875" style="1" customWidth="1"/>
    <col min="2" max="2" width="16.1328125" style="1" customWidth="1"/>
    <col min="3" max="3" width="15.6640625" style="1" customWidth="1"/>
    <col min="4" max="4" width="17.6640625" style="1" customWidth="1"/>
    <col min="5" max="6" width="10.796875" style="1"/>
    <col min="7" max="7" width="31.46484375" style="1" bestFit="1" customWidth="1"/>
    <col min="8" max="10" width="10.796875" style="1"/>
    <col min="11" max="11" width="38" style="1" customWidth="1"/>
    <col min="12" max="12" width="10.796875" style="1"/>
    <col min="13" max="13" width="13" style="1" bestFit="1" customWidth="1"/>
    <col min="14" max="22" width="10.796875" style="1"/>
    <col min="23" max="23" width="41.46484375" style="1" bestFit="1" customWidth="1"/>
    <col min="24" max="24" width="25.33203125" style="1" customWidth="1"/>
    <col min="25" max="16384" width="10.796875" style="1"/>
  </cols>
  <sheetData>
    <row r="1" spans="1:36" x14ac:dyDescent="0.5">
      <c r="A1" s="6" t="s">
        <v>160</v>
      </c>
      <c r="L1" s="80" t="s">
        <v>203</v>
      </c>
      <c r="M1" s="80" t="s">
        <v>204</v>
      </c>
      <c r="N1" s="80" t="s">
        <v>205</v>
      </c>
      <c r="O1" s="80" t="s">
        <v>206</v>
      </c>
      <c r="P1" s="80" t="s">
        <v>207</v>
      </c>
      <c r="Q1" s="80" t="s">
        <v>208</v>
      </c>
      <c r="R1" s="80" t="s">
        <v>209</v>
      </c>
      <c r="S1" s="80" t="s">
        <v>210</v>
      </c>
      <c r="T1" s="80" t="s">
        <v>211</v>
      </c>
      <c r="U1" s="80" t="s">
        <v>212</v>
      </c>
      <c r="AB1" s="41" t="s">
        <v>161</v>
      </c>
    </row>
    <row r="2" spans="1:36" ht="16.149999999999999" thickBot="1" x14ac:dyDescent="0.55000000000000004">
      <c r="A2" s="15" t="s">
        <v>67</v>
      </c>
      <c r="B2" s="1">
        <v>100000</v>
      </c>
      <c r="C2" s="1" t="s">
        <v>37</v>
      </c>
      <c r="K2" s="82" t="s">
        <v>54</v>
      </c>
      <c r="L2" s="83"/>
      <c r="M2" s="83"/>
      <c r="N2" s="83"/>
      <c r="O2" s="83"/>
      <c r="P2" s="83"/>
      <c r="Q2" s="83"/>
      <c r="R2" s="83"/>
      <c r="S2" s="83"/>
      <c r="T2" s="83"/>
      <c r="U2" s="83"/>
      <c r="Z2" s="41" t="s">
        <v>49</v>
      </c>
      <c r="AA2" s="1">
        <v>0</v>
      </c>
      <c r="AB2" s="1">
        <v>1</v>
      </c>
      <c r="AC2" s="1">
        <v>2</v>
      </c>
      <c r="AD2" s="1">
        <v>3</v>
      </c>
      <c r="AE2" s="1">
        <v>4</v>
      </c>
      <c r="AF2" s="1">
        <v>5</v>
      </c>
      <c r="AG2" s="1">
        <v>6</v>
      </c>
      <c r="AH2" s="1">
        <v>7</v>
      </c>
      <c r="AI2" s="1">
        <v>8</v>
      </c>
      <c r="AJ2" s="1">
        <v>9</v>
      </c>
    </row>
    <row r="3" spans="1:36" ht="16.149999999999999" thickBot="1" x14ac:dyDescent="0.55000000000000004">
      <c r="A3" s="15" t="s">
        <v>68</v>
      </c>
      <c r="B3" s="1">
        <v>200000</v>
      </c>
      <c r="C3" s="1" t="s">
        <v>37</v>
      </c>
      <c r="K3" s="16" t="s">
        <v>49</v>
      </c>
      <c r="L3" s="12">
        <v>0</v>
      </c>
      <c r="M3" s="12">
        <v>1</v>
      </c>
      <c r="N3" s="12">
        <v>2</v>
      </c>
      <c r="O3" s="12">
        <v>3</v>
      </c>
      <c r="P3" s="12">
        <v>4</v>
      </c>
      <c r="Q3" s="12">
        <v>5</v>
      </c>
      <c r="R3" s="12">
        <v>6</v>
      </c>
      <c r="S3" s="12">
        <v>7</v>
      </c>
      <c r="T3" s="12">
        <v>8</v>
      </c>
      <c r="U3" s="11">
        <v>9</v>
      </c>
      <c r="Z3" s="41" t="s">
        <v>162</v>
      </c>
      <c r="AA3" s="1">
        <f t="shared" ref="AA3:AJ3" si="0">SUM(L17:L19)</f>
        <v>0</v>
      </c>
      <c r="AB3" s="1">
        <f t="shared" si="0"/>
        <v>0</v>
      </c>
      <c r="AC3" s="1">
        <f>SUM(N17:N19)</f>
        <v>0</v>
      </c>
      <c r="AD3" s="1">
        <f t="shared" si="0"/>
        <v>2</v>
      </c>
      <c r="AE3" s="1">
        <f t="shared" si="0"/>
        <v>5</v>
      </c>
      <c r="AF3" s="1">
        <f t="shared" si="0"/>
        <v>15</v>
      </c>
      <c r="AG3" s="1">
        <f t="shared" si="0"/>
        <v>35</v>
      </c>
      <c r="AH3" s="1">
        <f t="shared" si="0"/>
        <v>79</v>
      </c>
      <c r="AI3" s="1">
        <f t="shared" si="0"/>
        <v>149</v>
      </c>
      <c r="AJ3" s="1">
        <f t="shared" si="0"/>
        <v>216</v>
      </c>
    </row>
    <row r="4" spans="1:36" ht="16.149999999999999" thickBot="1" x14ac:dyDescent="0.55000000000000004">
      <c r="A4" s="68" t="s">
        <v>189</v>
      </c>
      <c r="B4" s="1">
        <v>1.3</v>
      </c>
      <c r="D4" s="1" t="s">
        <v>48</v>
      </c>
      <c r="E4" s="1" t="s">
        <v>38</v>
      </c>
      <c r="K4" s="82" t="s">
        <v>53</v>
      </c>
      <c r="L4" s="83"/>
      <c r="M4" s="83"/>
      <c r="N4" s="83"/>
      <c r="O4" s="83"/>
      <c r="P4" s="83"/>
      <c r="Q4" s="83"/>
      <c r="R4" s="83"/>
      <c r="S4" s="83"/>
      <c r="T4" s="83"/>
      <c r="U4" s="83"/>
      <c r="Z4" s="41" t="s">
        <v>163</v>
      </c>
      <c r="AA4" s="1">
        <f t="shared" ref="AA4:AJ4" si="1">SUM(L14:L16)</f>
        <v>0</v>
      </c>
      <c r="AB4" s="1">
        <f t="shared" si="1"/>
        <v>0</v>
      </c>
      <c r="AC4" s="1">
        <f t="shared" si="1"/>
        <v>0</v>
      </c>
      <c r="AD4" s="1">
        <f t="shared" si="1"/>
        <v>7</v>
      </c>
      <c r="AE4" s="1">
        <f t="shared" si="1"/>
        <v>21</v>
      </c>
      <c r="AF4" s="1">
        <f t="shared" si="1"/>
        <v>56</v>
      </c>
      <c r="AG4" s="1">
        <f t="shared" si="1"/>
        <v>141</v>
      </c>
      <c r="AH4" s="1">
        <f t="shared" si="1"/>
        <v>318</v>
      </c>
      <c r="AI4" s="1">
        <f t="shared" si="1"/>
        <v>590</v>
      </c>
      <c r="AJ4" s="1">
        <f t="shared" si="1"/>
        <v>862</v>
      </c>
    </row>
    <row r="5" spans="1:36" x14ac:dyDescent="0.5">
      <c r="A5" s="1" t="s">
        <v>50</v>
      </c>
      <c r="B5" s="1">
        <v>70000</v>
      </c>
      <c r="C5" s="1" t="s">
        <v>37</v>
      </c>
      <c r="D5" s="1" t="s">
        <v>46</v>
      </c>
      <c r="E5" s="1" t="s">
        <v>38</v>
      </c>
      <c r="K5" s="17" t="s">
        <v>47</v>
      </c>
      <c r="L5" s="13">
        <v>3</v>
      </c>
      <c r="M5" s="13">
        <v>3</v>
      </c>
      <c r="N5" s="13">
        <v>3</v>
      </c>
      <c r="O5" s="13">
        <v>3</v>
      </c>
      <c r="P5" s="13">
        <v>3</v>
      </c>
      <c r="Q5" s="13">
        <v>3</v>
      </c>
      <c r="R5" s="13">
        <v>3</v>
      </c>
      <c r="S5" s="13">
        <v>3</v>
      </c>
      <c r="T5" s="13">
        <v>3</v>
      </c>
      <c r="U5" s="14">
        <v>3</v>
      </c>
      <c r="Z5" s="41" t="s">
        <v>164</v>
      </c>
      <c r="AA5" s="1">
        <f t="shared" ref="AA5:AJ5" si="2">SUM(L11:L13)</f>
        <v>0</v>
      </c>
      <c r="AB5" s="1">
        <f t="shared" si="2"/>
        <v>2</v>
      </c>
      <c r="AC5" s="1">
        <f t="shared" si="2"/>
        <v>7</v>
      </c>
      <c r="AD5" s="1">
        <f>SUM(O11:O13)</f>
        <v>19</v>
      </c>
      <c r="AE5" s="1">
        <f t="shared" si="2"/>
        <v>47</v>
      </c>
      <c r="AF5" s="1">
        <f t="shared" si="2"/>
        <v>107</v>
      </c>
      <c r="AG5" s="1">
        <f t="shared" si="2"/>
        <v>199</v>
      </c>
      <c r="AH5" s="1">
        <f t="shared" si="2"/>
        <v>289</v>
      </c>
      <c r="AI5" s="1">
        <f t="shared" si="2"/>
        <v>349</v>
      </c>
      <c r="AJ5" s="1">
        <f t="shared" si="2"/>
        <v>377</v>
      </c>
    </row>
    <row r="6" spans="1:36" x14ac:dyDescent="0.5">
      <c r="A6" s="20" t="s">
        <v>70</v>
      </c>
      <c r="B6" s="4">
        <v>7.0000000000000007E-2</v>
      </c>
      <c r="C6" s="68" t="s">
        <v>190</v>
      </c>
      <c r="E6" s="1" t="s">
        <v>38</v>
      </c>
      <c r="K6" s="49" t="s">
        <v>117</v>
      </c>
      <c r="L6" s="1" cm="1">
        <f t="array" ref="L6">_xlfn.IFS(SUM(L32:L34)=0,0,0.0485*LN(SUM(L32:L34))+0.0323&lt;0.031,0.031*$B$22,SUM(L32:L34)&gt;0,(0.0485*LN(SUM(L32:L34))+0.0323)*$B$22)</f>
        <v>3.1E-2</v>
      </c>
      <c r="M6" s="1" cm="1">
        <f t="array" ref="M6">_xlfn.IFS(SUM(M32:M34)=0,0,0.0485*LN(SUM(M32:M34))+0.0323&lt;0.031,0.031*$B$22,SUM(M32:M34)&gt;0,(0.0485*LN(SUM(M32:M34))+0.0323)*$B$22)</f>
        <v>3.1E-2</v>
      </c>
      <c r="N6" s="1" cm="1">
        <f t="array" ref="N6">_xlfn.IFS(SUM(N32:N34)=0,0,0.0485*LN(SUM(N32:N34))+0.0323&lt;0.031,0.031*$B$22,SUM(N32:N34)&gt;0,(0.0485*LN(SUM(N32:N34))+0.0323)*$B$22)</f>
        <v>3.8867124894800847E-2</v>
      </c>
      <c r="O6" s="1" cm="1">
        <f t="array" ref="O6">_xlfn.IFS(SUM(O32:O34)=0,0,0.0485*LN(SUM(O32:O34))+0.0323&lt;0.031,0.031*$B$22,SUM(O32:O34)&gt;0,(0.0485*LN(SUM(O32:O34))+0.0323)*$B$22)</f>
        <v>8.8712814275575536E-2</v>
      </c>
      <c r="P6" s="1" cm="1">
        <f t="array" ref="P6">_xlfn.IFS(SUM(P32:P34)=0,0,0.0485*LN(SUM(P32:P34))+0.0323&lt;0.031,0.031*$B$22,SUM(P32:P34)&gt;0,(0.0485*LN(SUM(P32:P34))+0.0323)*$B$22)</f>
        <v>0.13072896383586932</v>
      </c>
      <c r="Q6" s="1" cm="1">
        <f t="array" ref="Q6">_xlfn.IFS(SUM(Q32:Q34)=0,0,0.0485*LN(SUM(Q32:Q34))+0.0323&lt;0.031,0.031*$B$22,SUM(Q32:Q34)&gt;0,(0.0485*LN(SUM(Q32:Q34))+0.0323)*$B$22)</f>
        <v>0.16496404147489852</v>
      </c>
      <c r="R6" s="1" cm="1">
        <f t="array" ref="R6">_xlfn.IFS(SUM(R32:R34)=0,0,0.0485*LN(SUM(R32:R34))+0.0323&lt;0.031,0.031*$B$22,SUM(R32:R34)&gt;0,(0.0485*LN(SUM(R32:R34))+0.0323)*$B$22)</f>
        <v>0.18968871750659491</v>
      </c>
      <c r="S6" s="1" cm="1">
        <f t="array" ref="S6">_xlfn.IFS(SUM(S32:S34)=0,0,0.0485*LN(SUM(S32:S34))+0.0323&lt;0.031,0.031*$B$22,SUM(S32:S34)&gt;0,(0.0485*LN(SUM(S32:S34))+0.0323)*$B$22)</f>
        <v>0.20843490414570195</v>
      </c>
      <c r="T6" s="1" cm="1">
        <f t="array" ref="T6">_xlfn.IFS(SUM(T32:T34)=0,0,0.0485*LN(SUM(T32:T34))+0.0323&lt;0.031,0.031*$B$22,SUM(T32:T34)&gt;0,(0.0485*LN(SUM(T32:T34))+0.0323)*$B$22)</f>
        <v>0.22376246460785476</v>
      </c>
      <c r="U6" s="79" cm="1">
        <f t="array" ref="U6">_xlfn.IFS(SUM(U32:U34)=0,0,0.0485*LN(SUM(U32:U34))+0.0323&lt;0.031,0.031*$B$22,SUM(U32:U34)&gt;0,(0.0485*LN(SUM(U32:U34))+0.0323)*$B$22)</f>
        <v>0.23418736437746754</v>
      </c>
      <c r="W6" s="81" t="s">
        <v>202</v>
      </c>
      <c r="X6" s="81"/>
      <c r="Z6" s="41" t="s">
        <v>165</v>
      </c>
      <c r="AA6" s="1">
        <f t="shared" ref="AA6:AJ6" si="3">SUM(L8:L10)</f>
        <v>11</v>
      </c>
      <c r="AB6" s="1">
        <f>SUM(M8:M10)</f>
        <v>29</v>
      </c>
      <c r="AC6" s="1">
        <f t="shared" si="3"/>
        <v>75</v>
      </c>
      <c r="AD6" s="1">
        <f t="shared" si="3"/>
        <v>188</v>
      </c>
      <c r="AE6" s="1">
        <f t="shared" si="3"/>
        <v>426</v>
      </c>
      <c r="AF6" s="1">
        <f t="shared" si="3"/>
        <v>792</v>
      </c>
      <c r="AG6" s="1">
        <f t="shared" si="3"/>
        <v>1158</v>
      </c>
      <c r="AH6" s="1">
        <f t="shared" si="3"/>
        <v>1396</v>
      </c>
      <c r="AI6" s="1">
        <f t="shared" si="3"/>
        <v>1509</v>
      </c>
      <c r="AJ6" s="1">
        <f t="shared" si="3"/>
        <v>1555</v>
      </c>
    </row>
    <row r="7" spans="1:36" ht="16.149999999999999" thickBot="1" x14ac:dyDescent="0.55000000000000004">
      <c r="A7" s="1" t="s">
        <v>45</v>
      </c>
      <c r="B7" s="1">
        <v>8295</v>
      </c>
      <c r="C7" s="1" t="s">
        <v>55</v>
      </c>
      <c r="D7" s="1" t="s">
        <v>44</v>
      </c>
      <c r="E7" s="1" t="s">
        <v>71</v>
      </c>
      <c r="F7" s="41" t="s">
        <v>38</v>
      </c>
      <c r="K7" s="51" t="s">
        <v>119</v>
      </c>
      <c r="L7" s="9">
        <f t="shared" ref="L7:U7" si="4">IF(L6=0,0,ROUND(IF(SUM(L32:L34)/L6-L5&gt;0,SUM(L32:L34)/L6-L5,0),0))</f>
        <v>3</v>
      </c>
      <c r="M7" s="9">
        <f t="shared" si="4"/>
        <v>11</v>
      </c>
      <c r="N7" s="9">
        <f t="shared" si="4"/>
        <v>26</v>
      </c>
      <c r="O7" s="9">
        <f t="shared" si="4"/>
        <v>33</v>
      </c>
      <c r="P7" s="9">
        <f t="shared" si="4"/>
        <v>55</v>
      </c>
      <c r="Q7" s="9">
        <f t="shared" si="4"/>
        <v>90</v>
      </c>
      <c r="R7" s="9">
        <f t="shared" si="4"/>
        <v>132</v>
      </c>
      <c r="S7" s="9">
        <f t="shared" si="4"/>
        <v>178</v>
      </c>
      <c r="T7" s="9">
        <f t="shared" si="4"/>
        <v>229</v>
      </c>
      <c r="U7" s="8">
        <f t="shared" si="4"/>
        <v>271</v>
      </c>
      <c r="W7" s="68" t="s">
        <v>192</v>
      </c>
      <c r="X7" s="68" t="s">
        <v>193</v>
      </c>
    </row>
    <row r="8" spans="1:36" x14ac:dyDescent="0.5">
      <c r="A8" s="1" t="s">
        <v>36</v>
      </c>
      <c r="B8" s="4">
        <v>0.02</v>
      </c>
      <c r="C8" s="1" t="s">
        <v>43</v>
      </c>
      <c r="E8" s="1" t="s">
        <v>38</v>
      </c>
      <c r="K8" s="49" t="s">
        <v>128</v>
      </c>
      <c r="L8" s="22" cm="1">
        <f t="array" ref="L8">ROUND(_xlfn.IFS(L3&lt;$B$34,0,L3&gt;$B$35,$B$31,$B$35&gt;L3&gt;$B$34,$B$33+($B$31-$B$33)*((1/(1+EXP(-$B$38*(L3-$B$34-$B$36)))^$B$37)))*$B$32,0)</f>
        <v>10</v>
      </c>
      <c r="M8" s="1" cm="1">
        <f t="array" ref="M8">ROUND(_xlfn.IFS(M3&lt;$B$34,0,M3&gt;$B$35,$B$31,$B$35&gt;M3&gt;$B$34,$B$33+($B$31-$B$33)*((1/(1+EXP(-$B$38*(M3-$B$34-$B$36)))^$B$37)))*$B$32,0)</f>
        <v>27</v>
      </c>
      <c r="N8" s="1" cm="1">
        <f t="array" ref="N8">ROUND(_xlfn.IFS(N3&lt;$B$34,0,N3&gt;$B$35,$B$31,$B$35&gt;N3&gt;$B$34,$B$33+($B$31-$B$33)*((1/(1+EXP(-$B$38*(N3-$B$34-$B$36)))^$B$37)))*$B$32,0)</f>
        <v>70</v>
      </c>
      <c r="O8" s="1" cm="1">
        <f t="array" ref="O8">ROUND(_xlfn.IFS(O3&lt;$B$34,0,O3&gt;$B$35,$B$31,$B$35&gt;O3&gt;$B$34,$B$33+($B$31-$B$33)*((1/(1+EXP(-$B$38*(O3-$B$34-$B$36)))^$B$37)))*$B$32,0)</f>
        <v>176</v>
      </c>
      <c r="P8" s="1" cm="1">
        <f t="array" ref="P8">ROUND(_xlfn.IFS(P3&lt;$B$34,0,P3&gt;$B$35,$B$31,$B$35&gt;P3&gt;$B$34,$B$33+($B$31-$B$33)*((1/(1+EXP(-$B$38*(P3-$B$34-$B$36)))^$B$37)))*$B$32,0)</f>
        <v>398</v>
      </c>
      <c r="Q8" s="1" cm="1">
        <f t="array" ref="Q8">ROUND(_xlfn.IFS(Q3&lt;$B$34,0,Q3&gt;$B$35,$B$31,$B$35&gt;Q3&gt;$B$34,$B$33+($B$31-$B$33)*((1/(1+EXP(-$B$38*(Q3-$B$34-$B$36)))^$B$37)))*$B$32,0)</f>
        <v>740</v>
      </c>
      <c r="R8" s="1" cm="1">
        <f t="array" ref="R8">ROUND(_xlfn.IFS(R3&lt;$B$34,0,R3&gt;$B$35,$B$31,$B$35&gt;R3&gt;$B$34,$B$33+($B$31-$B$33)*((1/(1+EXP(-$B$38*(R3-$B$34-$B$36)))^$B$37)))*$B$32,0)</f>
        <v>1082</v>
      </c>
      <c r="S8" s="1" cm="1">
        <f t="array" ref="S8">ROUND(_xlfn.IFS(S3&lt;$B$34,0,S3&gt;$B$35,$B$31,$B$35&gt;S3&gt;$B$34,$B$33+($B$31-$B$33)*((1/(1+EXP(-$B$38*(S3-$B$34-$B$36)))^$B$37)))*$B$32,0)</f>
        <v>1304</v>
      </c>
      <c r="T8" s="1" cm="1">
        <f t="array" ref="T8">ROUND(_xlfn.IFS(T3&lt;$B$34,0,T3&gt;$B$35,$B$31,$B$35&gt;T3&gt;$B$34,$B$33+($B$31-$B$33)*((1/(1+EXP(-$B$38*(T3-$B$34-$B$36)))^$B$37)))*$B$32,0)</f>
        <v>1410</v>
      </c>
      <c r="U8" s="10" cm="1">
        <f t="array" ref="U8">ROUND(_xlfn.IFS(U3&lt;$B$34,0,U3&gt;$B$35,$B$31,$B$35&gt;U3&gt;$B$34,$B$33+($B$31-$B$33)*((1/(1+EXP(-$B$38*(U3-$B$34-$B$36)))^$B$37)))*$B$32,0)</f>
        <v>1453</v>
      </c>
      <c r="W8" s="1">
        <f>SUM(P8:P19)</f>
        <v>499</v>
      </c>
      <c r="X8" s="1">
        <f>SUM(U8:U19)</f>
        <v>3010</v>
      </c>
    </row>
    <row r="9" spans="1:36" x14ac:dyDescent="0.5">
      <c r="A9" s="1" t="s">
        <v>42</v>
      </c>
      <c r="B9" s="1">
        <f>10^-6</f>
        <v>9.9999999999999995E-7</v>
      </c>
      <c r="E9" s="1" t="s">
        <v>38</v>
      </c>
      <c r="K9" s="49" t="s">
        <v>129</v>
      </c>
      <c r="L9" s="50" cm="1">
        <f t="array" ref="L9">ROUND(_xlfn.IFS(L3&lt;$C$34,0,L3&gt;$C$35,$C$31,$C$35&gt;L3&gt;$C$34,$C$33+($C$31-$C$33)*((1/(1+EXP(-$C$38*(L3-$C$34-$C$36)))^$C$37)))*$C$32,0)</f>
        <v>1</v>
      </c>
      <c r="M9" s="47" cm="1">
        <f t="array" ref="M9">ROUND(_xlfn.IFS(M3&lt;$C$34,0,M3&gt;$C$35,$C$31,$C$35&gt;M3&gt;$C$34,$C$33+($C$31-$C$33)*((1/(1+EXP(-$C$38*(M3-$C$34-$C$36)))^$C$37)))*$C$32,0)</f>
        <v>2</v>
      </c>
      <c r="N9" s="47" cm="1">
        <f t="array" ref="N9">ROUND(_xlfn.IFS(N3&lt;$C$34,0,N3&gt;$C$35,$C$31,$C$35&gt;N3&gt;$C$34,$C$33+($C$31-$C$33)*((1/(1+EXP(-$C$38*(N3-$C$34-$C$36)))^$C$37)))*$C$32,0)</f>
        <v>5</v>
      </c>
      <c r="O9" s="47" cm="1">
        <f t="array" ref="O9">ROUND(_xlfn.IFS(O3&lt;$C$34,0,O3&gt;$C$35,$C$31,$C$35&gt;O3&gt;$C$34,$C$33+($C$31-$C$33)*((1/(1+EXP(-$C$38*(O3-$C$34-$C$36)))^$C$37)))*$C$32,0)</f>
        <v>12</v>
      </c>
      <c r="P9" s="47" cm="1">
        <f t="array" ref="P9">ROUND(_xlfn.IFS(P3&lt;$C$34,0,P3&gt;$C$35,$C$31,$C$35&gt;P3&gt;$C$34,$C$33+($C$31-$C$33)*((1/(1+EXP(-$C$38*(P3-$C$34-$C$36)))^$C$37)))*$C$32,0)</f>
        <v>27</v>
      </c>
      <c r="Q9" s="47" cm="1">
        <f t="array" ref="Q9">ROUND(_xlfn.IFS(Q3&lt;$C$34,0,Q3&gt;$C$35,$C$31,$C$35&gt;Q3&gt;$C$34,$C$33+($C$31-$C$33)*((1/(1+EXP(-$C$38*(Q3-$C$34-$C$36)))^$C$37)))*$C$32,0)</f>
        <v>50</v>
      </c>
      <c r="R9" s="47" cm="1">
        <f t="array" ref="R9">ROUND(_xlfn.IFS(R3&lt;$C$34,0,R3&gt;$C$35,$C$31,$C$35&gt;R3&gt;$C$34,$C$33+($C$31-$C$33)*((1/(1+EXP(-$C$38*(R3-$C$34-$C$36)))^$C$37)))*$C$32,0)</f>
        <v>73</v>
      </c>
      <c r="S9" s="47" cm="1">
        <f t="array" ref="S9">ROUND(_xlfn.IFS(S3&lt;$C$34,0,S3&gt;$C$35,$C$31,$C$35&gt;S3&gt;$C$34,$C$33+($C$31-$C$33)*((1/(1+EXP(-$C$38*(S3-$C$34-$C$36)))^$C$37)))*$C$32,0)</f>
        <v>88</v>
      </c>
      <c r="T9" s="47" cm="1">
        <f t="array" ref="T9">ROUND(_xlfn.IFS(T3&lt;$C$34,0,T3&gt;$C$35,$C$31,$C$35&gt;T3&gt;$C$34,$C$33+($C$31-$C$33)*((1/(1+EXP(-$C$38*(T3-$C$34-$C$36)))^$C$37)))*$C$32,0)</f>
        <v>95</v>
      </c>
      <c r="U9" s="48" cm="1">
        <f t="array" ref="U9">ROUND(_xlfn.IFS(U3&lt;$C$34,0,U3&gt;$C$35,$C$31,$C$35&gt;U3&gt;$C$34,$C$33+($C$31-$C$33)*((1/(1+EXP(-$C$38*(U3-$C$34-$C$36)))^$C$37)))*$C$32,0)</f>
        <v>98</v>
      </c>
      <c r="W9" s="68" t="s">
        <v>194</v>
      </c>
      <c r="X9" s="68" t="s">
        <v>195</v>
      </c>
    </row>
    <row r="10" spans="1:36" ht="16.149999999999999" thickBot="1" x14ac:dyDescent="0.55000000000000004">
      <c r="A10" s="1" t="s">
        <v>41</v>
      </c>
      <c r="B10" s="4">
        <v>0.12</v>
      </c>
      <c r="E10" s="1" t="s">
        <v>38</v>
      </c>
      <c r="K10" s="51" t="s">
        <v>130</v>
      </c>
      <c r="L10" s="23" cm="1">
        <f t="array" ref="L10">ROUND(_xlfn.IFS(L3&lt;$D$34,0,L3&gt;$D$35,$D$31,$D$35&gt;L3&gt;$D$34,$D$33+($D$31-$D$33)*((1/(1+EXP(-$D$38*(L3-$D$34-$D$36)))^$D$37)))*$D$32,0)</f>
        <v>0</v>
      </c>
      <c r="M10" s="9" cm="1">
        <f t="array" ref="M10">ROUND(_xlfn.IFS(M3&lt;$D$34,0,M3&gt;$D$35,$D$31,$D$35&gt;M3&gt;$D$34,$D$33+($D$31-$D$33)*((1/(1+EXP(-$D$38*(M3-$D$34-$D$36)))^$D$37)))*$D$32,0)</f>
        <v>0</v>
      </c>
      <c r="N10" s="9" cm="1">
        <f t="array" ref="N10">ROUND(_xlfn.IFS(N3&lt;$D$34,0,N3&gt;$D$35,$D$31,$D$35&gt;N3&gt;$D$34,$D$33+($D$31-$D$33)*((1/(1+EXP(-$D$38*(N3-$D$34-$D$36)))^$D$37)))*$D$32,0)</f>
        <v>0</v>
      </c>
      <c r="O10" s="9" cm="1">
        <f t="array" ref="O10">ROUND(_xlfn.IFS(O3&lt;$D$34,0,O3&gt;$D$35,$D$31,$D$35&gt;O3&gt;$D$34,$D$33+($D$31-$D$33)*((1/(1+EXP(-$D$38*(O3-$D$34-$D$36)))^$D$37)))*$D$32,0)</f>
        <v>0</v>
      </c>
      <c r="P10" s="9" cm="1">
        <f t="array" ref="P10">ROUND(_xlfn.IFS(P3&lt;$D$34,0,P3&gt;$D$35,$D$31,$D$35&gt;P3&gt;$D$34,$D$33+($D$31-$D$33)*((1/(1+EXP(-$D$38*(P3-$D$34-$D$36)))^$D$37)))*$D$32,0)</f>
        <v>1</v>
      </c>
      <c r="Q10" s="9" cm="1">
        <f t="array" ref="Q10">ROUND(_xlfn.IFS(Q3&lt;$D$34,0,Q3&gt;$D$35,$D$31,$D$35&gt;Q3&gt;$D$34,$D$33+($D$31-$D$33)*((1/(1+EXP(-$D$38*(Q3-$D$34-$D$36)))^$D$37)))*$D$32,0)</f>
        <v>2</v>
      </c>
      <c r="R10" s="9" cm="1">
        <f t="array" ref="R10">ROUND(_xlfn.IFS(R3&lt;$D$34,0,R3&gt;$D$35,$D$31,$D$35&gt;R3&gt;$D$34,$D$33+($D$31-$D$33)*((1/(1+EXP(-$D$38*(R3-$D$34-$D$36)))^$D$37)))*$D$32,0)</f>
        <v>3</v>
      </c>
      <c r="S10" s="9" cm="1">
        <f t="array" ref="S10">ROUND(_xlfn.IFS(S3&lt;$D$34,0,S3&gt;$D$35,$D$31,$D$35&gt;S3&gt;$D$34,$D$33+($D$31-$D$33)*((1/(1+EXP(-$D$38*(S3-$D$34-$D$36)))^$D$37)))*$D$32,0)</f>
        <v>4</v>
      </c>
      <c r="T10" s="9" cm="1">
        <f t="array" ref="T10">ROUND(_xlfn.IFS(T3&lt;$D$34,0,T3&gt;$D$35,$D$31,$D$35&gt;T3&gt;$D$34,$D$33+($D$31-$D$33)*((1/(1+EXP(-$D$38*(T3-$D$34-$D$36)))^$D$37)))*$D$32,0)</f>
        <v>4</v>
      </c>
      <c r="U10" s="8" cm="1">
        <f t="array" ref="U10">ROUND(_xlfn.IFS(U3&lt;$D$34,0,U3&gt;$D$35,$D$31,$D$35&gt;U3&gt;$D$34,$D$33+($D$31-$D$33)*((1/(1+EXP(-$D$38*(U3-$D$34-$D$36)))^$D$37)))*$D$32,0)</f>
        <v>4</v>
      </c>
      <c r="W10" s="1">
        <f>P36</f>
        <v>8.4919999999999991</v>
      </c>
      <c r="X10" s="1">
        <f>U36</f>
        <v>66.724999999999994</v>
      </c>
    </row>
    <row r="11" spans="1:36" x14ac:dyDescent="0.5">
      <c r="A11" s="1" t="s">
        <v>35</v>
      </c>
      <c r="B11" s="4">
        <v>0.09</v>
      </c>
      <c r="C11" s="1" t="s">
        <v>51</v>
      </c>
      <c r="F11" s="41" t="s">
        <v>38</v>
      </c>
      <c r="K11" s="55" t="s">
        <v>131</v>
      </c>
      <c r="L11" s="13" cm="1">
        <f t="array" ref="L11">ROUND(_xlfn.IFS(L3&lt;$E$34,0,L3&gt;$E$35,$E$31,$E$35&gt;L3&gt;$E$34,$E$33+($E$31-$E$33)*((1/(1+EXP(-$E$38*(L3-$E$34-$E$36)))^$E$37)))*$E$32,0)</f>
        <v>0</v>
      </c>
      <c r="M11" s="13" cm="1">
        <f t="array" ref="M11">ROUND(_xlfn.IFS(M3&lt;$E$34,0,M3&gt;$E$35,$E$31,$E$35&gt;M3&gt;$E$34,$E$33+($E$31-$E$33)*((1/(1+EXP(-$E$38*(M3-$E$34-$E$36)))^$E$37)))*$E$32,0)</f>
        <v>2</v>
      </c>
      <c r="N11" s="13" cm="1">
        <f t="array" ref="N11">ROUND(_xlfn.IFS(N3&lt;$E$34,0,N3&gt;$E$35,$E$31,$E$35&gt;N3&gt;$E$34,$E$33+($E$31-$E$33)*((1/(1+EXP(-$E$38*(N3-$E$34-$E$36)))^$E$37)))*$E$32,0)</f>
        <v>7</v>
      </c>
      <c r="O11" s="13" cm="1">
        <f t="array" ref="O11">ROUND(_xlfn.IFS(O3&lt;$E$34,0,O3&gt;$E$35,$E$31,$E$35&gt;O3&gt;$E$34,$E$33+($E$31-$E$33)*((1/(1+EXP(-$E$38*(O3-$E$34-$E$36)))^$E$37)))*$E$32,0)</f>
        <v>18</v>
      </c>
      <c r="P11" s="13" cm="1">
        <f t="array" ref="P11">ROUND(_xlfn.IFS(P3&lt;$E$34,0,P3&gt;$E$35,$E$31,$E$35&gt;P3&gt;$E$34,$E$33+($E$31-$E$33)*((1/(1+EXP(-$E$38*(P3-$E$34-$E$36)))^$E$37)))*$E$32,0)</f>
        <v>44</v>
      </c>
      <c r="Q11" s="13" cm="1">
        <f t="array" ref="Q11">ROUND(_xlfn.IFS(Q3&lt;$E$34,0,Q3&gt;$E$35,$E$31,$E$35&gt;Q3&gt;$E$34,$E$33+($E$31-$E$33)*((1/(1+EXP(-$E$38*(Q3-$E$34-$E$36)))^$E$37)))*$E$32,0)</f>
        <v>100</v>
      </c>
      <c r="R11" s="13" cm="1">
        <f t="array" ref="R11">ROUND(_xlfn.IFS(R3&lt;$E$34,0,R3&gt;$E$35,$E$31,$E$35&gt;R3&gt;$E$34,$E$33+($E$31-$E$33)*((1/(1+EXP(-$E$38*(R3-$E$34-$E$36)))^$E$37)))*$E$32,0)</f>
        <v>185</v>
      </c>
      <c r="S11" s="13" cm="1">
        <f t="array" ref="S11">ROUND(_xlfn.IFS(S3&lt;$E$34,0,S3&gt;$E$35,$E$31,$E$35&gt;S3&gt;$E$34,$E$33+($E$31-$E$33)*((1/(1+EXP(-$E$38*(S3-$E$34-$E$36)))^$E$37)))*$E$32,0)</f>
        <v>270</v>
      </c>
      <c r="T11" s="13" cm="1">
        <f t="array" ref="T11">ROUND(_xlfn.IFS(T3&lt;$E$34,0,T3&gt;$E$35,$E$31,$E$35&gt;T3&gt;$E$34,$E$33+($E$31-$E$33)*((1/(1+EXP(-$E$38*(T3-$E$34-$E$36)))^$E$37)))*$E$32,0)</f>
        <v>326</v>
      </c>
      <c r="U11" s="14" cm="1">
        <f t="array" ref="U11">ROUND(_xlfn.IFS(U3&lt;$E$34,0,U3&gt;$E$35,$E$31,$E$35&gt;U3&gt;$E$34,$E$33+($E$31-$E$33)*((1/(1+EXP(-$E$38*(U3-$E$34-$E$36)))^$E$37)))*$E$32,0)</f>
        <v>352</v>
      </c>
      <c r="W11" s="68" t="s">
        <v>196</v>
      </c>
      <c r="X11" s="68" t="s">
        <v>197</v>
      </c>
    </row>
    <row r="12" spans="1:36" x14ac:dyDescent="0.5">
      <c r="A12" s="41" t="s">
        <v>122</v>
      </c>
      <c r="B12" s="1">
        <v>3</v>
      </c>
      <c r="C12" s="41" t="s">
        <v>121</v>
      </c>
      <c r="K12" s="49" t="s">
        <v>132</v>
      </c>
      <c r="L12" s="1" cm="1">
        <f t="array" ref="L12">ROUND(_xlfn.IFS(L3&lt;$F$34,0,L3&gt;$F$35,$F$31,$F$35&gt;L3&gt;$F$34,$F$33+($F$31-$F$33)*((1/(1+EXP(-$F$38*(L3-$F$34-$F$36)))^$F$37)))*$F$32,0)</f>
        <v>0</v>
      </c>
      <c r="M12" s="1" cm="1">
        <f t="array" ref="M12">ROUND(_xlfn.IFS(M3&lt;$F$34,0,M3&gt;$F$35,$F$31,$F$35&gt;M3&gt;$F$34,$F$33+($F$31-$F$33)*((1/(1+EXP(-$F$38*(M3-$F$34-$F$36)))^$F$37)))*$F$32,0)</f>
        <v>0</v>
      </c>
      <c r="N12" s="1" cm="1">
        <f t="array" ref="N12">ROUND(_xlfn.IFS(N3&lt;$F$34,0,N3&gt;$F$35,$F$31,$F$35&gt;N3&gt;$F$34,$F$33+($F$31-$F$33)*((1/(1+EXP(-$F$38*(N3-$F$34-$F$36)))^$F$37)))*$F$32,0)</f>
        <v>0</v>
      </c>
      <c r="O12" s="1" cm="1">
        <f t="array" ref="O12">ROUND(_xlfn.IFS(O3&lt;$F$34,0,O3&gt;$F$35,$F$31,$F$35&gt;O3&gt;$F$34,$F$33+($F$31-$F$33)*((1/(1+EXP(-$F$38*(O3-$F$34-$F$36)))^$F$37)))*$F$32,0)</f>
        <v>1</v>
      </c>
      <c r="P12" s="1" cm="1">
        <f t="array" ref="P12">ROUND(_xlfn.IFS(P3&lt;$F$34,0,P3&gt;$F$35,$F$31,$F$35&gt;P3&gt;$F$34,$F$33+($F$31-$F$33)*((1/(1+EXP(-$F$38*(P3-$F$34-$F$36)))^$F$37)))*$F$32,0)</f>
        <v>3</v>
      </c>
      <c r="Q12" s="1" cm="1">
        <f t="array" ref="Q12">ROUND(_xlfn.IFS(Q3&lt;$F$34,0,Q3&gt;$F$35,$F$31,$F$35&gt;Q3&gt;$F$34,$F$33+($F$31-$F$33)*((1/(1+EXP(-$F$38*(Q3-$F$34-$F$36)))^$F$37)))*$F$32,0)</f>
        <v>7</v>
      </c>
      <c r="R12" s="1" cm="1">
        <f t="array" ref="R12">ROUND(_xlfn.IFS(R3&lt;$F$34,0,R3&gt;$F$35,$F$31,$F$35&gt;R3&gt;$F$34,$F$33+($F$31-$F$33)*((1/(1+EXP(-$F$38*(R3-$F$34-$F$36)))^$F$37)))*$F$32,0)</f>
        <v>13</v>
      </c>
      <c r="S12" s="1" cm="1">
        <f t="array" ref="S12">ROUND(_xlfn.IFS(S3&lt;$F$34,0,S3&gt;$F$35,$F$31,$F$35&gt;S3&gt;$F$34,$F$33+($F$31-$F$33)*((1/(1+EXP(-$F$38*(S3-$F$34-$F$36)))^$F$37)))*$F$32,0)</f>
        <v>18</v>
      </c>
      <c r="T12" s="1" cm="1">
        <f t="array" ref="T12">ROUND(_xlfn.IFS(T3&lt;$F$34,0,T3&gt;$F$35,$F$31,$F$35&gt;T3&gt;$F$34,$F$33+($F$31-$F$33)*((1/(1+EXP(-$F$38*(T3-$F$34-$F$36)))^$F$37)))*$F$32,0)</f>
        <v>22</v>
      </c>
      <c r="U12" s="10" cm="1">
        <f t="array" ref="U12">ROUND(_xlfn.IFS(U3&lt;$F$34,0,U3&gt;$F$35,$F$31,$F$35&gt;U3&gt;$F$34,$F$33+($F$31-$F$33)*((1/(1+EXP(-$F$38*(U3-$F$34-$F$36)))^$F$37)))*$F$32,0)</f>
        <v>24</v>
      </c>
      <c r="W12" s="1">
        <f>P38</f>
        <v>-0.91311403005000003</v>
      </c>
      <c r="X12" s="1">
        <f>U38</f>
        <v>6.5961773625065589</v>
      </c>
    </row>
    <row r="13" spans="1:36" ht="16.149999999999999" thickBot="1" x14ac:dyDescent="0.55000000000000004">
      <c r="A13" s="41" t="s">
        <v>147</v>
      </c>
      <c r="B13" s="1">
        <f>(2000+1000+500)/4</f>
        <v>875</v>
      </c>
      <c r="C13" s="41" t="s">
        <v>150</v>
      </c>
      <c r="D13" s="41" t="s">
        <v>151</v>
      </c>
      <c r="K13" s="51" t="s">
        <v>133</v>
      </c>
      <c r="L13" s="9" cm="1">
        <f t="array" ref="L13">ROUND(_xlfn.IFS(L3&lt;$G$34,0,L3&gt;$G$35,$G$31,$G$35&gt;L3&gt;$G$34,$G$33+($G$31-$G$33)*((1/(1+EXP(-$G$38*(L3-$G$34-$G$36)))^$G$37)))*$G$32,0)</f>
        <v>0</v>
      </c>
      <c r="M13" s="9" cm="1">
        <f t="array" ref="M13">ROUND(_xlfn.IFS(M3&lt;$G$34,0,M3&gt;$G$35,$G$31,$G$35&gt;M3&gt;$G$34,$G$33+($G$31-$G$33)*((1/(1+EXP(-$G$38*(M3-$G$34-$G$36)))^$G$37)))*$G$32,0)</f>
        <v>0</v>
      </c>
      <c r="N13" s="9" cm="1">
        <f t="array" ref="N13">ROUND(_xlfn.IFS(N3&lt;$G$34,0,N3&gt;$G$35,$G$31,$G$35&gt;N3&gt;$G$34,$G$33+($G$31-$G$33)*((1/(1+EXP(-$G$38*(N3-$G$34-$G$36)))^$G$37)))*$G$32,0)</f>
        <v>0</v>
      </c>
      <c r="O13" s="9" cm="1">
        <f t="array" ref="O13">ROUND(_xlfn.IFS(O3&lt;$G$34,0,O3&gt;$G$35,$G$31,$G$35&gt;O3&gt;$G$34,$G$33+($G$31-$G$33)*((1/(1+EXP(-$G$38*(O3-$G$34-$G$36)))^$G$37)))*$G$32,0)</f>
        <v>0</v>
      </c>
      <c r="P13" s="9" cm="1">
        <f t="array" ref="P13">ROUND(_xlfn.IFS(P3&lt;$G$34,0,P3&gt;$G$35,$G$31,$G$35&gt;P3&gt;$G$34,$G$33+($G$31-$G$33)*((1/(1+EXP(-$G$38*(P3-$G$34-$G$36)))^$G$37)))*$G$32,0)</f>
        <v>0</v>
      </c>
      <c r="Q13" s="9" cm="1">
        <f t="array" ref="Q13">ROUND(_xlfn.IFS(Q3&lt;$G$34,0,Q3&gt;$G$35,$G$31,$G$35&gt;Q3&gt;$G$34,$G$33+($G$31-$G$33)*((1/(1+EXP(-$G$38*(Q3-$G$34-$G$36)))^$G$37)))*$G$32,0)</f>
        <v>0</v>
      </c>
      <c r="R13" s="9" cm="1">
        <f t="array" ref="R13">ROUND(_xlfn.IFS(R3&lt;$G$34,0,R3&gt;$G$35,$G$31,$G$35&gt;R3&gt;$G$34,$G$33+($G$31-$G$33)*((1/(1+EXP(-$G$38*(R3-$G$34-$G$36)))^$G$37)))*$G$32,0)</f>
        <v>1</v>
      </c>
      <c r="S13" s="9" cm="1">
        <f t="array" ref="S13">ROUND(_xlfn.IFS(S3&lt;$G$34,0,S3&gt;$G$35,$G$31,$G$35&gt;S3&gt;$G$34,$G$33+($G$31-$G$33)*((1/(1+EXP(-$G$38*(S3-$G$34-$G$36)))^$G$37)))*$G$32,0)</f>
        <v>1</v>
      </c>
      <c r="T13" s="9" cm="1">
        <f t="array" ref="T13">ROUND(_xlfn.IFS(T3&lt;$G$34,0,T3&gt;$G$35,$G$31,$G$35&gt;T3&gt;$G$34,$G$33+($G$31-$G$33)*((1/(1+EXP(-$G$38*(T3-$G$34-$G$36)))^$G$37)))*$G$32,0)</f>
        <v>1</v>
      </c>
      <c r="U13" s="8" cm="1">
        <f t="array" ref="U13">ROUND(_xlfn.IFS(U3&lt;$G$34,0,U3&gt;$G$35,$G$31,$G$35&gt;U3&gt;$G$34,$G$33+($G$31-$G$33)*((1/(1+EXP(-$G$38*(U3-$G$34-$G$36)))^$G$37)))*$G$32,0)</f>
        <v>1</v>
      </c>
      <c r="W13" s="68" t="s">
        <v>198</v>
      </c>
      <c r="X13" s="68" t="s">
        <v>199</v>
      </c>
    </row>
    <row r="14" spans="1:36" x14ac:dyDescent="0.5">
      <c r="A14" s="41" t="s">
        <v>148</v>
      </c>
      <c r="B14" s="1">
        <v>3000</v>
      </c>
      <c r="C14" s="41" t="s">
        <v>150</v>
      </c>
      <c r="D14" s="41" t="s">
        <v>153</v>
      </c>
      <c r="E14" s="1" t="s">
        <v>152</v>
      </c>
      <c r="K14" s="49" t="s">
        <v>125</v>
      </c>
      <c r="L14" s="21" cm="1">
        <f t="array" ref="L14">ROUND(_xlfn.IFS(L3&lt;$B44,0,L3&gt;$B$45,$B$41,$B$45&gt;L3&gt;$B$44,$B$43+($B$41-$B$43)*((1/(1+EXP(-$B$48*(L3-$B$44-$B$46)))^$B$47)))*$B$42,0)</f>
        <v>0</v>
      </c>
      <c r="M14" s="13" cm="1">
        <f t="array" ref="M14">ROUND(_xlfn.IFS(M3&lt;$B44,0,M3&gt;$B$45,$B$41,$B$45&gt;M3&gt;$B$44,$B$43+($B$41-$B$43)*((1/(1+EXP(-$B$48*(M3-$B$44-$B$46)))^$B$47)))*$B$42,0)</f>
        <v>0</v>
      </c>
      <c r="N14" s="13" cm="1">
        <f t="array" ref="N14">ROUND(_xlfn.IFS(N3&lt;$B44,0,N3&gt;$B$45,$B$41,$B$45&gt;N3&gt;$B$44,$B$43+($B$41-$B$43)*((1/(1+EXP(-$B$48*(N3-$B$44-$B$46)))^$B$47)))*$B$42,0)</f>
        <v>0</v>
      </c>
      <c r="O14" s="13" cm="1">
        <f t="array" ref="O14">ROUND(_xlfn.IFS(O3&lt;$B44,0,O3&gt;$B$45,$B$41,$B$45&gt;O3&gt;$B$44,$B$43+($B$41-$B$43)*((1/(1+EXP(-$B$48*(O3-$B$44-$B$46)))^$B$47)))*$B$42,0)</f>
        <v>5</v>
      </c>
      <c r="P14" s="13" cm="1">
        <f t="array" ref="P14">ROUND(_xlfn.IFS(P3&lt;$B44,0,P3&gt;$B$45,$B$41,$B$45&gt;P3&gt;$B$44,$B$43+($B$41-$B$43)*((1/(1+EXP(-$B$48*(P3-$B$44-$B$46)))^$B$47)))*$B$42,0)</f>
        <v>15</v>
      </c>
      <c r="Q14" s="13" cm="1">
        <f t="array" ref="Q14">ROUND(_xlfn.IFS(Q3&lt;$B44,0,Q3&gt;$B$45,$B$41,$B$45&gt;Q3&gt;$B$44,$B$43+($B$41-$B$43)*((1/(1+EXP(-$B$48*(Q3-$B$44-$B$46)))^$B$47)))*$B$42,0)</f>
        <v>39</v>
      </c>
      <c r="R14" s="13" cm="1">
        <f t="array" ref="R14">ROUND(_xlfn.IFS(R3&lt;$B44,0,R3&gt;$B$45,$B$41,$B$45&gt;R3&gt;$B$44,$B$43+($B$41-$B$43)*((1/(1+EXP(-$B$48*(R3-$B$44-$B$46)))^$B$47)))*$B$42,0)</f>
        <v>98</v>
      </c>
      <c r="S14" s="13" cm="1">
        <f t="array" ref="S14">ROUND(_xlfn.IFS(S3&lt;$B44,0,S3&gt;$B$45,$B$41,$B$45&gt;S3&gt;$B$44,$B$43+($B$41-$B$43)*((1/(1+EXP(-$B$48*(S3-$B$44-$B$46)))^$B$47)))*$B$42,0)</f>
        <v>221</v>
      </c>
      <c r="T14" s="13" cm="1">
        <f t="array" ref="T14">ROUND(_xlfn.IFS(T3&lt;$B44,0,T3&gt;$B$45,$B$41,$B$45&gt;T3&gt;$B$44,$B$43+($B$41-$B$43)*((1/(1+EXP(-$B$48*(T3-$B$44-$B$46)))^$B$47)))*$B$42,0)</f>
        <v>410</v>
      </c>
      <c r="U14" s="14" cm="1">
        <f t="array" ref="U14">ROUND(_xlfn.IFS(U3&lt;$B44,0,U3&gt;$B$45,$B$41,$B$45&gt;U3&gt;$B$44,$B$43+($B$41-$B$43)*((1/(1+EXP(-$B$48*(U3-$B$44-$B$46)))^$B$47)))*$B$42,0)</f>
        <v>599</v>
      </c>
      <c r="W14" s="1">
        <f>P40</f>
        <v>-6.9252715590499996</v>
      </c>
      <c r="X14" s="1">
        <f>U40</f>
        <v>14.609773985098364</v>
      </c>
    </row>
    <row r="15" spans="1:36" x14ac:dyDescent="0.5">
      <c r="A15" s="41" t="s">
        <v>149</v>
      </c>
      <c r="B15" s="4">
        <v>0.05</v>
      </c>
      <c r="C15" s="41" t="s">
        <v>43</v>
      </c>
      <c r="D15" s="68" t="s">
        <v>186</v>
      </c>
      <c r="K15" s="49" t="s">
        <v>126</v>
      </c>
      <c r="L15" s="22" cm="1">
        <f t="array" ref="L15">ROUND(_xlfn.IFS(L3&lt;$C44,0,L3&gt;$C$45,$C$41,$C$45&gt;L3&gt;$C$44,$C$43+($C$41-$C$43)*((1/(1+EXP(-$C$48*(L3-$C$44-$C$46)))^$C$47)))*$C$42,0)</f>
        <v>0</v>
      </c>
      <c r="M15" s="1" cm="1">
        <f t="array" ref="M15">ROUND(_xlfn.IFS(M3&lt;$C44,0,M3&gt;$C$45,$C$41,$C$45&gt;M3&gt;$C$44,$C$43+($C$41-$C$43)*((1/(1+EXP(-$C$48*(M3-$C$44-$C$46)))^$C$47)))*$C$42,0)</f>
        <v>0</v>
      </c>
      <c r="N15" s="1" cm="1">
        <f t="array" ref="N15">ROUND(_xlfn.IFS(N3&lt;$C44,0,N3&gt;$C$45,$C$41,$C$45&gt;N3&gt;$C$44,$C$43+($C$41-$C$43)*((1/(1+EXP(-$C$48*(N3-$C$44-$C$46)))^$C$47)))*$C$42,0)</f>
        <v>0</v>
      </c>
      <c r="O15" s="1" cm="1">
        <f t="array" ref="O15">ROUND(_xlfn.IFS(O3&lt;$C44,0,O3&gt;$C$45,$C$41,$C$45&gt;O3&gt;$C$44,$C$43+($C$41-$C$43)*((1/(1+EXP(-$C$48*(O3-$C$44-$C$46)))^$C$47)))*$C$42,0)</f>
        <v>2</v>
      </c>
      <c r="P15" s="1" cm="1">
        <f t="array" ref="P15">ROUND(_xlfn.IFS(P3&lt;$C44,0,P3&gt;$C$45,$C$41,$C$45&gt;P3&gt;$C$44,$C$43+($C$41-$C$43)*((1/(1+EXP(-$C$48*(P3-$C$44-$C$46)))^$C$47)))*$C$42,0)</f>
        <v>5</v>
      </c>
      <c r="Q15" s="1" cm="1">
        <f t="array" ref="Q15">ROUND(_xlfn.IFS(Q3&lt;$C44,0,Q3&gt;$C$45,$C$41,$C$45&gt;Q3&gt;$C$44,$C$43+($C$41-$C$43)*((1/(1+EXP(-$C$48*(Q3-$C$44-$C$46)))^$C$47)))*$C$42,0)</f>
        <v>14</v>
      </c>
      <c r="R15" s="1" cm="1">
        <f t="array" ref="R15">ROUND(_xlfn.IFS(R3&lt;$C44,0,R3&gt;$C$45,$C$41,$C$45&gt;R3&gt;$C$44,$C$43+($C$41-$C$43)*((1/(1+EXP(-$C$48*(R3-$C$44-$C$46)))^$C$47)))*$C$42,0)</f>
        <v>36</v>
      </c>
      <c r="S15" s="1" cm="1">
        <f t="array" ref="S15">ROUND(_xlfn.IFS(S3&lt;$C44,0,S3&gt;$C$45,$C$41,$C$45&gt;S3&gt;$C$44,$C$43+($C$41-$C$43)*((1/(1+EXP(-$C$48*(S3-$C$44-$C$46)))^$C$47)))*$C$42,0)</f>
        <v>81</v>
      </c>
      <c r="T15" s="1" cm="1">
        <f t="array" ref="T15">ROUND(_xlfn.IFS(T3&lt;$C44,0,T3&gt;$C$45,$C$41,$C$45&gt;T3&gt;$C$44,$C$43+($C$41-$C$43)*((1/(1+EXP(-$C$48*(T3-$C$44-$C$46)))^$C$47)))*$C$42,0)</f>
        <v>150</v>
      </c>
      <c r="U15" s="10" cm="1">
        <f t="array" ref="U15">ROUND(_xlfn.IFS(U3&lt;$C44,0,U3&gt;$C$45,$C$41,$C$45&gt;U3&gt;$C$44,$C$43+($C$41-$C$43)*((1/(1+EXP(-$C$48*(U3-$C$44-$C$46)))^$C$47)))*$C$42,0)</f>
        <v>219</v>
      </c>
      <c r="W15" s="68" t="s">
        <v>200</v>
      </c>
      <c r="X15" s="68" t="s">
        <v>201</v>
      </c>
    </row>
    <row r="16" spans="1:36" ht="16.149999999999999" thickBot="1" x14ac:dyDescent="0.55000000000000004">
      <c r="K16" s="51" t="s">
        <v>127</v>
      </c>
      <c r="L16" s="23" cm="1">
        <f t="array" ref="L16">ROUND(_xlfn.IFS(L3&lt;$D44,0,L3&gt;$D$45,$D$41,$D$45&gt;L3&gt;$D$44,$D$43+($D$41-$D$43)*((1/(1+EXP(-$D$48*(L3-$D$44-$D$46)))^$D$47)))*$D$42,0)</f>
        <v>0</v>
      </c>
      <c r="M16" s="9" cm="1">
        <f t="array" ref="M16">ROUND(_xlfn.IFS(M3&lt;$D44,0,M3&gt;$D$45,$D$41,$D$45&gt;M3&gt;$D$44,$D$43+($D$41-$D$43)*((1/(1+EXP(-$D$48*(M3-$D$44-$D$46)))^$D$47)))*$D$42,0)</f>
        <v>0</v>
      </c>
      <c r="N16" s="9" cm="1">
        <f t="array" ref="N16">ROUND(_xlfn.IFS(N3&lt;$D44,0,N3&gt;$D$45,$D$41,$D$45&gt;N3&gt;$D$44,$D$43+($D$41-$D$43)*((1/(1+EXP(-$D$48*(N3-$D$44-$D$46)))^$D$47)))*$D$42,0)</f>
        <v>0</v>
      </c>
      <c r="O16" s="9" cm="1">
        <f t="array" ref="O16">ROUND(_xlfn.IFS(O3&lt;$D44,0,O3&gt;$D$45,$D$41,$D$45&gt;O3&gt;$D$44,$D$43+($D$41-$D$43)*((1/(1+EXP(-$D$48*(O3-$D$44-$D$46)))^$D$47)))*$D$42,0)</f>
        <v>0</v>
      </c>
      <c r="P16" s="9" cm="1">
        <f t="array" ref="P16">ROUND(_xlfn.IFS(P3&lt;$D44,0,P3&gt;$D$45,$D$41,$D$45&gt;P3&gt;$D$44,$D$43+($D$41-$D$43)*((1/(1+EXP(-$D$48*(P3-$D$44-$D$46)))^$D$47)))*$D$42,0)</f>
        <v>1</v>
      </c>
      <c r="Q16" s="9" cm="1">
        <f t="array" ref="Q16">ROUND(_xlfn.IFS(Q3&lt;$D44,0,Q3&gt;$D$45,$D$41,$D$45&gt;Q3&gt;$D$44,$D$43+($D$41-$D$43)*((1/(1+EXP(-$D$48*(Q3-$D$44-$D$46)))^$D$47)))*$D$42,0)</f>
        <v>3</v>
      </c>
      <c r="R16" s="9" cm="1">
        <f t="array" ref="R16">ROUND(_xlfn.IFS(R3&lt;$D44,0,R3&gt;$D$45,$D$41,$D$45&gt;R3&gt;$D$44,$D$43+($D$41-$D$43)*((1/(1+EXP(-$D$48*(R3-$D$44-$D$46)))^$D$47)))*$D$42,0)</f>
        <v>7</v>
      </c>
      <c r="S16" s="9" cm="1">
        <f t="array" ref="S16">ROUND(_xlfn.IFS(S3&lt;$D44,0,S3&gt;$D$45,$D$41,$D$45&gt;S3&gt;$D$44,$D$43+($D$41-$D$43)*((1/(1+EXP(-$D$48*(S3-$D$44-$D$46)))^$D$47)))*$D$42,0)</f>
        <v>16</v>
      </c>
      <c r="T16" s="9" cm="1">
        <f t="array" ref="T16">ROUND(_xlfn.IFS(T3&lt;$D44,0,T3&gt;$D$45,$D$41,$D$45&gt;T3&gt;$D$44,$D$43+($D$41-$D$43)*((1/(1+EXP(-$D$48*(T3-$D$44-$D$46)))^$D$47)))*$D$42,0)</f>
        <v>30</v>
      </c>
      <c r="U16" s="8" cm="1">
        <f t="array" ref="U16">ROUND(_xlfn.IFS(U3&lt;$D44,0,U3&gt;$D$45,$D$41,$D$45&gt;U3&gt;$D$44,$D$43+($D$41-$D$43)*((1/(1+EXP(-$D$48*(U3-$D$44-$D$46)))^$D$47)))*$D$42,0)</f>
        <v>44</v>
      </c>
      <c r="W16" s="1">
        <f>P6*1000000</f>
        <v>130728.96383586932</v>
      </c>
      <c r="X16" s="1">
        <f>U6*1000000</f>
        <v>234187.36437746754</v>
      </c>
    </row>
    <row r="17" spans="1:21" x14ac:dyDescent="0.5">
      <c r="A17" s="6" t="s">
        <v>159</v>
      </c>
      <c r="E17" s="1" t="s">
        <v>38</v>
      </c>
      <c r="F17" s="1" t="s">
        <v>38</v>
      </c>
      <c r="K17" s="55" t="s">
        <v>134</v>
      </c>
      <c r="L17" s="13" cm="1">
        <f t="array" ref="L17">ROUND(_xlfn.IFS(L3&lt;$E44,0,L3&gt;$E$45,$E$41,$E$45&gt;L3&gt;$E$44,$E$43+($E$41-$E$43)*((1/(1+EXP(-$E$48*(L3-$E$44-$E$46)))^$E$47)))*$E$42,0)</f>
        <v>0</v>
      </c>
      <c r="M17" s="13" cm="1">
        <f t="array" ref="M17">ROUND(_xlfn.IFS(M3&lt;$E44,0,M3&gt;$E$45,$E$41,$E$45&gt;M3&gt;$E$44,$E$43+($E$41-$E$43)*((1/(1+EXP(-$E$48*(M3-$E$44-$E$46)))^$E$47)))*$E$42,0)</f>
        <v>0</v>
      </c>
      <c r="N17" s="13" cm="1">
        <f t="array" ref="N17">ROUND(_xlfn.IFS(N3&lt;$E44,0,N3&gt;$E$45,$E$41,$E$45&gt;N3&gt;$E$44,$E$43+($E$41-$E$43)*((1/(1+EXP(-$E$48*(N3-$E$44-$E$46)))^$E$47)))*$E$42,0)</f>
        <v>0</v>
      </c>
      <c r="O17" s="13" cm="1">
        <f t="array" ref="O17">ROUND(_xlfn.IFS(O3&lt;$E44,0,O3&gt;$E$45,$E$41,$E$45&gt;O3&gt;$E$44,$E$43+($E$41-$E$43)*((1/(1+EXP(-$E$48*(O3-$E$44-$E$46)))^$E$47)))*$E$42,0)</f>
        <v>1</v>
      </c>
      <c r="P17" s="13" cm="1">
        <f t="array" ref="P17">ROUND(_xlfn.IFS(P3&lt;$E44,0,P3&gt;$E$45,$E$41,$E$45&gt;P3&gt;$E$44,$E$43+($E$41-$E$43)*((1/(1+EXP(-$E$48*(P3-$E$44-$E$46)))^$E$47)))*$E$42,0)</f>
        <v>4</v>
      </c>
      <c r="Q17" s="13" cm="1">
        <f t="array" ref="Q17">ROUND(_xlfn.IFS(Q3&lt;$E44,0,Q3&gt;$E$45,$E$41,$E$45&gt;Q3&gt;$E$44,$E$43+($E$41-$E$43)*((1/(1+EXP(-$E$48*(Q3-$E$44-$E$46)))^$E$47)))*$E$42,0)</f>
        <v>10</v>
      </c>
      <c r="R17" s="13" cm="1">
        <f t="array" ref="R17">ROUND(_xlfn.IFS(R3&lt;$E44,0,R3&gt;$E$45,$E$41,$E$45&gt;R3&gt;$E$44,$E$43+($E$41-$E$43)*((1/(1+EXP(-$E$48*(R3-$E$44-$E$46)))^$E$47)))*$E$42,0)</f>
        <v>24</v>
      </c>
      <c r="S17" s="13" cm="1">
        <f t="array" ref="S17">ROUND(_xlfn.IFS(S3&lt;$E44,0,S3&gt;$E$45,$E$41,$E$45&gt;S3&gt;$E$44,$E$43+($E$41-$E$43)*((1/(1+EXP(-$E$48*(S3-$E$44-$E$46)))^$E$47)))*$E$42,0)</f>
        <v>55</v>
      </c>
      <c r="T17" s="13" cm="1">
        <f t="array" ref="T17">ROUND(_xlfn.IFS(T3&lt;$E44,0,T3&gt;$E$45,$E$41,$E$45&gt;T3&gt;$E$44,$E$43+($E$41-$E$43)*((1/(1+EXP(-$E$48*(T3-$E$44-$E$46)))^$E$47)))*$E$42,0)</f>
        <v>103</v>
      </c>
      <c r="U17" s="14" cm="1">
        <f t="array" ref="U17">ROUND(_xlfn.IFS(U3&lt;$E44,0,U3&gt;$E$45,$E$41,$E$45&gt;U3&gt;$E$44,$E$43+($E$41-$E$43)*((1/(1+EXP(-$E$48*(U3-$E$44-$E$46)))^$E$47)))*$E$42,0)</f>
        <v>150</v>
      </c>
    </row>
    <row r="18" spans="1:21" x14ac:dyDescent="0.5">
      <c r="A18" s="20" t="s">
        <v>69</v>
      </c>
      <c r="B18" s="4">
        <v>0.2</v>
      </c>
      <c r="C18" s="68" t="s">
        <v>191</v>
      </c>
      <c r="K18" s="49" t="s">
        <v>135</v>
      </c>
      <c r="L18" s="1" cm="1">
        <f t="array" ref="L18">ROUND(_xlfn.IFS(L3&lt;$F44,0,L3&gt;$F$45,$F$41,$F$45&gt;L3&gt;$F$44,$F$43+($F$41-$F$43)*((1/(1+EXP(-$F$48*(L3-$F$44-$F$46)))^$F$47)))*$F$42,0)</f>
        <v>0</v>
      </c>
      <c r="M18" s="1" cm="1">
        <f t="array" ref="M18">ROUND(_xlfn.IFS(M3&lt;$F44,0,M3&gt;$F$45,$F$41,$F$45&gt;M3&gt;$F$44,$F$43+($F$41-$F$43)*((1/(1+EXP(-$F$48*(M3-$F$44-$F$46)))^$F$47)))*$F$42,0)</f>
        <v>0</v>
      </c>
      <c r="N18" s="1" cm="1">
        <f t="array" ref="N18">ROUND(_xlfn.IFS(N3&lt;$F44,0,N3&gt;$F$45,$F$41,$F$45&gt;N3&gt;$F$44,$F$43+($F$41-$F$43)*((1/(1+EXP(-$F$48*(N3-$F$44-$F$46)))^$F$47)))*$F$42,0)</f>
        <v>0</v>
      </c>
      <c r="O18" s="1" cm="1">
        <f t="array" ref="O18">ROUND(_xlfn.IFS(O3&lt;$F44,0,O3&gt;$F$45,$F$41,$F$45&gt;O3&gt;$F$44,$F$43+($F$41-$F$43)*((1/(1+EXP(-$F$48*(O3-$F$44-$F$46)))^$F$47)))*$F$42,0)</f>
        <v>1</v>
      </c>
      <c r="P18" s="1" cm="1">
        <f t="array" ref="P18">ROUND(_xlfn.IFS(P3&lt;$F44,0,P3&gt;$F$45,$F$41,$F$45&gt;P3&gt;$F$44,$F$43+($F$41-$F$43)*((1/(1+EXP(-$F$48*(P3-$F$44-$F$46)))^$F$47)))*$F$42,0)</f>
        <v>1</v>
      </c>
      <c r="Q18" s="1" cm="1">
        <f t="array" ref="Q18">ROUND(_xlfn.IFS(Q3&lt;$F44,0,Q3&gt;$F$45,$F$41,$F$45&gt;Q3&gt;$F$44,$F$43+($F$41-$F$43)*((1/(1+EXP(-$F$48*(Q3-$F$44-$F$46)))^$F$47)))*$F$42,0)</f>
        <v>4</v>
      </c>
      <c r="R18" s="1" cm="1">
        <f t="array" ref="R18">ROUND(_xlfn.IFS(R3&lt;$F44,0,R3&gt;$F$45,$F$41,$F$45&gt;R3&gt;$F$44,$F$43+($F$41-$F$43)*((1/(1+EXP(-$F$48*(R3-$F$44-$F$46)))^$F$47)))*$F$42,0)</f>
        <v>9</v>
      </c>
      <c r="S18" s="1" cm="1">
        <f t="array" ref="S18">ROUND(_xlfn.IFS(S3&lt;$F44,0,S3&gt;$F$45,$F$41,$F$45&gt;S3&gt;$F$44,$F$43+($F$41-$F$43)*((1/(1+EXP(-$F$48*(S3-$F$44-$F$46)))^$F$47)))*$F$42,0)</f>
        <v>20</v>
      </c>
      <c r="T18" s="1" cm="1">
        <f t="array" ref="T18">ROUND(_xlfn.IFS(T3&lt;$F44,0,T3&gt;$F$45,$F$41,$F$45&gt;T3&gt;$F$44,$F$43+($F$41-$F$43)*((1/(1+EXP(-$F$48*(T3-$F$44-$F$46)))^$F$47)))*$F$42,0)</f>
        <v>38</v>
      </c>
      <c r="U18" s="10" cm="1">
        <f t="array" ref="U18">ROUND(_xlfn.IFS(U3&lt;$F44,0,U3&gt;$F$45,$F$41,$F$45&gt;U3&gt;$F$44,$F$43+($F$41-$F$43)*((1/(1+EXP(-$F$48*(U3-$F$44-$F$46)))^$F$47)))*$F$42,0)</f>
        <v>55</v>
      </c>
    </row>
    <row r="19" spans="1:21" ht="16.149999999999999" thickBot="1" x14ac:dyDescent="0.55000000000000004">
      <c r="F19" s="41"/>
      <c r="K19" s="51" t="s">
        <v>136</v>
      </c>
      <c r="L19" s="9" cm="1">
        <f t="array" ref="L19">ROUND(_xlfn.IFS(L3&lt;$G44,0,L3&gt;$G$45,$G$41,$G$45&gt;L3&gt;$G$44,$G$43+($G$41-$G$43)*((1/(1+EXP(-$G$48*(L3-$G$44-$G$46)))^$G$47)))*$G$42,0)</f>
        <v>0</v>
      </c>
      <c r="M19" s="9" cm="1">
        <f t="array" ref="M19">ROUND(_xlfn.IFS(M3&lt;$G44,0,M3&gt;$G$45,$G$41,$G$45&gt;M3&gt;$G$44,$G$43+($G$41-$G$43)*((1/(1+EXP(-$G$48*(M3-$G$44-$G$46)))^$G$47)))*$G$42,0)</f>
        <v>0</v>
      </c>
      <c r="N19" s="9" cm="1">
        <f t="array" ref="N19">ROUND(_xlfn.IFS(N3&lt;$G44,0,N3&gt;$G$45,$G$41,$G$45&gt;N3&gt;$G$44,$G$43+($G$41-$G$43)*((1/(1+EXP(-$G$48*(N3-$G$44-$G$46)))^$G$47)))*$G$42,0)</f>
        <v>0</v>
      </c>
      <c r="O19" s="9" cm="1">
        <f t="array" ref="O19">ROUND(_xlfn.IFS(O3&lt;$G44,0,O3&gt;$G$45,$G$41,$G$45&gt;O3&gt;$G$44,$G$43+($G$41-$G$43)*((1/(1+EXP(-$G$48*(O3-$G$44-$G$46)))^$G$47)))*$G$42,0)</f>
        <v>0</v>
      </c>
      <c r="P19" s="9" cm="1">
        <f t="array" ref="P19">ROUND(_xlfn.IFS(P3&lt;$G44,0,P3&gt;$G$45,$G$41,$G$45&gt;P3&gt;$G$44,$G$43+($G$41-$G$43)*((1/(1+EXP(-$G$48*(P3-$G$44-$G$46)))^$G$47)))*$G$42,0)</f>
        <v>0</v>
      </c>
      <c r="Q19" s="9" cm="1">
        <f t="array" ref="Q19">ROUND(_xlfn.IFS(Q3&lt;$G44,0,Q3&gt;$G$45,$G$41,$G$45&gt;Q3&gt;$G$44,$G$43+($G$41-$G$43)*((1/(1+EXP(-$G$48*(Q3-$G$44-$G$46)))^$G$47)))*$G$42,0)</f>
        <v>1</v>
      </c>
      <c r="R19" s="9" cm="1">
        <f t="array" ref="R19">ROUND(_xlfn.IFS(R3&lt;$G44,0,R3&gt;$G$45,$G$41,$G$45&gt;R3&gt;$G$44,$G$43+($G$41-$G$43)*((1/(1+EXP(-$G$48*(R3-$G$44-$G$46)))^$G$47)))*$G$42,0)</f>
        <v>2</v>
      </c>
      <c r="S19" s="9" cm="1">
        <f t="array" ref="S19">ROUND(_xlfn.IFS(S3&lt;$G44,0,S3&gt;$G$45,$G$41,$G$45&gt;S3&gt;$G$44,$G$43+($G$41-$G$43)*((1/(1+EXP(-$G$48*(S3-$G$44-$G$46)))^$G$47)))*$G$42,0)</f>
        <v>4</v>
      </c>
      <c r="T19" s="9" cm="1">
        <f t="array" ref="T19">ROUND(_xlfn.IFS(T3&lt;$G44,0,T3&gt;$G$45,$G$41,$G$45&gt;T3&gt;$G$44,$G$43+($G$41-$G$43)*((1/(1+EXP(-$G$48*(T3-$G$44-$G$46)))^$G$47)))*$G$42,0)</f>
        <v>8</v>
      </c>
      <c r="U19" s="8" cm="1">
        <f t="array" ref="U19">ROUND(_xlfn.IFS(U3&lt;$G44,0,U3&gt;$G$45,$G$41,$G$45&gt;U3&gt;$G$44,$G$43+($G$41-$G$43)*((1/(1+EXP(-$G$48*(U3-$G$44-$G$46)))^$G$47)))*$G$42,0)</f>
        <v>11</v>
      </c>
    </row>
    <row r="20" spans="1:21" ht="16.149999999999999" thickBot="1" x14ac:dyDescent="0.55000000000000004">
      <c r="K20" s="82" t="s">
        <v>40</v>
      </c>
      <c r="L20" s="83"/>
      <c r="M20" s="83"/>
      <c r="N20" s="83"/>
      <c r="O20" s="83"/>
      <c r="P20" s="83"/>
      <c r="Q20" s="83"/>
      <c r="R20" s="83"/>
      <c r="S20" s="83"/>
      <c r="T20" s="83"/>
      <c r="U20" s="83"/>
    </row>
    <row r="21" spans="1:21" x14ac:dyDescent="0.5">
      <c r="A21" s="6" t="s">
        <v>66</v>
      </c>
      <c r="B21" s="4"/>
      <c r="C21" s="15"/>
      <c r="K21" s="55" t="s">
        <v>173</v>
      </c>
      <c r="L21" s="13">
        <f t="shared" ref="L21:U21" si="5">IF(L36&lt;$B$12,L5*$B$2*$B$9,L5*$B$3*$B$9)</f>
        <v>0.3</v>
      </c>
      <c r="M21" s="13">
        <f t="shared" si="5"/>
        <v>0.3</v>
      </c>
      <c r="N21" s="13">
        <f t="shared" si="5"/>
        <v>0.3</v>
      </c>
      <c r="O21" s="13">
        <f t="shared" si="5"/>
        <v>0.6</v>
      </c>
      <c r="P21" s="13">
        <f t="shared" si="5"/>
        <v>0.6</v>
      </c>
      <c r="Q21" s="13">
        <f t="shared" si="5"/>
        <v>0.6</v>
      </c>
      <c r="R21" s="13">
        <f t="shared" si="5"/>
        <v>0.6</v>
      </c>
      <c r="S21" s="13">
        <f t="shared" si="5"/>
        <v>0.6</v>
      </c>
      <c r="T21" s="13">
        <f t="shared" si="5"/>
        <v>0.6</v>
      </c>
      <c r="U21" s="14">
        <f t="shared" si="5"/>
        <v>0.6</v>
      </c>
    </row>
    <row r="22" spans="1:21" x14ac:dyDescent="0.5">
      <c r="A22" s="41" t="s">
        <v>120</v>
      </c>
      <c r="B22" s="4">
        <v>1</v>
      </c>
      <c r="C22" s="68" t="s">
        <v>183</v>
      </c>
      <c r="K22" s="49" t="s">
        <v>174</v>
      </c>
      <c r="L22" s="1">
        <f t="shared" ref="L22:U22" si="6">L7*$B$5*$B$9*(1+$B$6)^(L3-$L$3)</f>
        <v>0.21</v>
      </c>
      <c r="M22" s="1">
        <f t="shared" si="6"/>
        <v>0.82390000000000008</v>
      </c>
      <c r="N22" s="1">
        <f t="shared" si="6"/>
        <v>2.0837179999999997</v>
      </c>
      <c r="O22" s="1">
        <f t="shared" si="6"/>
        <v>2.8298493300000005</v>
      </c>
      <c r="P22" s="1">
        <f t="shared" si="6"/>
        <v>5.0465646384999996</v>
      </c>
      <c r="Q22" s="1">
        <f t="shared" si="6"/>
        <v>8.8360759034100003</v>
      </c>
      <c r="R22" s="1">
        <f t="shared" si="6"/>
        <v>13.86674845108476</v>
      </c>
      <c r="S22" s="1">
        <f t="shared" si="6"/>
        <v>20.00803719692124</v>
      </c>
      <c r="T22" s="1">
        <f t="shared" si="6"/>
        <v>27.542524462705678</v>
      </c>
      <c r="U22" s="10">
        <f t="shared" si="6"/>
        <v>34.875571259610332</v>
      </c>
    </row>
    <row r="23" spans="1:21" x14ac:dyDescent="0.5">
      <c r="F23" s="41" t="s">
        <v>38</v>
      </c>
      <c r="K23" s="49" t="s">
        <v>175</v>
      </c>
      <c r="L23" s="1">
        <f>(L22+L21)*($B$4-1)</f>
        <v>0.15300000000000002</v>
      </c>
      <c r="M23" s="1">
        <f t="shared" ref="M23:T23" si="7">(M22+M21)*($B$4-1)</f>
        <v>0.33717000000000008</v>
      </c>
      <c r="N23" s="1">
        <f>(N22+N21)*($B$4-1)</f>
        <v>0.71511539999999996</v>
      </c>
      <c r="O23" s="1">
        <f t="shared" si="7"/>
        <v>1.0289547990000003</v>
      </c>
      <c r="P23" s="1">
        <f>(P22+P21)*($B$4-1)</f>
        <v>1.69396939155</v>
      </c>
      <c r="Q23" s="1">
        <f t="shared" si="7"/>
        <v>2.8308227710230005</v>
      </c>
      <c r="R23" s="1">
        <f t="shared" si="7"/>
        <v>4.340024535325429</v>
      </c>
      <c r="S23" s="1">
        <f t="shared" si="7"/>
        <v>6.1824111590763735</v>
      </c>
      <c r="T23" s="1">
        <f t="shared" si="7"/>
        <v>8.4427573388117061</v>
      </c>
      <c r="U23" s="10">
        <f>(U22+U21)*($B$4-1)</f>
        <v>10.642671377883101</v>
      </c>
    </row>
    <row r="24" spans="1:21" x14ac:dyDescent="0.5">
      <c r="F24" s="41" t="s">
        <v>38</v>
      </c>
      <c r="K24" s="49" t="s">
        <v>176</v>
      </c>
      <c r="L24" s="1">
        <f t="shared" ref="L24:U24" si="8">$B$7*(L5+L7)*$B$9</f>
        <v>4.9769999999999995E-2</v>
      </c>
      <c r="M24" s="1">
        <f t="shared" si="8"/>
        <v>0.11613</v>
      </c>
      <c r="N24" s="1">
        <f t="shared" si="8"/>
        <v>0.24055499999999999</v>
      </c>
      <c r="O24" s="1">
        <f t="shared" si="8"/>
        <v>0.29862</v>
      </c>
      <c r="P24" s="1">
        <f t="shared" si="8"/>
        <v>0.48110999999999998</v>
      </c>
      <c r="Q24" s="1">
        <f t="shared" si="8"/>
        <v>0.77143499999999998</v>
      </c>
      <c r="R24" s="1">
        <f t="shared" si="8"/>
        <v>1.1198249999999998</v>
      </c>
      <c r="S24" s="1">
        <f t="shared" si="8"/>
        <v>1.501395</v>
      </c>
      <c r="T24" s="1">
        <f t="shared" si="8"/>
        <v>1.9244399999999999</v>
      </c>
      <c r="U24" s="10">
        <f t="shared" si="8"/>
        <v>2.2728299999999999</v>
      </c>
    </row>
    <row r="25" spans="1:21" x14ac:dyDescent="0.5">
      <c r="F25" s="41" t="s">
        <v>38</v>
      </c>
      <c r="K25" s="49" t="s">
        <v>177</v>
      </c>
      <c r="L25" s="1">
        <f t="shared" ref="L25:U25" si="9">$B$8*L36</f>
        <v>4.1999999999999997E-3</v>
      </c>
      <c r="M25" s="1">
        <f t="shared" si="9"/>
        <v>9.859999999999999E-3</v>
      </c>
      <c r="N25" s="1">
        <f>$B$8*N36</f>
        <v>2.572E-2</v>
      </c>
      <c r="O25" s="1">
        <f>$B$8*O36</f>
        <v>7.2220000000000006E-2</v>
      </c>
      <c r="P25" s="1">
        <f t="shared" si="9"/>
        <v>0.16983999999999999</v>
      </c>
      <c r="Q25" s="1">
        <f t="shared" si="9"/>
        <v>0.33951999999999999</v>
      </c>
      <c r="R25" s="1">
        <f t="shared" si="9"/>
        <v>0.5542999999999999</v>
      </c>
      <c r="S25" s="1">
        <f t="shared" si="9"/>
        <v>0.80393999999999988</v>
      </c>
      <c r="T25" s="1">
        <f t="shared" si="9"/>
        <v>1.09246</v>
      </c>
      <c r="U25" s="10">
        <f t="shared" si="9"/>
        <v>1.3345</v>
      </c>
    </row>
    <row r="26" spans="1:21" x14ac:dyDescent="0.5">
      <c r="K26" s="49" t="s">
        <v>178</v>
      </c>
      <c r="L26" s="1">
        <f>$B$11*L36</f>
        <v>1.89E-2</v>
      </c>
      <c r="M26" s="1">
        <f t="shared" ref="M26:U26" si="10">$B$11*M36</f>
        <v>4.4369999999999993E-2</v>
      </c>
      <c r="N26" s="1">
        <f>$B$11*N36</f>
        <v>0.11574</v>
      </c>
      <c r="O26" s="1">
        <f>$B$11*O36</f>
        <v>0.32499</v>
      </c>
      <c r="P26" s="1">
        <f t="shared" si="10"/>
        <v>0.76427999999999985</v>
      </c>
      <c r="Q26" s="1">
        <f t="shared" si="10"/>
        <v>1.5278399999999999</v>
      </c>
      <c r="R26" s="1">
        <f t="shared" si="10"/>
        <v>2.4943499999999994</v>
      </c>
      <c r="S26" s="1">
        <f t="shared" si="10"/>
        <v>3.6177299999999994</v>
      </c>
      <c r="T26" s="1">
        <f t="shared" si="10"/>
        <v>4.9160699999999995</v>
      </c>
      <c r="U26" s="10">
        <f t="shared" si="10"/>
        <v>6.0052499999999993</v>
      </c>
    </row>
    <row r="27" spans="1:21" x14ac:dyDescent="0.5">
      <c r="K27" s="49" t="s">
        <v>179</v>
      </c>
      <c r="L27" s="1">
        <f t="shared" ref="L27:U27" si="11">(L7+L5)*$B$13*$B$9</f>
        <v>5.2499999999999995E-3</v>
      </c>
      <c r="M27" s="1">
        <f t="shared" si="11"/>
        <v>1.2249999999999999E-2</v>
      </c>
      <c r="N27" s="1">
        <f t="shared" si="11"/>
        <v>2.5374999999999998E-2</v>
      </c>
      <c r="O27" s="1">
        <f t="shared" si="11"/>
        <v>3.15E-2</v>
      </c>
      <c r="P27" s="1">
        <f t="shared" si="11"/>
        <v>5.0749999999999997E-2</v>
      </c>
      <c r="Q27" s="1">
        <f t="shared" si="11"/>
        <v>8.1375000000000003E-2</v>
      </c>
      <c r="R27" s="1">
        <f t="shared" si="11"/>
        <v>0.11812499999999999</v>
      </c>
      <c r="S27" s="1">
        <f t="shared" si="11"/>
        <v>0.15837499999999999</v>
      </c>
      <c r="T27" s="1">
        <f t="shared" si="11"/>
        <v>0.20299999999999999</v>
      </c>
      <c r="U27" s="10">
        <f t="shared" si="11"/>
        <v>0.23974999999999999</v>
      </c>
    </row>
    <row r="28" spans="1:21" ht="16.149999999999999" thickBot="1" x14ac:dyDescent="0.55000000000000004">
      <c r="A28" s="60"/>
      <c r="B28" s="87" t="s">
        <v>104</v>
      </c>
      <c r="C28" s="87"/>
      <c r="D28" s="87"/>
      <c r="E28" s="87"/>
      <c r="F28" s="87"/>
      <c r="G28" s="87"/>
      <c r="K28" s="49" t="s">
        <v>172</v>
      </c>
      <c r="L28" s="1">
        <f t="shared" ref="L28:U28" si="12">(L5+L7)*$B$14*$B$9</f>
        <v>1.7999999999999999E-2</v>
      </c>
      <c r="M28" s="1">
        <f t="shared" si="12"/>
        <v>4.1999999999999996E-2</v>
      </c>
      <c r="N28" s="1">
        <f t="shared" si="12"/>
        <v>8.6999999999999994E-2</v>
      </c>
      <c r="O28" s="1">
        <f t="shared" si="12"/>
        <v>0.108</v>
      </c>
      <c r="P28" s="1">
        <f t="shared" si="12"/>
        <v>0.17399999999999999</v>
      </c>
      <c r="Q28" s="1">
        <f t="shared" si="12"/>
        <v>0.27899999999999997</v>
      </c>
      <c r="R28" s="1">
        <f t="shared" si="12"/>
        <v>0.40499999999999997</v>
      </c>
      <c r="S28" s="1">
        <f t="shared" si="12"/>
        <v>0.54299999999999993</v>
      </c>
      <c r="T28" s="1">
        <f t="shared" si="12"/>
        <v>0.69599999999999995</v>
      </c>
      <c r="U28" s="10">
        <f t="shared" si="12"/>
        <v>0.82199999999999995</v>
      </c>
    </row>
    <row r="29" spans="1:21" ht="16.149999999999999" thickBot="1" x14ac:dyDescent="0.55000000000000004">
      <c r="A29" s="32"/>
      <c r="B29" s="84" t="s">
        <v>123</v>
      </c>
      <c r="C29" s="85"/>
      <c r="D29" s="86"/>
      <c r="E29" s="85" t="s">
        <v>124</v>
      </c>
      <c r="F29" s="85"/>
      <c r="G29" s="85"/>
      <c r="K29" s="51" t="s">
        <v>171</v>
      </c>
      <c r="L29" s="9">
        <f>$B$15*L36</f>
        <v>1.0500000000000001E-2</v>
      </c>
      <c r="M29" s="9">
        <f t="shared" ref="M29:U29" si="13">$B$15*M36</f>
        <v>2.4649999999999998E-2</v>
      </c>
      <c r="N29" s="9">
        <f>$B$15*N36</f>
        <v>6.430000000000001E-2</v>
      </c>
      <c r="O29" s="9">
        <f t="shared" si="13"/>
        <v>0.18055000000000002</v>
      </c>
      <c r="P29" s="9">
        <f t="shared" si="13"/>
        <v>0.42459999999999998</v>
      </c>
      <c r="Q29" s="9">
        <f t="shared" si="13"/>
        <v>0.8488</v>
      </c>
      <c r="R29" s="9">
        <f t="shared" si="13"/>
        <v>1.3857499999999998</v>
      </c>
      <c r="S29" s="9">
        <f t="shared" si="13"/>
        <v>2.0098499999999997</v>
      </c>
      <c r="T29" s="9">
        <f>$B$15*T36</f>
        <v>2.73115</v>
      </c>
      <c r="U29" s="8">
        <f t="shared" si="13"/>
        <v>3.3362499999999997</v>
      </c>
    </row>
    <row r="30" spans="1:21" ht="16.149999999999999" thickBot="1" x14ac:dyDescent="0.55000000000000004">
      <c r="A30" s="52" t="s">
        <v>105</v>
      </c>
      <c r="B30" s="52" t="s">
        <v>106</v>
      </c>
      <c r="C30" s="53" t="s">
        <v>107</v>
      </c>
      <c r="D30" s="54" t="s">
        <v>108</v>
      </c>
      <c r="E30" s="53" t="s">
        <v>106</v>
      </c>
      <c r="F30" s="53" t="s">
        <v>107</v>
      </c>
      <c r="G30" s="54" t="s">
        <v>108</v>
      </c>
      <c r="K30" s="67" t="s">
        <v>170</v>
      </c>
      <c r="L30" s="12">
        <f t="shared" ref="L30:T30" si="14">SUM(L21:L29)</f>
        <v>0.76961999999999997</v>
      </c>
      <c r="M30" s="12">
        <f t="shared" si="14"/>
        <v>1.7103300000000006</v>
      </c>
      <c r="N30" s="12">
        <f>SUM(N21:N29)</f>
        <v>3.6575233999999996</v>
      </c>
      <c r="O30" s="12">
        <f t="shared" si="14"/>
        <v>5.4746841289999999</v>
      </c>
      <c r="P30" s="12">
        <f t="shared" si="14"/>
        <v>9.4051140300499991</v>
      </c>
      <c r="Q30" s="12">
        <f>SUM(Q21:Q29)</f>
        <v>16.114868674433001</v>
      </c>
      <c r="R30" s="12">
        <f t="shared" si="14"/>
        <v>24.88412298641019</v>
      </c>
      <c r="S30" s="12">
        <f>SUM(S21:S29)</f>
        <v>35.424738355997611</v>
      </c>
      <c r="T30" s="12">
        <f t="shared" si="14"/>
        <v>48.14840180151738</v>
      </c>
      <c r="U30" s="11">
        <f>SUM(U21:U29)</f>
        <v>60.128822637493435</v>
      </c>
    </row>
    <row r="31" spans="1:21" ht="16.149999999999999" thickBot="1" x14ac:dyDescent="0.55000000000000004">
      <c r="A31" s="56" t="s">
        <v>109</v>
      </c>
      <c r="B31" s="61">
        <v>0.2</v>
      </c>
      <c r="C31" s="57">
        <v>0.2</v>
      </c>
      <c r="D31" s="58">
        <v>0.2</v>
      </c>
      <c r="E31" s="63">
        <v>0.05</v>
      </c>
      <c r="F31" s="57">
        <v>0.05</v>
      </c>
      <c r="G31" s="58">
        <v>0.05</v>
      </c>
      <c r="K31" s="82" t="s">
        <v>34</v>
      </c>
      <c r="L31" s="83"/>
      <c r="M31" s="83"/>
      <c r="N31" s="83"/>
      <c r="O31" s="83"/>
      <c r="P31" s="83"/>
      <c r="Q31" s="83"/>
      <c r="R31" s="83"/>
      <c r="S31" s="83"/>
      <c r="T31" s="83"/>
      <c r="U31" s="83"/>
    </row>
    <row r="32" spans="1:21" x14ac:dyDescent="0.5">
      <c r="A32" s="44" t="s">
        <v>111</v>
      </c>
      <c r="B32" s="22">
        <v>7400</v>
      </c>
      <c r="C32" s="1">
        <v>500</v>
      </c>
      <c r="D32" s="10">
        <v>20</v>
      </c>
      <c r="E32" s="1">
        <v>7400</v>
      </c>
      <c r="F32" s="1">
        <v>500</v>
      </c>
      <c r="G32" s="10">
        <v>20</v>
      </c>
      <c r="K32" s="55" t="s">
        <v>166</v>
      </c>
      <c r="L32" s="13">
        <f t="shared" ref="L32:U32" si="15">($B$39*L8+L14*$B$49+L11*$E$39+L17*$E$49)*$B$9</f>
        <v>9.9999999999999992E-2</v>
      </c>
      <c r="M32" s="13">
        <f t="shared" si="15"/>
        <v>0.28999999999999998</v>
      </c>
      <c r="N32" s="13">
        <f t="shared" si="15"/>
        <v>0.77</v>
      </c>
      <c r="O32" s="13">
        <f t="shared" si="15"/>
        <v>2</v>
      </c>
      <c r="P32" s="13">
        <f t="shared" si="15"/>
        <v>4.6099999999999994</v>
      </c>
      <c r="Q32" s="13">
        <f t="shared" si="15"/>
        <v>8.8899999999999988</v>
      </c>
      <c r="R32" s="13">
        <f t="shared" si="15"/>
        <v>13.889999999999999</v>
      </c>
      <c r="S32" s="13">
        <f t="shared" si="15"/>
        <v>18.5</v>
      </c>
      <c r="T32" s="13">
        <f t="shared" si="15"/>
        <v>22.49</v>
      </c>
      <c r="U32" s="14">
        <f t="shared" si="15"/>
        <v>25.54</v>
      </c>
    </row>
    <row r="33" spans="1:32" x14ac:dyDescent="0.5">
      <c r="A33" s="44" t="s">
        <v>110</v>
      </c>
      <c r="B33" s="62">
        <v>0</v>
      </c>
      <c r="C33" s="4">
        <v>0</v>
      </c>
      <c r="D33" s="45">
        <v>0</v>
      </c>
      <c r="E33" s="4">
        <v>0</v>
      </c>
      <c r="F33" s="4">
        <v>0</v>
      </c>
      <c r="G33" s="45">
        <v>0</v>
      </c>
      <c r="K33" s="49" t="s">
        <v>167</v>
      </c>
      <c r="L33" s="1">
        <f t="shared" ref="L33:T33" si="16">($C$39*L9+L15*$C$49+L12*$F$39+L18*$F$49)*$B$9</f>
        <v>7.4999999999999997E-2</v>
      </c>
      <c r="M33" s="1">
        <f t="shared" si="16"/>
        <v>0.15</v>
      </c>
      <c r="N33" s="1">
        <f t="shared" si="16"/>
        <v>0.375</v>
      </c>
      <c r="O33" s="1">
        <f t="shared" si="16"/>
        <v>1.2</v>
      </c>
      <c r="P33" s="1">
        <f t="shared" si="16"/>
        <v>2.6999999999999997</v>
      </c>
      <c r="Q33" s="1">
        <f t="shared" si="16"/>
        <v>5.625</v>
      </c>
      <c r="R33" s="1">
        <f t="shared" si="16"/>
        <v>9.8249999999999993</v>
      </c>
      <c r="S33" s="1">
        <f t="shared" si="16"/>
        <v>15.524999999999999</v>
      </c>
      <c r="T33" s="1">
        <f t="shared" si="16"/>
        <v>22.875</v>
      </c>
      <c r="U33" s="10">
        <f>($C$39*U9+U15*$C$49+U12*$F$39+U18*$F$49)*$B$9</f>
        <v>29.7</v>
      </c>
    </row>
    <row r="34" spans="1:32" x14ac:dyDescent="0.5">
      <c r="A34" s="44" t="s">
        <v>113</v>
      </c>
      <c r="B34" s="22">
        <v>0</v>
      </c>
      <c r="C34" s="1">
        <v>0</v>
      </c>
      <c r="D34" s="10">
        <v>0</v>
      </c>
      <c r="E34" s="1">
        <v>1</v>
      </c>
      <c r="F34" s="1">
        <v>1</v>
      </c>
      <c r="G34" s="10">
        <v>1</v>
      </c>
      <c r="K34" s="49" t="s">
        <v>168</v>
      </c>
      <c r="L34" s="1">
        <f t="shared" ref="L34:U34" si="17">($D$39*L10+L16*$D$49+L13*$G$39+L19*$G$49)*$B$9</f>
        <v>0</v>
      </c>
      <c r="M34" s="1">
        <f t="shared" si="17"/>
        <v>0</v>
      </c>
      <c r="N34" s="1">
        <f t="shared" si="17"/>
        <v>0</v>
      </c>
      <c r="O34" s="1">
        <f t="shared" si="17"/>
        <v>0</v>
      </c>
      <c r="P34" s="1">
        <f t="shared" si="17"/>
        <v>0.3</v>
      </c>
      <c r="Q34" s="1">
        <f t="shared" si="17"/>
        <v>0.89999999999999991</v>
      </c>
      <c r="R34" s="1">
        <f t="shared" si="17"/>
        <v>1.95</v>
      </c>
      <c r="S34" s="1">
        <f t="shared" si="17"/>
        <v>3.75</v>
      </c>
      <c r="T34" s="1">
        <f t="shared" si="17"/>
        <v>6.4499999999999993</v>
      </c>
      <c r="U34" s="10">
        <f t="shared" si="17"/>
        <v>9</v>
      </c>
    </row>
    <row r="35" spans="1:32" ht="16.149999999999999" thickBot="1" x14ac:dyDescent="0.55000000000000004">
      <c r="A35" s="44" t="s">
        <v>114</v>
      </c>
      <c r="B35" s="22">
        <v>10</v>
      </c>
      <c r="C35" s="1">
        <v>10</v>
      </c>
      <c r="D35" s="10">
        <v>10</v>
      </c>
      <c r="E35" s="1">
        <v>11</v>
      </c>
      <c r="F35" s="1">
        <v>11</v>
      </c>
      <c r="G35" s="10">
        <v>11</v>
      </c>
      <c r="K35" s="59" t="s">
        <v>69</v>
      </c>
      <c r="L35" s="9">
        <f>((L8)*$B$39+(L9)*$C$39+(L10)*$D$39+(L11)*$E$39+(L12)*$F$39+(L13)*$G$39+(L14)*$B$49+(L15)*$C$49+(L16)*$D$49+(L17)*$E$49+(L18)*$F$49+(L19)*$G$49)*$B$18*$B$9</f>
        <v>3.4999999999999996E-2</v>
      </c>
      <c r="M35" s="9">
        <f t="shared" ref="M35:U35" si="18">((M8-L8)*$B$39+(M9-L9)*$C$39+(M10-L10)*$D$39+(M11-L11)*$E$39+(M12-L12)*$F$39+(M13-L13)*$G$39+(M14-L14)*$B$49+(M15-L15)*$C$49+(M16-L16)*$D$49+(M17-L17)*$E$49+(M18-L18)*$F$49+(M19-L19)*$G$49)*$B$18*$B$9</f>
        <v>5.2999999999999999E-2</v>
      </c>
      <c r="N35" s="9">
        <f t="shared" si="18"/>
        <v>0.14099999999999999</v>
      </c>
      <c r="O35" s="9">
        <f t="shared" si="18"/>
        <v>0.41099999999999998</v>
      </c>
      <c r="P35" s="9">
        <f t="shared" si="18"/>
        <v>0.88200000000000001</v>
      </c>
      <c r="Q35" s="9">
        <f t="shared" si="18"/>
        <v>1.5609999999999999</v>
      </c>
      <c r="R35" s="9">
        <f t="shared" si="18"/>
        <v>2.0499999999999998</v>
      </c>
      <c r="S35" s="9">
        <f t="shared" si="18"/>
        <v>2.4219999999999997</v>
      </c>
      <c r="T35" s="9">
        <f t="shared" si="18"/>
        <v>2.8079999999999998</v>
      </c>
      <c r="U35" s="8">
        <f t="shared" si="18"/>
        <v>2.4849999999999999</v>
      </c>
    </row>
    <row r="36" spans="1:32" ht="16.149999999999999" thickBot="1" x14ac:dyDescent="0.55000000000000004">
      <c r="A36" s="44" t="s">
        <v>112</v>
      </c>
      <c r="B36" s="22">
        <f t="shared" ref="B36:G36" si="19">(B35-B34)/2</f>
        <v>5</v>
      </c>
      <c r="C36" s="1">
        <f t="shared" si="19"/>
        <v>5</v>
      </c>
      <c r="D36" s="10">
        <f t="shared" si="19"/>
        <v>5</v>
      </c>
      <c r="E36" s="1">
        <f t="shared" si="19"/>
        <v>5</v>
      </c>
      <c r="F36" s="1">
        <f t="shared" si="19"/>
        <v>5</v>
      </c>
      <c r="G36" s="10">
        <f t="shared" si="19"/>
        <v>5</v>
      </c>
      <c r="K36" s="67" t="s">
        <v>169</v>
      </c>
      <c r="L36" s="12">
        <f>SUM(L32:L35)</f>
        <v>0.21</v>
      </c>
      <c r="M36" s="12">
        <f>SUM(M32:M35)</f>
        <v>0.49299999999999994</v>
      </c>
      <c r="N36" s="12">
        <f>SUM(N32:N35)</f>
        <v>1.286</v>
      </c>
      <c r="O36" s="12">
        <f t="shared" ref="O36:R36" si="20">SUM(O32:O35)</f>
        <v>3.6110000000000002</v>
      </c>
      <c r="P36" s="12">
        <f>SUM(P32:P35)</f>
        <v>8.4919999999999991</v>
      </c>
      <c r="Q36" s="12">
        <f t="shared" si="20"/>
        <v>16.975999999999999</v>
      </c>
      <c r="R36" s="12">
        <f t="shared" si="20"/>
        <v>27.714999999999996</v>
      </c>
      <c r="S36" s="12">
        <f>SUM(S32:S35)</f>
        <v>40.196999999999996</v>
      </c>
      <c r="T36" s="12">
        <f>SUM(T32:T35)</f>
        <v>54.622999999999998</v>
      </c>
      <c r="U36" s="11">
        <f>SUM(U32:U35)</f>
        <v>66.724999999999994</v>
      </c>
      <c r="W36" s="40"/>
      <c r="X36" s="40"/>
      <c r="Y36" s="40"/>
      <c r="Z36" s="40"/>
      <c r="AA36" s="40"/>
      <c r="AB36" s="40"/>
      <c r="AC36" s="40"/>
      <c r="AD36" s="40"/>
      <c r="AE36" s="40"/>
      <c r="AF36" s="40"/>
    </row>
    <row r="37" spans="1:32" ht="16.149999999999999" thickBot="1" x14ac:dyDescent="0.55000000000000004">
      <c r="A37" s="44" t="s">
        <v>116</v>
      </c>
      <c r="B37" s="22">
        <v>1</v>
      </c>
      <c r="C37" s="1">
        <v>1</v>
      </c>
      <c r="D37" s="10">
        <v>1</v>
      </c>
      <c r="E37" s="1">
        <v>1</v>
      </c>
      <c r="F37" s="1">
        <v>1</v>
      </c>
      <c r="G37" s="10">
        <v>1</v>
      </c>
      <c r="K37" s="82" t="s">
        <v>33</v>
      </c>
      <c r="L37" s="83"/>
      <c r="M37" s="83"/>
      <c r="N37" s="83"/>
      <c r="O37" s="83"/>
      <c r="P37" s="83"/>
      <c r="Q37" s="83"/>
      <c r="R37" s="83"/>
      <c r="S37" s="83"/>
      <c r="T37" s="83"/>
      <c r="U37" s="83"/>
    </row>
    <row r="38" spans="1:32" x14ac:dyDescent="0.5">
      <c r="A38" s="44" t="s">
        <v>115</v>
      </c>
      <c r="B38" s="22">
        <v>1</v>
      </c>
      <c r="C38" s="1">
        <v>1</v>
      </c>
      <c r="D38" s="10">
        <v>1</v>
      </c>
      <c r="E38" s="1">
        <v>1</v>
      </c>
      <c r="F38" s="1">
        <v>1</v>
      </c>
      <c r="G38" s="10">
        <v>1</v>
      </c>
      <c r="K38" s="55" t="s">
        <v>180</v>
      </c>
      <c r="L38" s="13">
        <f>L36-L30</f>
        <v>-0.55962000000000001</v>
      </c>
      <c r="M38" s="13">
        <f>M36-M30</f>
        <v>-1.2173300000000007</v>
      </c>
      <c r="N38" s="13">
        <f t="shared" ref="N38:U38" si="21">N36-N30</f>
        <v>-2.3715233999999996</v>
      </c>
      <c r="O38" s="13">
        <f t="shared" si="21"/>
        <v>-1.8636841289999997</v>
      </c>
      <c r="P38" s="13">
        <f t="shared" si="21"/>
        <v>-0.91311403005000003</v>
      </c>
      <c r="Q38" s="13">
        <f t="shared" si="21"/>
        <v>0.86113132556699767</v>
      </c>
      <c r="R38" s="13">
        <f t="shared" si="21"/>
        <v>2.8308770135898058</v>
      </c>
      <c r="S38" s="13">
        <f t="shared" si="21"/>
        <v>4.7722616440023842</v>
      </c>
      <c r="T38" s="13">
        <f t="shared" si="21"/>
        <v>6.4745981984826173</v>
      </c>
      <c r="U38" s="14">
        <f t="shared" si="21"/>
        <v>6.5961773625065589</v>
      </c>
    </row>
    <row r="39" spans="1:32" ht="16.149999999999999" thickBot="1" x14ac:dyDescent="0.55000000000000004">
      <c r="A39" s="46" t="s">
        <v>39</v>
      </c>
      <c r="B39" s="23">
        <v>10000</v>
      </c>
      <c r="C39" s="9">
        <v>75000</v>
      </c>
      <c r="D39" s="8">
        <v>150000</v>
      </c>
      <c r="E39" s="9">
        <v>10000</v>
      </c>
      <c r="F39" s="9">
        <v>75000</v>
      </c>
      <c r="G39" s="8">
        <v>150000</v>
      </c>
      <c r="K39" s="69" t="s">
        <v>182</v>
      </c>
      <c r="L39" s="66">
        <f t="shared" ref="L39:T39" si="22">(L36-L30)/L36</f>
        <v>-2.664857142857143</v>
      </c>
      <c r="M39" s="66">
        <f t="shared" si="22"/>
        <v>-2.469229208924951</v>
      </c>
      <c r="N39" s="66">
        <f t="shared" si="22"/>
        <v>-1.8441083981337476</v>
      </c>
      <c r="O39" s="66">
        <f t="shared" si="22"/>
        <v>-0.51611302381611734</v>
      </c>
      <c r="P39" s="66">
        <f>(P36-P30)/P36</f>
        <v>-0.10752638130593502</v>
      </c>
      <c r="Q39" s="66">
        <f t="shared" si="22"/>
        <v>5.0726397594662923E-2</v>
      </c>
      <c r="R39" s="66">
        <f>(R36-R30)/R36</f>
        <v>0.1021424143456542</v>
      </c>
      <c r="S39" s="66">
        <f t="shared" si="22"/>
        <v>0.11872183605747655</v>
      </c>
      <c r="T39" s="66">
        <f t="shared" si="22"/>
        <v>0.11853245333435765</v>
      </c>
      <c r="U39" s="43">
        <f>(U36-U30)/U36</f>
        <v>9.885616129646399E-2</v>
      </c>
    </row>
    <row r="40" spans="1:32" ht="16.149999999999999" thickBot="1" x14ac:dyDescent="0.55000000000000004">
      <c r="A40" s="52" t="s">
        <v>118</v>
      </c>
      <c r="B40" s="52" t="s">
        <v>106</v>
      </c>
      <c r="C40" s="53" t="s">
        <v>107</v>
      </c>
      <c r="D40" s="54" t="s">
        <v>108</v>
      </c>
      <c r="E40" s="53" t="s">
        <v>106</v>
      </c>
      <c r="F40" s="53" t="s">
        <v>107</v>
      </c>
      <c r="G40" s="54" t="s">
        <v>108</v>
      </c>
      <c r="K40" s="51" t="s">
        <v>181</v>
      </c>
      <c r="L40" s="9">
        <f>L38</f>
        <v>-0.55962000000000001</v>
      </c>
      <c r="M40" s="9">
        <f>M38+L40</f>
        <v>-1.7769500000000007</v>
      </c>
      <c r="N40" s="9">
        <f>N38+M40</f>
        <v>-4.1484734000000003</v>
      </c>
      <c r="O40" s="9">
        <f>O38+N40</f>
        <v>-6.0121575289999996</v>
      </c>
      <c r="P40" s="9">
        <f>P38+O40</f>
        <v>-6.9252715590499996</v>
      </c>
      <c r="Q40" s="9">
        <f t="shared" ref="Q40:U40" si="23">Q38+P40</f>
        <v>-6.0641402334830019</v>
      </c>
      <c r="R40" s="9">
        <f t="shared" si="23"/>
        <v>-3.2332632198931961</v>
      </c>
      <c r="S40" s="9">
        <f t="shared" si="23"/>
        <v>1.5389984241091881</v>
      </c>
      <c r="T40" s="9">
        <f t="shared" si="23"/>
        <v>8.0135966225918054</v>
      </c>
      <c r="U40" s="8">
        <f t="shared" si="23"/>
        <v>14.609773985098364</v>
      </c>
    </row>
    <row r="41" spans="1:32" ht="16.149999999999999" thickBot="1" x14ac:dyDescent="0.55000000000000004">
      <c r="A41" s="56" t="s">
        <v>109</v>
      </c>
      <c r="B41" s="61">
        <v>0.2</v>
      </c>
      <c r="C41" s="57">
        <v>0.2</v>
      </c>
      <c r="D41" s="58">
        <v>0.2</v>
      </c>
      <c r="E41" s="57">
        <v>0.05</v>
      </c>
      <c r="F41" s="57">
        <v>0.05</v>
      </c>
      <c r="G41" s="58">
        <v>0.05</v>
      </c>
      <c r="K41" s="82" t="s">
        <v>52</v>
      </c>
      <c r="L41" s="83"/>
      <c r="M41" s="83"/>
      <c r="N41" s="83"/>
      <c r="O41" s="83"/>
      <c r="P41" s="83"/>
      <c r="Q41" s="83"/>
      <c r="R41" s="83"/>
      <c r="S41" s="83"/>
      <c r="T41" s="83"/>
      <c r="U41" s="83"/>
    </row>
    <row r="42" spans="1:32" x14ac:dyDescent="0.5">
      <c r="A42" s="44" t="s">
        <v>111</v>
      </c>
      <c r="B42" s="22">
        <v>4100</v>
      </c>
      <c r="C42" s="1">
        <v>1500</v>
      </c>
      <c r="D42" s="10">
        <v>300</v>
      </c>
      <c r="E42" s="1">
        <v>4100</v>
      </c>
      <c r="F42" s="1">
        <v>1500</v>
      </c>
      <c r="G42" s="10">
        <v>300</v>
      </c>
      <c r="K42" s="17" t="s">
        <v>32</v>
      </c>
      <c r="L42" s="13">
        <f t="shared" ref="L42:U42" si="24">L38/(1+$B$10)^(L3-$L$3)</f>
        <v>-0.55962000000000001</v>
      </c>
      <c r="M42" s="13">
        <f t="shared" si="24"/>
        <v>-1.0869017857142862</v>
      </c>
      <c r="N42" s="13">
        <f t="shared" si="24"/>
        <v>-1.8905639349489791</v>
      </c>
      <c r="O42" s="13">
        <f t="shared" si="24"/>
        <v>-1.3265335511855405</v>
      </c>
      <c r="P42" s="13">
        <f t="shared" si="24"/>
        <v>-0.58030047374186733</v>
      </c>
      <c r="Q42" s="13">
        <f t="shared" si="24"/>
        <v>0.4886290404272709</v>
      </c>
      <c r="R42" s="13">
        <f t="shared" si="24"/>
        <v>1.4342103953101086</v>
      </c>
      <c r="S42" s="13">
        <f t="shared" si="24"/>
        <v>2.1587288100468318</v>
      </c>
      <c r="T42" s="13">
        <f t="shared" si="24"/>
        <v>2.6149816202725673</v>
      </c>
      <c r="U42" s="14">
        <f t="shared" si="24"/>
        <v>2.3786476834764199</v>
      </c>
      <c r="V42" s="68" t="s">
        <v>187</v>
      </c>
    </row>
    <row r="43" spans="1:32" ht="16.149999999999999" thickBot="1" x14ac:dyDescent="0.55000000000000004">
      <c r="A43" s="44" t="s">
        <v>110</v>
      </c>
      <c r="B43" s="62">
        <v>0</v>
      </c>
      <c r="C43" s="4">
        <v>0</v>
      </c>
      <c r="D43" s="45">
        <v>0</v>
      </c>
      <c r="E43" s="4">
        <v>0</v>
      </c>
      <c r="F43" s="4">
        <v>0</v>
      </c>
      <c r="G43" s="45">
        <v>0</v>
      </c>
      <c r="K43" s="18" t="s">
        <v>31</v>
      </c>
      <c r="L43" s="9">
        <f>L42</f>
        <v>-0.55962000000000001</v>
      </c>
      <c r="M43" s="9">
        <f t="shared" ref="M43:U43" si="25">M42+L43</f>
        <v>-1.6465217857142862</v>
      </c>
      <c r="N43" s="9">
        <f>N42+M43</f>
        <v>-3.5370857206632653</v>
      </c>
      <c r="O43" s="9">
        <f t="shared" si="25"/>
        <v>-4.8636192718488056</v>
      </c>
      <c r="P43" s="9">
        <f t="shared" si="25"/>
        <v>-5.4439197455906729</v>
      </c>
      <c r="Q43" s="9">
        <f>Q42+P43</f>
        <v>-4.9552907051634021</v>
      </c>
      <c r="R43" s="9">
        <f>R42+Q43</f>
        <v>-3.5210803098532937</v>
      </c>
      <c r="S43" s="9">
        <f>S42+R43</f>
        <v>-1.3623514998064619</v>
      </c>
      <c r="T43" s="9">
        <f t="shared" si="25"/>
        <v>1.2526301204661054</v>
      </c>
      <c r="U43" s="8">
        <f t="shared" si="25"/>
        <v>3.6312778039425253</v>
      </c>
    </row>
    <row r="44" spans="1:32" ht="16.149999999999999" thickBot="1" x14ac:dyDescent="0.55000000000000004">
      <c r="A44" s="44" t="s">
        <v>113</v>
      </c>
      <c r="B44" s="22">
        <v>3</v>
      </c>
      <c r="C44" s="1">
        <v>3</v>
      </c>
      <c r="D44" s="10">
        <v>3</v>
      </c>
      <c r="E44" s="1">
        <v>3</v>
      </c>
      <c r="F44" s="1">
        <v>3</v>
      </c>
      <c r="G44" s="10">
        <v>3</v>
      </c>
      <c r="K44" s="82" t="s">
        <v>62</v>
      </c>
      <c r="L44" s="83"/>
      <c r="M44" s="83"/>
      <c r="N44" s="83"/>
      <c r="O44" s="83"/>
      <c r="P44" s="83"/>
      <c r="Q44" s="83"/>
      <c r="R44" s="83"/>
      <c r="S44" s="83"/>
      <c r="T44" s="83"/>
      <c r="U44" s="83"/>
    </row>
    <row r="45" spans="1:32" x14ac:dyDescent="0.5">
      <c r="A45" s="44" t="s">
        <v>114</v>
      </c>
      <c r="B45" s="22">
        <v>13</v>
      </c>
      <c r="C45" s="1">
        <v>13</v>
      </c>
      <c r="D45" s="10">
        <v>13</v>
      </c>
      <c r="E45" s="1">
        <v>13</v>
      </c>
      <c r="F45" s="1">
        <v>13</v>
      </c>
      <c r="G45" s="10">
        <v>13</v>
      </c>
      <c r="K45" s="70" t="s">
        <v>63</v>
      </c>
      <c r="L45" s="71">
        <v>0</v>
      </c>
      <c r="M45" s="71">
        <v>0</v>
      </c>
      <c r="N45" s="71">
        <v>0</v>
      </c>
      <c r="O45" s="71">
        <v>0</v>
      </c>
      <c r="P45" s="71">
        <v>0</v>
      </c>
      <c r="Q45" s="71">
        <v>0</v>
      </c>
      <c r="R45" s="71">
        <v>0</v>
      </c>
      <c r="S45" s="71">
        <v>0</v>
      </c>
      <c r="T45" s="71">
        <v>0</v>
      </c>
      <c r="U45" s="72">
        <v>0</v>
      </c>
    </row>
    <row r="46" spans="1:32" x14ac:dyDescent="0.5">
      <c r="A46" s="44" t="s">
        <v>112</v>
      </c>
      <c r="B46" s="22">
        <f t="shared" ref="B46:G46" si="26">(B45-B44)/2</f>
        <v>5</v>
      </c>
      <c r="C46" s="1">
        <f t="shared" si="26"/>
        <v>5</v>
      </c>
      <c r="D46" s="10">
        <f t="shared" si="26"/>
        <v>5</v>
      </c>
      <c r="E46" s="1">
        <f t="shared" si="26"/>
        <v>5</v>
      </c>
      <c r="F46" s="1">
        <f t="shared" si="26"/>
        <v>5</v>
      </c>
      <c r="G46" s="10">
        <f t="shared" si="26"/>
        <v>5</v>
      </c>
      <c r="K46" s="73" t="s">
        <v>64</v>
      </c>
      <c r="L46" s="74">
        <f t="shared" ref="L46:U46" si="27">L38+L45</f>
        <v>-0.55962000000000001</v>
      </c>
      <c r="M46" s="74">
        <f t="shared" si="27"/>
        <v>-1.2173300000000007</v>
      </c>
      <c r="N46" s="74">
        <f t="shared" si="27"/>
        <v>-2.3715233999999996</v>
      </c>
      <c r="O46" s="74">
        <f t="shared" si="27"/>
        <v>-1.8636841289999997</v>
      </c>
      <c r="P46" s="74">
        <f t="shared" si="27"/>
        <v>-0.91311403005000003</v>
      </c>
      <c r="Q46" s="74">
        <f t="shared" si="27"/>
        <v>0.86113132556699767</v>
      </c>
      <c r="R46" s="74">
        <f t="shared" si="27"/>
        <v>2.8308770135898058</v>
      </c>
      <c r="S46" s="74">
        <f t="shared" si="27"/>
        <v>4.7722616440023842</v>
      </c>
      <c r="T46" s="74">
        <f t="shared" si="27"/>
        <v>6.4745981984826173</v>
      </c>
      <c r="U46" s="75">
        <f t="shared" si="27"/>
        <v>6.5961773625065589</v>
      </c>
      <c r="V46" s="68" t="s">
        <v>184</v>
      </c>
    </row>
    <row r="47" spans="1:32" ht="16.149999999999999" thickBot="1" x14ac:dyDescent="0.55000000000000004">
      <c r="A47" s="44" t="s">
        <v>116</v>
      </c>
      <c r="B47" s="22">
        <v>1</v>
      </c>
      <c r="C47" s="1">
        <v>1</v>
      </c>
      <c r="D47" s="10">
        <v>1</v>
      </c>
      <c r="E47" s="1">
        <v>1</v>
      </c>
      <c r="F47" s="1">
        <v>1</v>
      </c>
      <c r="G47" s="10">
        <v>1</v>
      </c>
      <c r="K47" s="76" t="s">
        <v>65</v>
      </c>
      <c r="L47" s="77">
        <f>L46</f>
        <v>-0.55962000000000001</v>
      </c>
      <c r="M47" s="77">
        <f t="shared" ref="M47:U47" si="28">L47+M46</f>
        <v>-1.7769500000000007</v>
      </c>
      <c r="N47" s="77">
        <f t="shared" si="28"/>
        <v>-4.1484734000000003</v>
      </c>
      <c r="O47" s="77">
        <f t="shared" si="28"/>
        <v>-6.0121575289999996</v>
      </c>
      <c r="P47" s="77">
        <f t="shared" si="28"/>
        <v>-6.9252715590499996</v>
      </c>
      <c r="Q47" s="77">
        <f t="shared" si="28"/>
        <v>-6.0641402334830019</v>
      </c>
      <c r="R47" s="77">
        <f t="shared" si="28"/>
        <v>-3.2332632198931961</v>
      </c>
      <c r="S47" s="77">
        <f t="shared" si="28"/>
        <v>1.5389984241091881</v>
      </c>
      <c r="T47" s="77">
        <f t="shared" si="28"/>
        <v>8.0135966225918054</v>
      </c>
      <c r="U47" s="78">
        <f t="shared" si="28"/>
        <v>14.609773985098364</v>
      </c>
      <c r="V47" s="68" t="s">
        <v>185</v>
      </c>
    </row>
    <row r="48" spans="1:32" x14ac:dyDescent="0.5">
      <c r="A48" s="44" t="s">
        <v>115</v>
      </c>
      <c r="B48" s="22">
        <v>1</v>
      </c>
      <c r="C48" s="1">
        <v>1</v>
      </c>
      <c r="D48" s="10">
        <v>1</v>
      </c>
      <c r="E48" s="1">
        <v>1</v>
      </c>
      <c r="F48" s="1">
        <v>1</v>
      </c>
      <c r="G48" s="10">
        <v>1</v>
      </c>
    </row>
    <row r="49" spans="1:9" ht="16.149999999999999" thickBot="1" x14ac:dyDescent="0.55000000000000004">
      <c r="A49" s="46" t="s">
        <v>39</v>
      </c>
      <c r="B49" s="23">
        <v>10000</v>
      </c>
      <c r="C49" s="9">
        <v>75000</v>
      </c>
      <c r="D49" s="8">
        <v>150000</v>
      </c>
      <c r="E49" s="9">
        <v>10000</v>
      </c>
      <c r="F49" s="9">
        <v>75000</v>
      </c>
      <c r="G49" s="8">
        <v>150000</v>
      </c>
    </row>
    <row r="53" spans="1:9" x14ac:dyDescent="0.5">
      <c r="H53" s="41"/>
      <c r="I53" s="41"/>
    </row>
    <row r="54" spans="1:9" x14ac:dyDescent="0.5">
      <c r="H54" s="41"/>
      <c r="I54" s="41"/>
    </row>
    <row r="55" spans="1:9" x14ac:dyDescent="0.5">
      <c r="H55" s="41"/>
      <c r="I55" s="41"/>
    </row>
    <row r="56" spans="1:9" x14ac:dyDescent="0.5">
      <c r="H56" s="41"/>
      <c r="I56" s="41"/>
    </row>
    <row r="57" spans="1:9" x14ac:dyDescent="0.5">
      <c r="H57" s="41"/>
      <c r="I57" s="41"/>
    </row>
    <row r="58" spans="1:9" x14ac:dyDescent="0.5">
      <c r="A58" s="42"/>
      <c r="H58" s="41"/>
      <c r="I58" s="41"/>
    </row>
    <row r="83" spans="1:17" x14ac:dyDescent="0.5">
      <c r="A83" s="6" t="s">
        <v>188</v>
      </c>
    </row>
    <row r="84" spans="1:17" x14ac:dyDescent="0.5">
      <c r="A84" s="25" t="s">
        <v>90</v>
      </c>
      <c r="D84" s="40">
        <f t="shared" ref="D84:K84" si="29">N36/M36-1</f>
        <v>1.6085192697768766</v>
      </c>
      <c r="E84" s="40">
        <f t="shared" si="29"/>
        <v>1.8079315707620531</v>
      </c>
      <c r="F84" s="40">
        <f t="shared" si="29"/>
        <v>1.3517031293270558</v>
      </c>
      <c r="G84" s="40">
        <f t="shared" si="29"/>
        <v>0.99905793688177114</v>
      </c>
      <c r="H84" s="40">
        <f t="shared" si="29"/>
        <v>0.6325989632422242</v>
      </c>
      <c r="I84" s="40">
        <f t="shared" si="29"/>
        <v>0.45036983582897361</v>
      </c>
      <c r="J84" s="40">
        <f t="shared" si="29"/>
        <v>0.35888250366942809</v>
      </c>
      <c r="K84" s="40">
        <f t="shared" si="29"/>
        <v>0.22155502260952331</v>
      </c>
    </row>
    <row r="85" spans="1:17" x14ac:dyDescent="0.5">
      <c r="A85" s="25" t="s">
        <v>89</v>
      </c>
      <c r="B85" s="1">
        <f t="shared" ref="B85:K85" si="30">L36/L7</f>
        <v>6.9999999999999993E-2</v>
      </c>
      <c r="C85" s="1">
        <f t="shared" si="30"/>
        <v>4.4818181818181813E-2</v>
      </c>
      <c r="D85" s="1">
        <f t="shared" si="30"/>
        <v>4.946153846153846E-2</v>
      </c>
      <c r="E85" s="1">
        <f t="shared" si="30"/>
        <v>0.10942424242424242</v>
      </c>
      <c r="F85" s="1">
        <f t="shared" si="30"/>
        <v>0.15439999999999998</v>
      </c>
      <c r="G85" s="1">
        <f t="shared" si="30"/>
        <v>0.18862222222222222</v>
      </c>
      <c r="H85" s="1">
        <f t="shared" si="30"/>
        <v>0.20996212121212118</v>
      </c>
      <c r="I85" s="1">
        <f t="shared" si="30"/>
        <v>0.2258258426966292</v>
      </c>
      <c r="J85" s="1">
        <f t="shared" si="30"/>
        <v>0.23852838427947598</v>
      </c>
      <c r="K85" s="1">
        <f t="shared" si="30"/>
        <v>0.24621771217712174</v>
      </c>
    </row>
    <row r="86" spans="1:17" x14ac:dyDescent="0.5">
      <c r="C86" s="41" t="s">
        <v>91</v>
      </c>
      <c r="D86" s="41" t="s">
        <v>91</v>
      </c>
      <c r="E86" s="41" t="s">
        <v>92</v>
      </c>
      <c r="F86" s="41" t="s">
        <v>93</v>
      </c>
      <c r="G86" s="41" t="s">
        <v>94</v>
      </c>
      <c r="H86" s="41" t="s">
        <v>94</v>
      </c>
      <c r="I86" s="41" t="s">
        <v>95</v>
      </c>
      <c r="J86" s="41" t="s">
        <v>95</v>
      </c>
      <c r="K86" s="41" t="s">
        <v>95</v>
      </c>
    </row>
    <row r="88" spans="1:17" x14ac:dyDescent="0.5">
      <c r="C88" s="1">
        <f t="shared" ref="C88:K88" si="31">IF(M36/M6-3&gt;0,M36/M6-3,0)</f>
        <v>12.90322580645161</v>
      </c>
      <c r="D88" s="1">
        <f t="shared" si="31"/>
        <v>30.08708847080235</v>
      </c>
      <c r="E88" s="1">
        <f t="shared" si="31"/>
        <v>37.704378837344393</v>
      </c>
      <c r="F88" s="1">
        <f t="shared" si="31"/>
        <v>61.958825885453621</v>
      </c>
      <c r="G88" s="1">
        <f t="shared" si="31"/>
        <v>99.907275114153435</v>
      </c>
      <c r="H88" s="1">
        <f t="shared" si="31"/>
        <v>143.10779367537464</v>
      </c>
      <c r="I88" s="1">
        <f t="shared" si="31"/>
        <v>189.85157716147745</v>
      </c>
      <c r="J88" s="1">
        <f t="shared" si="31"/>
        <v>241.11154076143725</v>
      </c>
      <c r="K88" s="1">
        <f t="shared" si="31"/>
        <v>281.92143535315341</v>
      </c>
      <c r="Q88" s="80" t="s">
        <v>214</v>
      </c>
    </row>
    <row r="89" spans="1:17" x14ac:dyDescent="0.5">
      <c r="Q89" s="80" t="s">
        <v>215</v>
      </c>
    </row>
    <row r="91" spans="1:17" x14ac:dyDescent="0.5">
      <c r="H91" s="41" t="s">
        <v>96</v>
      </c>
      <c r="I91" s="1" t="s">
        <v>97</v>
      </c>
    </row>
    <row r="92" spans="1:17" x14ac:dyDescent="0.5">
      <c r="H92" s="41" t="s">
        <v>98</v>
      </c>
      <c r="I92" s="41" t="s">
        <v>102</v>
      </c>
    </row>
    <row r="93" spans="1:17" x14ac:dyDescent="0.5">
      <c r="H93" s="41" t="s">
        <v>99</v>
      </c>
    </row>
    <row r="94" spans="1:17" x14ac:dyDescent="0.5">
      <c r="H94" s="41" t="s">
        <v>100</v>
      </c>
      <c r="I94" s="4">
        <v>1.92</v>
      </c>
    </row>
    <row r="95" spans="1:17" x14ac:dyDescent="0.5">
      <c r="H95" s="41" t="s">
        <v>101</v>
      </c>
      <c r="I95" s="4">
        <v>1.21</v>
      </c>
    </row>
    <row r="96" spans="1:17" x14ac:dyDescent="0.5">
      <c r="H96" s="41" t="s">
        <v>103</v>
      </c>
      <c r="I96" s="4">
        <v>1.1000000000000001</v>
      </c>
    </row>
    <row r="99" spans="6:11" x14ac:dyDescent="0.5">
      <c r="F99" s="1">
        <f>0.0485*LN(1.276)+0.0323</f>
        <v>4.4120913968746012E-2</v>
      </c>
    </row>
    <row r="101" spans="6:11" x14ac:dyDescent="0.5">
      <c r="F101" s="1">
        <v>1</v>
      </c>
      <c r="G101" s="1">
        <v>3.1375E-2</v>
      </c>
    </row>
    <row r="102" spans="6:11" x14ac:dyDescent="0.5">
      <c r="F102" s="1">
        <v>2</v>
      </c>
      <c r="G102" s="1">
        <v>7.3332999999999995E-2</v>
      </c>
      <c r="J102" s="1" cm="1">
        <f t="array" ref="J102:K102">LINEST(G101:G106,F101:F106)</f>
        <v>7.0601905572096977E-3</v>
      </c>
      <c r="K102" s="1">
        <v>5.3267761236353336E-2</v>
      </c>
    </row>
    <row r="103" spans="6:11" x14ac:dyDescent="0.5">
      <c r="F103" s="1">
        <v>4</v>
      </c>
      <c r="G103" s="1">
        <v>9.4787999999999997E-2</v>
      </c>
    </row>
    <row r="104" spans="6:11" x14ac:dyDescent="0.5">
      <c r="F104" s="1">
        <v>7.5</v>
      </c>
      <c r="G104" s="1">
        <v>0.125</v>
      </c>
      <c r="J104" s="1">
        <v>6.4219481071884302E-3</v>
      </c>
      <c r="K104" s="1">
        <v>6.9185594782362206E-2</v>
      </c>
    </row>
    <row r="105" spans="6:11" x14ac:dyDescent="0.5">
      <c r="F105" s="1">
        <v>15</v>
      </c>
      <c r="G105" s="1">
        <v>0.15834400000000001</v>
      </c>
    </row>
    <row r="106" spans="6:11" x14ac:dyDescent="0.5">
      <c r="F106" s="1">
        <v>20</v>
      </c>
      <c r="G106" s="1">
        <v>0.18624599999999999</v>
      </c>
    </row>
  </sheetData>
  <mergeCells count="11">
    <mergeCell ref="K2:U2"/>
    <mergeCell ref="K4:U4"/>
    <mergeCell ref="K20:U20"/>
    <mergeCell ref="K31:U31"/>
    <mergeCell ref="K37:U37"/>
    <mergeCell ref="W6:X6"/>
    <mergeCell ref="K44:U44"/>
    <mergeCell ref="B29:D29"/>
    <mergeCell ref="E29:G29"/>
    <mergeCell ref="B28:G28"/>
    <mergeCell ref="K41:U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A814C-94A2-1346-A050-14A22A75BE71}">
  <dimension ref="A1:D11"/>
  <sheetViews>
    <sheetView topLeftCell="A4" workbookViewId="0">
      <selection activeCell="D5" sqref="D5"/>
    </sheetView>
  </sheetViews>
  <sheetFormatPr defaultColWidth="10.6640625" defaultRowHeight="14.25" x14ac:dyDescent="0.45"/>
  <cols>
    <col min="1" max="1" width="22.796875" bestFit="1" customWidth="1"/>
    <col min="3" max="3" width="65.6640625" customWidth="1"/>
  </cols>
  <sheetData>
    <row r="1" spans="1:4" x14ac:dyDescent="0.45">
      <c r="A1" s="64" t="s">
        <v>105</v>
      </c>
    </row>
    <row r="2" spans="1:4" ht="57" x14ac:dyDescent="0.45">
      <c r="A2" t="s">
        <v>140</v>
      </c>
      <c r="B2">
        <v>7945</v>
      </c>
      <c r="C2" s="19" t="s">
        <v>145</v>
      </c>
      <c r="D2" s="65" t="s">
        <v>141</v>
      </c>
    </row>
    <row r="3" spans="1:4" ht="28.5" x14ac:dyDescent="0.45">
      <c r="A3" t="s">
        <v>142</v>
      </c>
      <c r="B3">
        <v>500</v>
      </c>
      <c r="C3" s="19" t="s">
        <v>146</v>
      </c>
    </row>
    <row r="4" spans="1:4" ht="114" x14ac:dyDescent="0.45">
      <c r="A4" t="s">
        <v>143</v>
      </c>
      <c r="B4">
        <v>20</v>
      </c>
      <c r="C4" s="19" t="s">
        <v>144</v>
      </c>
      <c r="D4" t="s">
        <v>213</v>
      </c>
    </row>
    <row r="7" spans="1:4" x14ac:dyDescent="0.45">
      <c r="A7" s="64" t="s">
        <v>118</v>
      </c>
    </row>
    <row r="8" spans="1:4" x14ac:dyDescent="0.45">
      <c r="A8" t="s">
        <v>137</v>
      </c>
      <c r="B8">
        <f>0.7*B11</f>
        <v>4130</v>
      </c>
      <c r="C8" t="s">
        <v>158</v>
      </c>
    </row>
    <row r="9" spans="1:4" x14ac:dyDescent="0.45">
      <c r="A9" t="s">
        <v>138</v>
      </c>
      <c r="B9">
        <f>0.25*B11</f>
        <v>1475</v>
      </c>
      <c r="C9" t="s">
        <v>157</v>
      </c>
    </row>
    <row r="10" spans="1:4" x14ac:dyDescent="0.45">
      <c r="A10" t="s">
        <v>139</v>
      </c>
      <c r="B10">
        <f>0.05*B11</f>
        <v>295</v>
      </c>
      <c r="C10" t="s">
        <v>156</v>
      </c>
    </row>
    <row r="11" spans="1:4" ht="71.25" x14ac:dyDescent="0.45">
      <c r="A11" t="s">
        <v>154</v>
      </c>
      <c r="B11">
        <v>5900</v>
      </c>
      <c r="C11" s="19" t="s">
        <v>155</v>
      </c>
    </row>
  </sheetData>
  <hyperlinks>
    <hyperlink ref="D2" r:id="rId1" xr:uid="{40DD3880-3C15-2C40-AFF5-0987AF334A7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9979A-FE6D-EC41-A0C0-71EAE84C6BFE}">
  <dimension ref="A2:R111"/>
  <sheetViews>
    <sheetView topLeftCell="A8" workbookViewId="0">
      <selection activeCell="J109" sqref="J109"/>
    </sheetView>
  </sheetViews>
  <sheetFormatPr defaultColWidth="10.796875" defaultRowHeight="15.75" x14ac:dyDescent="0.5"/>
  <cols>
    <col min="1" max="1" width="34.1328125" style="1" customWidth="1"/>
    <col min="2" max="2" width="20.6640625" style="1" customWidth="1"/>
    <col min="3" max="4" width="10.796875" style="1"/>
    <col min="5" max="5" width="12.6640625" style="1" bestFit="1" customWidth="1"/>
    <col min="6" max="8" width="10.796875" style="1"/>
    <col min="9" max="9" width="12.1328125" style="1" bestFit="1" customWidth="1"/>
    <col min="10" max="10" width="17.796875" style="1" bestFit="1" customWidth="1"/>
    <col min="11" max="11" width="21.1328125" style="1" customWidth="1"/>
    <col min="12" max="12" width="21" style="1" bestFit="1" customWidth="1"/>
    <col min="13" max="13" width="25.46484375" style="1" bestFit="1" customWidth="1"/>
    <col min="14" max="14" width="22.6640625" style="1" bestFit="1" customWidth="1"/>
    <col min="15" max="15" width="20.46484375" style="1" bestFit="1" customWidth="1"/>
    <col min="16" max="16" width="20" style="1" bestFit="1" customWidth="1"/>
    <col min="17" max="17" width="23.33203125" style="1" bestFit="1" customWidth="1"/>
    <col min="18" max="18" width="22.6640625" style="1" bestFit="1" customWidth="1"/>
    <col min="19" max="16384" width="10.796875" style="1"/>
  </cols>
  <sheetData>
    <row r="2" spans="1:18" x14ac:dyDescent="0.5">
      <c r="A2" s="6" t="s">
        <v>30</v>
      </c>
      <c r="C2" s="1" t="s">
        <v>13</v>
      </c>
      <c r="D2" s="1" t="s">
        <v>29</v>
      </c>
      <c r="E2" s="1" t="s">
        <v>28</v>
      </c>
      <c r="F2" s="1" t="s">
        <v>12</v>
      </c>
    </row>
    <row r="3" spans="1:18" x14ac:dyDescent="0.5">
      <c r="A3" s="1" t="s">
        <v>7</v>
      </c>
      <c r="C3" s="1">
        <v>2.5</v>
      </c>
      <c r="D3" s="1">
        <v>0.5</v>
      </c>
      <c r="E3" s="1">
        <v>4</v>
      </c>
      <c r="F3" s="1">
        <v>33</v>
      </c>
      <c r="I3" s="1" t="s">
        <v>27</v>
      </c>
      <c r="J3" s="7">
        <v>44717</v>
      </c>
      <c r="K3" s="7">
        <v>44756</v>
      </c>
      <c r="L3" s="7">
        <v>45043</v>
      </c>
      <c r="M3" s="7">
        <v>45194</v>
      </c>
      <c r="N3" s="7">
        <v>45216</v>
      </c>
      <c r="O3" s="7">
        <v>45324</v>
      </c>
      <c r="P3" s="7">
        <v>45467</v>
      </c>
      <c r="Q3" s="7">
        <v>45548</v>
      </c>
      <c r="R3" s="7">
        <v>45587</v>
      </c>
    </row>
    <row r="4" spans="1:18" x14ac:dyDescent="0.5">
      <c r="A4" s="1" t="s">
        <v>6</v>
      </c>
      <c r="C4" s="1">
        <f>C5-C3</f>
        <v>5</v>
      </c>
      <c r="D4" s="5">
        <f>D5-D3</f>
        <v>7.5</v>
      </c>
      <c r="E4" s="5">
        <f>E5-E3</f>
        <v>11</v>
      </c>
      <c r="F4" s="5">
        <f>F5-F3</f>
        <v>27</v>
      </c>
      <c r="I4" s="1" t="s">
        <v>26</v>
      </c>
      <c r="J4" s="1">
        <v>8</v>
      </c>
      <c r="K4" s="1">
        <v>10</v>
      </c>
      <c r="L4" s="1">
        <v>16</v>
      </c>
      <c r="M4" s="1">
        <v>27</v>
      </c>
      <c r="N4" s="1">
        <v>25</v>
      </c>
      <c r="O4" s="1">
        <v>35</v>
      </c>
      <c r="P4" s="1">
        <v>48</v>
      </c>
      <c r="Q4" s="1">
        <v>49</v>
      </c>
      <c r="R4" s="1">
        <v>27</v>
      </c>
    </row>
    <row r="5" spans="1:18" x14ac:dyDescent="0.5">
      <c r="A5" s="1" t="s">
        <v>5</v>
      </c>
      <c r="C5" s="1">
        <v>7.5</v>
      </c>
      <c r="D5" s="5">
        <v>8</v>
      </c>
      <c r="E5" s="5">
        <v>15</v>
      </c>
      <c r="F5" s="5">
        <v>60</v>
      </c>
    </row>
    <row r="7" spans="1:18" x14ac:dyDescent="0.5">
      <c r="A7" s="1" t="s">
        <v>4</v>
      </c>
      <c r="C7" s="3">
        <f>C3/C5</f>
        <v>0.33333333333333331</v>
      </c>
      <c r="D7" s="3">
        <f>D3/D5</f>
        <v>6.25E-2</v>
      </c>
      <c r="E7" s="3">
        <f>E3/E5</f>
        <v>0.26666666666666666</v>
      </c>
      <c r="F7" s="3">
        <f>F3/F5</f>
        <v>0.55000000000000004</v>
      </c>
    </row>
    <row r="8" spans="1:18" x14ac:dyDescent="0.5">
      <c r="A8" s="1" t="s">
        <v>3</v>
      </c>
      <c r="B8" s="4">
        <v>1</v>
      </c>
      <c r="C8" s="3">
        <f>B8-B8*C7</f>
        <v>0.66666666666666674</v>
      </c>
      <c r="D8" s="3">
        <f>C8-C8*D7</f>
        <v>0.62500000000000011</v>
      </c>
      <c r="E8" s="3">
        <f>D8-D8*E7</f>
        <v>0.45833333333333343</v>
      </c>
      <c r="F8" s="3">
        <f>E8-E8*F7</f>
        <v>0.20625000000000004</v>
      </c>
    </row>
    <row r="9" spans="1:18" x14ac:dyDescent="0.5">
      <c r="A9" s="2" t="s">
        <v>2</v>
      </c>
      <c r="C9" s="1">
        <f>C5*C8</f>
        <v>5.0000000000000009</v>
      </c>
      <c r="D9" s="1">
        <f>D5*D8</f>
        <v>5.0000000000000009</v>
      </c>
      <c r="E9" s="1">
        <f>E5*E8</f>
        <v>6.8750000000000018</v>
      </c>
      <c r="F9" s="1">
        <f>F5*F8</f>
        <v>12.375000000000004</v>
      </c>
    </row>
    <row r="10" spans="1:18" x14ac:dyDescent="0.5">
      <c r="B10" s="1">
        <v>2021</v>
      </c>
      <c r="C10" s="1">
        <v>2021</v>
      </c>
      <c r="D10" s="1">
        <v>2022</v>
      </c>
      <c r="E10" s="1">
        <v>2022</v>
      </c>
      <c r="F10" s="1">
        <v>2024</v>
      </c>
    </row>
    <row r="13" spans="1:18" x14ac:dyDescent="0.5">
      <c r="A13" s="6" t="s">
        <v>25</v>
      </c>
      <c r="C13" s="1" t="s">
        <v>13</v>
      </c>
      <c r="D13" s="1" t="s">
        <v>12</v>
      </c>
      <c r="E13" s="1" t="s">
        <v>24</v>
      </c>
      <c r="F13" s="1" t="s">
        <v>11</v>
      </c>
      <c r="G13" s="1" t="s">
        <v>10</v>
      </c>
      <c r="H13" s="1" t="s">
        <v>9</v>
      </c>
      <c r="I13" s="1" t="s">
        <v>23</v>
      </c>
      <c r="K13" s="1">
        <v>2020</v>
      </c>
      <c r="L13" s="1">
        <v>2023</v>
      </c>
      <c r="M13" s="1">
        <v>2024</v>
      </c>
    </row>
    <row r="14" spans="1:18" x14ac:dyDescent="0.5">
      <c r="A14" s="1" t="s">
        <v>7</v>
      </c>
      <c r="C14" s="1">
        <v>2.1</v>
      </c>
      <c r="D14" s="1">
        <v>18.100000000000001</v>
      </c>
      <c r="E14" s="1">
        <v>12.08</v>
      </c>
      <c r="F14" s="1">
        <v>13.6</v>
      </c>
      <c r="G14" s="1">
        <v>35</v>
      </c>
      <c r="H14" s="1">
        <v>85</v>
      </c>
      <c r="I14" s="1">
        <v>200</v>
      </c>
      <c r="K14" s="15" t="s">
        <v>56</v>
      </c>
      <c r="L14" s="15" t="s">
        <v>58</v>
      </c>
      <c r="M14" s="15" t="s">
        <v>60</v>
      </c>
    </row>
    <row r="15" spans="1:18" x14ac:dyDescent="0.5">
      <c r="A15" s="1" t="s">
        <v>6</v>
      </c>
      <c r="C15" s="1">
        <f t="shared" ref="C15:I15" si="0">C16-C14</f>
        <v>25</v>
      </c>
      <c r="D15" s="5">
        <f t="shared" si="0"/>
        <v>36.9</v>
      </c>
      <c r="E15" s="1">
        <f t="shared" si="0"/>
        <v>70</v>
      </c>
      <c r="F15" s="1">
        <f t="shared" si="0"/>
        <v>80</v>
      </c>
      <c r="G15" s="1">
        <f t="shared" si="0"/>
        <v>965</v>
      </c>
      <c r="H15" s="1">
        <f t="shared" si="0"/>
        <v>1915</v>
      </c>
      <c r="I15" s="1">
        <f t="shared" si="0"/>
        <v>3800</v>
      </c>
      <c r="K15" s="15" t="s">
        <v>57</v>
      </c>
      <c r="L15" s="15" t="s">
        <v>59</v>
      </c>
      <c r="M15" s="15" t="s">
        <v>61</v>
      </c>
    </row>
    <row r="16" spans="1:18" x14ac:dyDescent="0.5">
      <c r="A16" s="1" t="s">
        <v>5</v>
      </c>
      <c r="C16" s="1">
        <v>27.1</v>
      </c>
      <c r="D16" s="5">
        <v>55</v>
      </c>
      <c r="E16" s="1">
        <v>82.08</v>
      </c>
      <c r="F16" s="1">
        <v>93.6</v>
      </c>
      <c r="G16" s="1">
        <v>1000</v>
      </c>
      <c r="H16" s="1">
        <v>2000</v>
      </c>
      <c r="I16" s="1">
        <v>4000</v>
      </c>
    </row>
    <row r="18" spans="1:9" x14ac:dyDescent="0.5">
      <c r="A18" s="1" t="s">
        <v>4</v>
      </c>
      <c r="C18" s="3">
        <f t="shared" ref="C18:I18" si="1">C14/C16</f>
        <v>7.7490774907749083E-2</v>
      </c>
      <c r="D18" s="3">
        <f t="shared" si="1"/>
        <v>0.3290909090909091</v>
      </c>
      <c r="E18" s="3">
        <f t="shared" si="1"/>
        <v>0.14717348927875243</v>
      </c>
      <c r="F18" s="3">
        <f t="shared" si="1"/>
        <v>0.14529914529914531</v>
      </c>
      <c r="G18" s="3">
        <f t="shared" si="1"/>
        <v>3.5000000000000003E-2</v>
      </c>
      <c r="H18" s="3">
        <f t="shared" si="1"/>
        <v>4.2500000000000003E-2</v>
      </c>
      <c r="I18" s="3">
        <f t="shared" si="1"/>
        <v>0.05</v>
      </c>
    </row>
    <row r="19" spans="1:9" x14ac:dyDescent="0.5">
      <c r="A19" s="1" t="s">
        <v>3</v>
      </c>
      <c r="B19" s="4">
        <v>1</v>
      </c>
      <c r="C19" s="3">
        <f t="shared" ref="C19:I19" si="2">B19-B19*C18</f>
        <v>0.92250922509225086</v>
      </c>
      <c r="D19" s="3">
        <f t="shared" si="2"/>
        <v>0.61891982556189196</v>
      </c>
      <c r="E19" s="3">
        <f t="shared" si="2"/>
        <v>0.52783123525015152</v>
      </c>
      <c r="F19" s="3">
        <f t="shared" si="2"/>
        <v>0.45113780790611241</v>
      </c>
      <c r="G19" s="3">
        <f t="shared" si="2"/>
        <v>0.4353479846293985</v>
      </c>
      <c r="H19" s="3">
        <f t="shared" si="2"/>
        <v>0.41684569528264909</v>
      </c>
      <c r="I19" s="3">
        <f t="shared" si="2"/>
        <v>0.39600341051851662</v>
      </c>
    </row>
    <row r="20" spans="1:9" x14ac:dyDescent="0.5">
      <c r="A20" s="2" t="s">
        <v>2</v>
      </c>
      <c r="C20" s="1">
        <f t="shared" ref="C20:I20" si="3">C16*C19</f>
        <v>25</v>
      </c>
      <c r="D20" s="1">
        <f t="shared" si="3"/>
        <v>34.040590405904055</v>
      </c>
      <c r="E20" s="1">
        <f t="shared" si="3"/>
        <v>43.324387789332434</v>
      </c>
      <c r="F20" s="1">
        <f t="shared" si="3"/>
        <v>42.226498820012118</v>
      </c>
      <c r="G20" s="1">
        <f t="shared" si="3"/>
        <v>435.34798462939852</v>
      </c>
      <c r="H20" s="1">
        <f t="shared" si="3"/>
        <v>833.69139056529821</v>
      </c>
      <c r="I20" s="1">
        <f t="shared" si="3"/>
        <v>1584.0136420740664</v>
      </c>
    </row>
    <row r="21" spans="1:9" x14ac:dyDescent="0.5">
      <c r="B21" s="1">
        <v>2013</v>
      </c>
      <c r="C21" s="1">
        <v>2014</v>
      </c>
      <c r="D21" s="1">
        <v>2016</v>
      </c>
      <c r="E21" s="1" t="s">
        <v>1</v>
      </c>
      <c r="F21" s="1">
        <v>2018</v>
      </c>
      <c r="G21" s="1">
        <v>2020</v>
      </c>
      <c r="H21" s="1">
        <v>2021</v>
      </c>
      <c r="I21" s="1">
        <v>2023</v>
      </c>
    </row>
    <row r="24" spans="1:9" x14ac:dyDescent="0.5">
      <c r="A24" s="6" t="s">
        <v>22</v>
      </c>
      <c r="C24" s="1" t="s">
        <v>13</v>
      </c>
    </row>
    <row r="25" spans="1:9" x14ac:dyDescent="0.5">
      <c r="A25" s="1" t="s">
        <v>7</v>
      </c>
      <c r="C25" s="1">
        <v>16</v>
      </c>
    </row>
    <row r="26" spans="1:9" x14ac:dyDescent="0.5">
      <c r="A26" s="1" t="s">
        <v>6</v>
      </c>
      <c r="C26" s="5">
        <f>C27-C25</f>
        <v>14</v>
      </c>
    </row>
    <row r="27" spans="1:9" x14ac:dyDescent="0.5">
      <c r="A27" s="1" t="s">
        <v>5</v>
      </c>
      <c r="C27" s="5">
        <v>30</v>
      </c>
    </row>
    <row r="29" spans="1:9" x14ac:dyDescent="0.5">
      <c r="A29" s="1" t="s">
        <v>4</v>
      </c>
      <c r="C29" s="3">
        <f>C25/C27</f>
        <v>0.53333333333333333</v>
      </c>
    </row>
    <row r="30" spans="1:9" x14ac:dyDescent="0.5">
      <c r="A30" s="1" t="s">
        <v>3</v>
      </c>
      <c r="B30" s="4">
        <v>1</v>
      </c>
      <c r="C30" s="3">
        <f>B30-B30*C29</f>
        <v>0.46666666666666667</v>
      </c>
    </row>
    <row r="31" spans="1:9" x14ac:dyDescent="0.5">
      <c r="A31" s="2" t="s">
        <v>2</v>
      </c>
      <c r="C31" s="1">
        <f>C27*C30</f>
        <v>14</v>
      </c>
    </row>
    <row r="32" spans="1:9" x14ac:dyDescent="0.5">
      <c r="C32" s="1">
        <v>2024</v>
      </c>
    </row>
    <row r="35" spans="1:9" x14ac:dyDescent="0.5">
      <c r="A35" s="6" t="s">
        <v>21</v>
      </c>
      <c r="C35" s="1" t="s">
        <v>20</v>
      </c>
      <c r="D35" s="1" t="s">
        <v>12</v>
      </c>
      <c r="E35" s="1" t="s">
        <v>12</v>
      </c>
      <c r="F35" s="1" t="s">
        <v>20</v>
      </c>
      <c r="G35" s="1" t="s">
        <v>11</v>
      </c>
      <c r="H35" s="1" t="s">
        <v>10</v>
      </c>
    </row>
    <row r="36" spans="1:9" x14ac:dyDescent="0.5">
      <c r="A36" s="1" t="s">
        <v>7</v>
      </c>
      <c r="C36" s="1">
        <v>1.31</v>
      </c>
      <c r="D36" s="1">
        <v>1.77</v>
      </c>
      <c r="E36" s="1">
        <v>4.2300000000000004</v>
      </c>
      <c r="F36" s="1">
        <v>1.72</v>
      </c>
      <c r="G36" s="1">
        <v>43.55</v>
      </c>
      <c r="H36" s="1">
        <v>2.36</v>
      </c>
    </row>
    <row r="37" spans="1:9" x14ac:dyDescent="0.5">
      <c r="A37" s="1" t="s">
        <v>6</v>
      </c>
      <c r="C37" s="5">
        <f t="shared" ref="C37:H37" si="4">C38-C36</f>
        <v>3.69</v>
      </c>
      <c r="D37" s="5">
        <f t="shared" si="4"/>
        <v>8.23</v>
      </c>
      <c r="E37" s="5">
        <f t="shared" si="4"/>
        <v>15.77</v>
      </c>
      <c r="F37" s="5">
        <f t="shared" si="4"/>
        <v>18.28</v>
      </c>
      <c r="G37" s="1">
        <f t="shared" si="4"/>
        <v>141.76</v>
      </c>
      <c r="H37" s="5">
        <f t="shared" si="4"/>
        <v>197.64</v>
      </c>
    </row>
    <row r="38" spans="1:9" x14ac:dyDescent="0.5">
      <c r="A38" s="1" t="s">
        <v>5</v>
      </c>
      <c r="C38" s="5">
        <v>5</v>
      </c>
      <c r="D38" s="5">
        <v>10</v>
      </c>
      <c r="E38" s="5">
        <v>20</v>
      </c>
      <c r="F38" s="5">
        <v>20</v>
      </c>
      <c r="G38" s="1">
        <v>185.31</v>
      </c>
      <c r="H38" s="5">
        <v>200</v>
      </c>
    </row>
    <row r="40" spans="1:9" x14ac:dyDescent="0.5">
      <c r="A40" s="1" t="s">
        <v>4</v>
      </c>
      <c r="C40" s="3">
        <f t="shared" ref="C40:H40" si="5">C36/C38</f>
        <v>0.26200000000000001</v>
      </c>
      <c r="D40" s="3">
        <f t="shared" si="5"/>
        <v>0.17699999999999999</v>
      </c>
      <c r="E40" s="3">
        <f t="shared" si="5"/>
        <v>0.21150000000000002</v>
      </c>
      <c r="F40" s="3">
        <f t="shared" si="5"/>
        <v>8.5999999999999993E-2</v>
      </c>
      <c r="G40" s="3">
        <f t="shared" si="5"/>
        <v>0.23501160218013056</v>
      </c>
      <c r="H40" s="3">
        <f t="shared" si="5"/>
        <v>1.18E-2</v>
      </c>
    </row>
    <row r="41" spans="1:9" x14ac:dyDescent="0.5">
      <c r="A41" s="1" t="s">
        <v>3</v>
      </c>
      <c r="B41" s="4">
        <v>1</v>
      </c>
      <c r="C41" s="3">
        <f t="shared" ref="C41:H41" si="6">B41-B41*C40</f>
        <v>0.73799999999999999</v>
      </c>
      <c r="D41" s="3">
        <f t="shared" si="6"/>
        <v>0.60737399999999997</v>
      </c>
      <c r="E41" s="3">
        <f t="shared" si="6"/>
        <v>0.47891439899999999</v>
      </c>
      <c r="F41" s="3">
        <f t="shared" si="6"/>
        <v>0.437727760686</v>
      </c>
      <c r="G41" s="3">
        <f t="shared" si="6"/>
        <v>0.33485665832846234</v>
      </c>
      <c r="H41" s="3">
        <f t="shared" si="6"/>
        <v>0.33090534976018648</v>
      </c>
    </row>
    <row r="42" spans="1:9" x14ac:dyDescent="0.5">
      <c r="A42" s="2" t="s">
        <v>2</v>
      </c>
      <c r="C42" s="1">
        <f t="shared" ref="C42:H42" si="7">C38*C41</f>
        <v>3.69</v>
      </c>
      <c r="D42" s="1">
        <f t="shared" si="7"/>
        <v>6.0737399999999999</v>
      </c>
      <c r="E42" s="1">
        <f t="shared" si="7"/>
        <v>9.5782879799999989</v>
      </c>
      <c r="F42" s="1">
        <f t="shared" si="7"/>
        <v>8.7545552137199998</v>
      </c>
      <c r="G42" s="1">
        <f t="shared" si="7"/>
        <v>62.052287354847358</v>
      </c>
      <c r="H42" s="1">
        <f t="shared" si="7"/>
        <v>66.181069952037291</v>
      </c>
    </row>
    <row r="43" spans="1:9" x14ac:dyDescent="0.5">
      <c r="C43" s="1">
        <v>2017</v>
      </c>
      <c r="D43" s="1">
        <v>2017</v>
      </c>
      <c r="E43" s="1">
        <v>2019</v>
      </c>
      <c r="F43" s="1">
        <v>2020</v>
      </c>
      <c r="G43" s="1">
        <v>2021</v>
      </c>
      <c r="H43" s="1">
        <v>2021</v>
      </c>
    </row>
    <row r="46" spans="1:9" x14ac:dyDescent="0.5">
      <c r="A46" s="6" t="s">
        <v>19</v>
      </c>
      <c r="C46" s="1" t="s">
        <v>13</v>
      </c>
      <c r="D46" s="1" t="s">
        <v>13</v>
      </c>
      <c r="E46" s="1" t="s">
        <v>13</v>
      </c>
      <c r="F46" s="1" t="s">
        <v>12</v>
      </c>
      <c r="G46" s="1" t="s">
        <v>11</v>
      </c>
      <c r="H46" s="1" t="s">
        <v>10</v>
      </c>
      <c r="I46" s="1" t="s">
        <v>18</v>
      </c>
    </row>
    <row r="47" spans="1:9" x14ac:dyDescent="0.5">
      <c r="A47" s="1" t="s">
        <v>7</v>
      </c>
      <c r="C47" s="1">
        <v>0.125</v>
      </c>
      <c r="D47" s="1">
        <v>0.7</v>
      </c>
      <c r="E47" s="1">
        <v>3.6</v>
      </c>
      <c r="F47" s="1">
        <v>8</v>
      </c>
      <c r="G47" s="1">
        <v>11</v>
      </c>
      <c r="H47" s="1">
        <v>23</v>
      </c>
      <c r="I47" s="1">
        <v>38.799999999999997</v>
      </c>
    </row>
    <row r="48" spans="1:9" x14ac:dyDescent="0.5">
      <c r="A48" s="1" t="s">
        <v>6</v>
      </c>
      <c r="C48" s="1">
        <f t="shared" ref="C48:I48" si="8">C49-C47</f>
        <v>0.2</v>
      </c>
      <c r="D48" s="1">
        <f t="shared" si="8"/>
        <v>4</v>
      </c>
      <c r="E48" s="1">
        <f t="shared" si="8"/>
        <v>9</v>
      </c>
      <c r="F48" s="1">
        <f t="shared" si="8"/>
        <v>46</v>
      </c>
      <c r="G48" s="1">
        <f t="shared" si="8"/>
        <v>55</v>
      </c>
      <c r="H48" s="1">
        <f t="shared" si="8"/>
        <v>50</v>
      </c>
      <c r="I48" s="1">
        <f t="shared" si="8"/>
        <v>75.08</v>
      </c>
    </row>
    <row r="49" spans="1:11" x14ac:dyDescent="0.5">
      <c r="A49" s="1" t="s">
        <v>5</v>
      </c>
      <c r="C49" s="1">
        <v>0.32500000000000001</v>
      </c>
      <c r="D49" s="1">
        <v>4.7</v>
      </c>
      <c r="E49" s="1">
        <v>12.6</v>
      </c>
      <c r="F49" s="1">
        <v>54</v>
      </c>
      <c r="G49" s="1">
        <v>66</v>
      </c>
      <c r="H49" s="1">
        <v>73</v>
      </c>
      <c r="I49" s="1">
        <v>113.88</v>
      </c>
    </row>
    <row r="51" spans="1:11" x14ac:dyDescent="0.5">
      <c r="A51" s="1" t="s">
        <v>4</v>
      </c>
      <c r="C51" s="3">
        <f t="shared" ref="C51:I51" si="9">C47/C49</f>
        <v>0.38461538461538458</v>
      </c>
      <c r="D51" s="3">
        <f t="shared" si="9"/>
        <v>0.14893617021276595</v>
      </c>
      <c r="E51" s="3">
        <f t="shared" si="9"/>
        <v>0.28571428571428575</v>
      </c>
      <c r="F51" s="3">
        <f t="shared" si="9"/>
        <v>0.14814814814814814</v>
      </c>
      <c r="G51" s="3">
        <f t="shared" si="9"/>
        <v>0.16666666666666666</v>
      </c>
      <c r="H51" s="3">
        <f t="shared" si="9"/>
        <v>0.31506849315068491</v>
      </c>
      <c r="I51" s="3">
        <f t="shared" si="9"/>
        <v>0.34070951879171057</v>
      </c>
    </row>
    <row r="52" spans="1:11" x14ac:dyDescent="0.5">
      <c r="A52" s="1" t="s">
        <v>3</v>
      </c>
      <c r="B52" s="4">
        <v>1</v>
      </c>
      <c r="C52" s="3">
        <f t="shared" ref="C52:I52" si="10">B52-B52*C51</f>
        <v>0.61538461538461542</v>
      </c>
      <c r="D52" s="3">
        <f t="shared" si="10"/>
        <v>0.52373158756137483</v>
      </c>
      <c r="E52" s="3">
        <f t="shared" si="10"/>
        <v>0.37409399111526775</v>
      </c>
      <c r="F52" s="3">
        <f t="shared" si="10"/>
        <v>0.31867265909819104</v>
      </c>
      <c r="G52" s="3">
        <f t="shared" si="10"/>
        <v>0.26556054924849254</v>
      </c>
      <c r="H52" s="3">
        <f t="shared" si="10"/>
        <v>0.18189078715650175</v>
      </c>
      <c r="I52" s="3">
        <f t="shared" si="10"/>
        <v>0.1199188645917646</v>
      </c>
    </row>
    <row r="53" spans="1:11" x14ac:dyDescent="0.5">
      <c r="A53" s="2" t="s">
        <v>2</v>
      </c>
      <c r="C53" s="1">
        <f t="shared" ref="C53:I53" si="11">C49*C52</f>
        <v>0.2</v>
      </c>
      <c r="D53" s="1">
        <f t="shared" si="11"/>
        <v>2.4615384615384617</v>
      </c>
      <c r="E53" s="1">
        <f t="shared" si="11"/>
        <v>4.7135842880523739</v>
      </c>
      <c r="F53" s="1">
        <f t="shared" si="11"/>
        <v>17.208323591302317</v>
      </c>
      <c r="G53" s="1">
        <f t="shared" si="11"/>
        <v>17.526996250400508</v>
      </c>
      <c r="H53" s="1">
        <f t="shared" si="11"/>
        <v>13.278027462424628</v>
      </c>
      <c r="I53" s="1">
        <f t="shared" si="11"/>
        <v>13.656360299710151</v>
      </c>
    </row>
    <row r="54" spans="1:11" x14ac:dyDescent="0.5">
      <c r="C54" s="1" t="s">
        <v>1</v>
      </c>
      <c r="D54" s="1" t="s">
        <v>1</v>
      </c>
      <c r="E54" s="1">
        <v>2014</v>
      </c>
      <c r="F54" s="1">
        <v>2016</v>
      </c>
      <c r="G54" s="1">
        <v>2016</v>
      </c>
      <c r="H54" s="1">
        <v>2022</v>
      </c>
      <c r="I54" s="1">
        <v>2023</v>
      </c>
    </row>
    <row r="57" spans="1:11" x14ac:dyDescent="0.5">
      <c r="A57" s="6" t="s">
        <v>17</v>
      </c>
      <c r="C57" s="1" t="s">
        <v>12</v>
      </c>
      <c r="D57" s="1" t="s">
        <v>11</v>
      </c>
      <c r="E57" s="1" t="s">
        <v>16</v>
      </c>
      <c r="F57" s="1" t="s">
        <v>8</v>
      </c>
      <c r="G57" s="1" t="s">
        <v>11</v>
      </c>
    </row>
    <row r="58" spans="1:11" x14ac:dyDescent="0.5">
      <c r="A58" s="1" t="s">
        <v>7</v>
      </c>
      <c r="C58" s="1">
        <v>17.940000000000001</v>
      </c>
      <c r="D58" s="1">
        <v>12.5</v>
      </c>
      <c r="E58" s="1">
        <v>1.55</v>
      </c>
      <c r="F58" s="1">
        <v>8.5</v>
      </c>
      <c r="G58" s="1">
        <v>4.7</v>
      </c>
      <c r="K58" s="1" t="s">
        <v>15</v>
      </c>
    </row>
    <row r="59" spans="1:11" x14ac:dyDescent="0.5">
      <c r="A59" s="1" t="s">
        <v>6</v>
      </c>
      <c r="E59" s="5">
        <f>E60-E58</f>
        <v>150.94999999999999</v>
      </c>
      <c r="F59" s="5">
        <f>F60-F58</f>
        <v>191.5</v>
      </c>
      <c r="G59" s="5">
        <f>G60-G58</f>
        <v>195.3</v>
      </c>
    </row>
    <row r="60" spans="1:11" x14ac:dyDescent="0.5">
      <c r="A60" s="1" t="s">
        <v>5</v>
      </c>
      <c r="C60" s="1">
        <v>54.94</v>
      </c>
      <c r="D60" s="1">
        <v>152.5</v>
      </c>
      <c r="E60" s="5">
        <v>152.5</v>
      </c>
      <c r="F60" s="5">
        <v>200</v>
      </c>
      <c r="G60" s="5">
        <v>200</v>
      </c>
    </row>
    <row r="62" spans="1:11" x14ac:dyDescent="0.5">
      <c r="A62" s="1" t="s">
        <v>4</v>
      </c>
      <c r="C62" s="3">
        <f>C58/C60</f>
        <v>0.32653804149981802</v>
      </c>
      <c r="D62" s="3">
        <f>D58/D60</f>
        <v>8.1967213114754092E-2</v>
      </c>
      <c r="E62" s="3">
        <f>E58/E60</f>
        <v>1.0163934426229508E-2</v>
      </c>
      <c r="F62" s="3">
        <f>F58/F60</f>
        <v>4.2500000000000003E-2</v>
      </c>
      <c r="G62" s="3">
        <f>G58/G60</f>
        <v>2.35E-2</v>
      </c>
    </row>
    <row r="63" spans="1:11" x14ac:dyDescent="0.5">
      <c r="A63" s="1" t="s">
        <v>3</v>
      </c>
      <c r="B63" s="4">
        <v>1</v>
      </c>
      <c r="C63" s="3">
        <f>B63-B63*C62</f>
        <v>0.67346195850018198</v>
      </c>
      <c r="D63" s="3">
        <f>C63-C63*D62</f>
        <v>0.61826015862311789</v>
      </c>
      <c r="E63" s="3">
        <f>D63-D63*E62</f>
        <v>0.6119762029125223</v>
      </c>
      <c r="F63" s="3">
        <f>E63-E63*F62</f>
        <v>0.5859672142887401</v>
      </c>
      <c r="G63" s="3">
        <f>F63-F63*G62</f>
        <v>0.57219698475295466</v>
      </c>
    </row>
    <row r="64" spans="1:11" x14ac:dyDescent="0.5">
      <c r="A64" s="2" t="s">
        <v>2</v>
      </c>
      <c r="C64" s="1">
        <f>C60*C63</f>
        <v>36.999999999999993</v>
      </c>
      <c r="D64" s="1">
        <f>D60*D63</f>
        <v>94.284674190025484</v>
      </c>
      <c r="E64" s="1">
        <f>E60*E63</f>
        <v>93.326370944159649</v>
      </c>
      <c r="F64" s="1">
        <f>F60*F63</f>
        <v>117.19344285774802</v>
      </c>
      <c r="G64" s="1">
        <f>G60*G63</f>
        <v>114.43939695059093</v>
      </c>
    </row>
    <row r="65" spans="1:14" x14ac:dyDescent="0.5">
      <c r="C65" s="1">
        <v>2017</v>
      </c>
      <c r="D65" s="1">
        <v>2019</v>
      </c>
      <c r="E65" s="1">
        <v>2020</v>
      </c>
      <c r="F65" s="1">
        <v>2021</v>
      </c>
      <c r="G65" s="1">
        <v>2023</v>
      </c>
    </row>
    <row r="68" spans="1:14" x14ac:dyDescent="0.5">
      <c r="A68" s="6" t="s">
        <v>14</v>
      </c>
      <c r="C68" s="1" t="s">
        <v>13</v>
      </c>
      <c r="D68" s="1" t="s">
        <v>13</v>
      </c>
      <c r="E68" s="1" t="s">
        <v>12</v>
      </c>
      <c r="F68" s="1" t="s">
        <v>11</v>
      </c>
      <c r="G68" s="1" t="s">
        <v>10</v>
      </c>
      <c r="H68" s="1" t="s">
        <v>9</v>
      </c>
      <c r="I68" s="1" t="s">
        <v>8</v>
      </c>
      <c r="J68" s="1" t="s">
        <v>8</v>
      </c>
    </row>
    <row r="69" spans="1:14" x14ac:dyDescent="0.5">
      <c r="A69" s="1" t="s">
        <v>7</v>
      </c>
      <c r="C69" s="1">
        <v>0.5</v>
      </c>
      <c r="D69" s="1">
        <v>1</v>
      </c>
      <c r="E69" s="1">
        <v>11</v>
      </c>
      <c r="F69" s="1">
        <v>35</v>
      </c>
      <c r="G69" s="1">
        <v>85.8</v>
      </c>
      <c r="H69" s="1">
        <v>90</v>
      </c>
      <c r="I69" s="1">
        <v>5</v>
      </c>
      <c r="J69" s="1">
        <v>4.3</v>
      </c>
    </row>
    <row r="70" spans="1:14" x14ac:dyDescent="0.5">
      <c r="A70" s="1" t="s">
        <v>6</v>
      </c>
      <c r="C70" s="5">
        <f t="shared" ref="C70:J70" si="12">C71-C69</f>
        <v>4.5</v>
      </c>
      <c r="D70" s="5">
        <f t="shared" si="12"/>
        <v>9</v>
      </c>
      <c r="E70" s="1">
        <f t="shared" si="12"/>
        <v>16.63</v>
      </c>
      <c r="F70" s="1">
        <f t="shared" si="12"/>
        <v>184.69</v>
      </c>
      <c r="G70" s="1">
        <f t="shared" si="12"/>
        <v>514.20000000000005</v>
      </c>
      <c r="H70" s="1">
        <f t="shared" si="12"/>
        <v>810</v>
      </c>
      <c r="I70" s="5">
        <f t="shared" si="12"/>
        <v>895</v>
      </c>
      <c r="J70" s="5">
        <f t="shared" si="12"/>
        <v>895.7</v>
      </c>
    </row>
    <row r="71" spans="1:14" x14ac:dyDescent="0.5">
      <c r="A71" s="1" t="s">
        <v>5</v>
      </c>
      <c r="C71" s="5">
        <v>5</v>
      </c>
      <c r="D71" s="5">
        <v>10</v>
      </c>
      <c r="E71" s="1">
        <v>27.63</v>
      </c>
      <c r="F71" s="1">
        <v>219.69</v>
      </c>
      <c r="G71" s="1">
        <v>600</v>
      </c>
      <c r="H71" s="1">
        <v>900</v>
      </c>
      <c r="I71" s="5">
        <v>900</v>
      </c>
      <c r="J71" s="5">
        <v>900</v>
      </c>
    </row>
    <row r="73" spans="1:14" x14ac:dyDescent="0.5">
      <c r="A73" s="1" t="s">
        <v>4</v>
      </c>
      <c r="C73" s="3">
        <f t="shared" ref="C73:J73" si="13">C69/C71</f>
        <v>0.1</v>
      </c>
      <c r="D73" s="3">
        <f t="shared" si="13"/>
        <v>0.1</v>
      </c>
      <c r="E73" s="3">
        <f t="shared" si="13"/>
        <v>0.39811798769453494</v>
      </c>
      <c r="F73" s="3">
        <f t="shared" si="13"/>
        <v>0.15931539897127772</v>
      </c>
      <c r="G73" s="3">
        <f t="shared" si="13"/>
        <v>0.14299999999999999</v>
      </c>
      <c r="H73" s="3">
        <f t="shared" si="13"/>
        <v>0.1</v>
      </c>
      <c r="I73" s="3">
        <f t="shared" si="13"/>
        <v>5.5555555555555558E-3</v>
      </c>
      <c r="J73" s="3">
        <f t="shared" si="13"/>
        <v>4.7777777777777775E-3</v>
      </c>
    </row>
    <row r="74" spans="1:14" x14ac:dyDescent="0.5">
      <c r="A74" s="1" t="s">
        <v>3</v>
      </c>
      <c r="B74" s="4">
        <v>1</v>
      </c>
      <c r="C74" s="3">
        <f t="shared" ref="C74:J74" si="14">B74-B74*C73</f>
        <v>0.9</v>
      </c>
      <c r="D74" s="3">
        <f t="shared" si="14"/>
        <v>0.81</v>
      </c>
      <c r="E74" s="3">
        <f t="shared" si="14"/>
        <v>0.48752442996742673</v>
      </c>
      <c r="F74" s="3">
        <f t="shared" si="14"/>
        <v>0.4098542808989214</v>
      </c>
      <c r="G74" s="3">
        <f t="shared" si="14"/>
        <v>0.35124511873037567</v>
      </c>
      <c r="H74" s="3">
        <f t="shared" si="14"/>
        <v>0.31612060685733812</v>
      </c>
      <c r="I74" s="3">
        <f t="shared" si="14"/>
        <v>0.31436438126368621</v>
      </c>
      <c r="J74" s="3">
        <f t="shared" si="14"/>
        <v>0.3128624181087597</v>
      </c>
    </row>
    <row r="75" spans="1:14" x14ac:dyDescent="0.5">
      <c r="A75" s="2" t="s">
        <v>2</v>
      </c>
      <c r="C75" s="1">
        <f t="shared" ref="C75:J75" si="15">C71*C74</f>
        <v>4.5</v>
      </c>
      <c r="D75" s="1">
        <f t="shared" si="15"/>
        <v>8.1000000000000014</v>
      </c>
      <c r="E75" s="1">
        <f t="shared" si="15"/>
        <v>13.4703</v>
      </c>
      <c r="F75" s="1">
        <f t="shared" si="15"/>
        <v>90.040886970684042</v>
      </c>
      <c r="G75" s="1">
        <f t="shared" si="15"/>
        <v>210.7470712382254</v>
      </c>
      <c r="H75" s="1">
        <f t="shared" si="15"/>
        <v>284.50854617160428</v>
      </c>
      <c r="I75" s="1">
        <f t="shared" si="15"/>
        <v>282.92794313731758</v>
      </c>
      <c r="J75" s="1">
        <f t="shared" si="15"/>
        <v>281.57617629788371</v>
      </c>
      <c r="N75" s="25" t="s">
        <v>76</v>
      </c>
    </row>
    <row r="76" spans="1:14" x14ac:dyDescent="0.5">
      <c r="C76" s="1" t="s">
        <v>1</v>
      </c>
      <c r="D76" s="1">
        <v>2012</v>
      </c>
      <c r="E76" s="1">
        <v>2013</v>
      </c>
      <c r="F76" s="1">
        <v>2015</v>
      </c>
      <c r="G76" s="1">
        <v>2017</v>
      </c>
      <c r="H76" s="1">
        <v>2018</v>
      </c>
      <c r="I76" s="1">
        <v>2022</v>
      </c>
      <c r="J76" s="1">
        <v>2024</v>
      </c>
    </row>
    <row r="80" spans="1:14" x14ac:dyDescent="0.5">
      <c r="A80" s="1" t="s">
        <v>0</v>
      </c>
    </row>
    <row r="85" spans="1:13" x14ac:dyDescent="0.5">
      <c r="K85" s="1">
        <v>114090000</v>
      </c>
    </row>
    <row r="86" spans="1:13" x14ac:dyDescent="0.5">
      <c r="J86" s="1">
        <v>-31</v>
      </c>
      <c r="K86" s="1">
        <v>50</v>
      </c>
    </row>
    <row r="88" spans="1:13" ht="16.149999999999999" thickBot="1" x14ac:dyDescent="0.55000000000000004">
      <c r="A88" s="25" t="s">
        <v>77</v>
      </c>
      <c r="I88" s="1">
        <v>9.2071000000000005</v>
      </c>
      <c r="J88" s="26">
        <v>8.5841999999999992</v>
      </c>
      <c r="K88" s="26">
        <v>10.1198</v>
      </c>
      <c r="L88" s="1">
        <v>10.6126</v>
      </c>
      <c r="M88" s="1">
        <v>10.555400000000001</v>
      </c>
    </row>
    <row r="89" spans="1:13" ht="16.149999999999999" thickBot="1" x14ac:dyDescent="0.55000000000000004">
      <c r="A89" s="24" t="s">
        <v>72</v>
      </c>
      <c r="B89" s="12"/>
      <c r="C89" s="27"/>
      <c r="D89" s="12">
        <v>2015</v>
      </c>
      <c r="E89" s="12">
        <v>2016</v>
      </c>
      <c r="F89" s="12">
        <v>2017</v>
      </c>
      <c r="G89" s="12">
        <v>2018</v>
      </c>
      <c r="H89" s="12">
        <v>2019</v>
      </c>
      <c r="I89" s="12">
        <v>2020</v>
      </c>
      <c r="J89" s="12">
        <v>2021</v>
      </c>
      <c r="K89" s="12">
        <v>2022</v>
      </c>
      <c r="L89" s="12">
        <v>2023</v>
      </c>
      <c r="M89" s="11">
        <v>2024</v>
      </c>
    </row>
    <row r="90" spans="1:13" x14ac:dyDescent="0.5">
      <c r="A90" s="35" t="s">
        <v>74</v>
      </c>
      <c r="B90" s="13"/>
      <c r="C90" s="29"/>
      <c r="D90" s="13"/>
      <c r="E90" s="13"/>
      <c r="F90" s="13"/>
      <c r="G90" s="13"/>
      <c r="H90" s="13"/>
      <c r="I90" s="13">
        <v>42333000</v>
      </c>
      <c r="J90" s="13">
        <v>71914000</v>
      </c>
      <c r="K90" s="37">
        <v>104742000</v>
      </c>
      <c r="L90" s="13">
        <v>114780000</v>
      </c>
      <c r="M90" s="14"/>
    </row>
    <row r="91" spans="1:13" x14ac:dyDescent="0.5">
      <c r="A91" s="36" t="s">
        <v>75</v>
      </c>
      <c r="C91" s="32"/>
      <c r="I91" s="1">
        <v>284088</v>
      </c>
      <c r="J91" s="1">
        <v>34522250</v>
      </c>
      <c r="K91" s="1">
        <v>42268000</v>
      </c>
      <c r="L91" s="1">
        <v>565000</v>
      </c>
      <c r="M91" s="10"/>
    </row>
    <row r="92" spans="1:13" ht="16.149999999999999" thickBot="1" x14ac:dyDescent="0.55000000000000004">
      <c r="A92" s="38" t="s">
        <v>73</v>
      </c>
      <c r="B92" s="9"/>
      <c r="C92" s="34"/>
      <c r="D92" s="9"/>
      <c r="E92" s="9"/>
      <c r="F92" s="9"/>
      <c r="G92" s="9"/>
      <c r="H92" s="9"/>
      <c r="I92" s="9">
        <v>7</v>
      </c>
      <c r="J92" s="39">
        <v>33</v>
      </c>
      <c r="K92" s="39">
        <v>44</v>
      </c>
      <c r="L92" s="9">
        <v>56</v>
      </c>
      <c r="M92" s="8"/>
    </row>
    <row r="93" spans="1:13" x14ac:dyDescent="0.5">
      <c r="A93" s="28" t="s">
        <v>84</v>
      </c>
      <c r="B93" s="13"/>
      <c r="C93" s="29"/>
      <c r="D93" s="13"/>
      <c r="E93" s="13"/>
      <c r="F93" s="13"/>
      <c r="G93" s="13"/>
      <c r="H93" s="13"/>
      <c r="I93" s="13">
        <f>I90/I88*$B$110</f>
        <v>4.5978646913794776</v>
      </c>
      <c r="J93" s="13">
        <f>J90/J88*$B$110</f>
        <v>8.3774842151860387</v>
      </c>
      <c r="K93" s="13">
        <f>K90/K88*$B$110</f>
        <v>10.350204549497025</v>
      </c>
      <c r="L93" s="13">
        <f>L90/L88*$B$110</f>
        <v>10.815445790852383</v>
      </c>
      <c r="M93" s="14"/>
    </row>
    <row r="94" spans="1:13" x14ac:dyDescent="0.5">
      <c r="A94" s="31" t="s">
        <v>85</v>
      </c>
      <c r="C94" s="32"/>
      <c r="I94" s="1">
        <f>I91/I88*$B$110</f>
        <v>3.0855318178362345E-2</v>
      </c>
      <c r="J94" s="1">
        <f>J91/J88*$B$110</f>
        <v>4.0216036439039167</v>
      </c>
      <c r="K94" s="1">
        <f>K91/K88*$B$110</f>
        <v>4.1767623866084307</v>
      </c>
      <c r="L94" s="1">
        <f>L91/L88*$B$110</f>
        <v>5.3238603169817003E-2</v>
      </c>
      <c r="M94" s="10"/>
    </row>
    <row r="95" spans="1:13" x14ac:dyDescent="0.5">
      <c r="A95" s="31" t="s">
        <v>83</v>
      </c>
      <c r="C95" s="32"/>
      <c r="I95" s="1">
        <f>I93/($B$111*$B$110)</f>
        <v>425.12021975722115</v>
      </c>
      <c r="J95" s="1">
        <f>J93/($B$111*$B$110)</f>
        <v>774.58519761355069</v>
      </c>
      <c r="K95" s="1">
        <f>K93/($B$111*$B$110)</f>
        <v>956.98362782707898</v>
      </c>
      <c r="L95" s="1">
        <f>L93/($B$111*$B$110)</f>
        <v>1000</v>
      </c>
      <c r="M95" s="10"/>
    </row>
    <row r="96" spans="1:13" ht="16.149999999999999" thickBot="1" x14ac:dyDescent="0.55000000000000004">
      <c r="A96" s="33" t="s">
        <v>86</v>
      </c>
      <c r="B96" s="9"/>
      <c r="C96" s="34"/>
      <c r="D96" s="9"/>
      <c r="E96" s="9"/>
      <c r="F96" s="9"/>
      <c r="G96" s="9"/>
      <c r="H96" s="9"/>
      <c r="I96" s="9">
        <f>I93/I92</f>
        <v>0.65683781305421107</v>
      </c>
      <c r="J96" s="9">
        <f>J93/J92</f>
        <v>0.25386315803594056</v>
      </c>
      <c r="K96" s="9">
        <f>K93/K92</f>
        <v>0.23523192157947784</v>
      </c>
      <c r="L96" s="9">
        <f>L93/L92</f>
        <v>0.1931329605509354</v>
      </c>
      <c r="M96" s="8"/>
    </row>
    <row r="97" spans="1:13" x14ac:dyDescent="0.5">
      <c r="A97" s="28" t="s">
        <v>87</v>
      </c>
      <c r="B97" s="13"/>
      <c r="C97" s="29"/>
      <c r="D97" s="13"/>
      <c r="E97" s="13"/>
      <c r="F97" s="13"/>
      <c r="G97" s="13"/>
      <c r="H97" s="30"/>
      <c r="I97" s="13">
        <f t="shared" ref="I97:L98" si="16">I90/$M$88*$B$110</f>
        <v>4.0105538397407958</v>
      </c>
      <c r="J97" s="13">
        <f t="shared" si="16"/>
        <v>6.8130056653466466</v>
      </c>
      <c r="K97" s="13">
        <f t="shared" si="16"/>
        <v>9.9230725505428499</v>
      </c>
      <c r="L97" s="13">
        <f t="shared" si="16"/>
        <v>10.874054986073478</v>
      </c>
      <c r="M97" s="14"/>
    </row>
    <row r="98" spans="1:13" x14ac:dyDescent="0.5">
      <c r="A98" s="31" t="s">
        <v>88</v>
      </c>
      <c r="C98" s="32"/>
      <c r="I98" s="1">
        <f t="shared" si="16"/>
        <v>2.6913996627318717E-2</v>
      </c>
      <c r="J98" s="1">
        <f t="shared" si="16"/>
        <v>3.2705771453474046</v>
      </c>
      <c r="K98" s="1">
        <f t="shared" si="16"/>
        <v>4.0043958542546942</v>
      </c>
      <c r="L98" s="1">
        <f t="shared" si="16"/>
        <v>5.352710460996267E-2</v>
      </c>
      <c r="M98" s="10"/>
    </row>
    <row r="99" spans="1:13" x14ac:dyDescent="0.5">
      <c r="A99" s="31" t="s">
        <v>83</v>
      </c>
      <c r="C99" s="32"/>
      <c r="I99" s="1">
        <f>I97/($B$111*$B$110)</f>
        <v>370.81724760091623</v>
      </c>
      <c r="J99" s="1">
        <f>J97/($B$111*$B$110)</f>
        <v>629.93294932965512</v>
      </c>
      <c r="K99" s="1">
        <f>K97/($B$111*$B$110)</f>
        <v>917.49084988579057</v>
      </c>
      <c r="L99" s="1">
        <f>L97/($B$111*$B$110)</f>
        <v>1005.4190272277696</v>
      </c>
      <c r="M99" s="10"/>
    </row>
    <row r="100" spans="1:13" ht="16.149999999999999" thickBot="1" x14ac:dyDescent="0.55000000000000004">
      <c r="A100" s="33" t="s">
        <v>78</v>
      </c>
      <c r="B100" s="9"/>
      <c r="C100" s="34"/>
      <c r="D100" s="9"/>
      <c r="E100" s="9"/>
      <c r="F100" s="9"/>
      <c r="G100" s="9"/>
      <c r="H100" s="9"/>
      <c r="I100" s="9">
        <f>I97/I92</f>
        <v>0.57293626282011367</v>
      </c>
      <c r="J100" s="9">
        <f>J97/J92</f>
        <v>0.20645471713171656</v>
      </c>
      <c r="K100" s="9">
        <f>K97/K92</f>
        <v>0.22552437614870113</v>
      </c>
      <c r="L100" s="9">
        <f>L97/L92</f>
        <v>0.19417955332274067</v>
      </c>
      <c r="M100" s="8"/>
    </row>
    <row r="110" spans="1:13" x14ac:dyDescent="0.5">
      <c r="A110" s="25" t="s">
        <v>79</v>
      </c>
      <c r="B110" s="1">
        <f>10^-6</f>
        <v>9.9999999999999995E-7</v>
      </c>
    </row>
    <row r="111" spans="1:13" x14ac:dyDescent="0.5">
      <c r="A111" s="25" t="s">
        <v>80</v>
      </c>
      <c r="B111" s="1">
        <f>L93/1000/B110</f>
        <v>10815.445790852384</v>
      </c>
      <c r="C111" s="1" t="s">
        <v>81</v>
      </c>
      <c r="D111" s="25" t="s">
        <v>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2F67508F405334BACB3088836BE1D42" ma:contentTypeVersion="8" ma:contentTypeDescription="Create a new document." ma:contentTypeScope="" ma:versionID="2ea947e8c7c45ab0ccea306cfbae8cdd">
  <xsd:schema xmlns:xsd="http://www.w3.org/2001/XMLSchema" xmlns:xs="http://www.w3.org/2001/XMLSchema" xmlns:p="http://schemas.microsoft.com/office/2006/metadata/properties" xmlns:ns2="6794e79a-d1b7-4625-ae9a-8d1c552258ed" targetNamespace="http://schemas.microsoft.com/office/2006/metadata/properties" ma:root="true" ma:fieldsID="e006dee23cc7333c83b4193c804be083" ns2:_="">
    <xsd:import namespace="6794e79a-d1b7-4625-ae9a-8d1c552258e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94e79a-d1b7-4625-ae9a-8d1c552258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6E3EC2-00BE-4DB4-A3D8-693E6E8E625A}">
  <ds:schemaRefs>
    <ds:schemaRef ds:uri="6794e79a-d1b7-4625-ae9a-8d1c552258ed"/>
    <ds:schemaRef ds:uri="http://purl.org/dc/terms/"/>
    <ds:schemaRef ds:uri="http://schemas.openxmlformats.org/package/2006/metadata/core-properties"/>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 ds:uri="http://purl.org/dc/elements/1.1/"/>
  </ds:schemaRefs>
</ds:datastoreItem>
</file>

<file path=customXml/itemProps2.xml><?xml version="1.0" encoding="utf-8"?>
<ds:datastoreItem xmlns:ds="http://schemas.openxmlformats.org/officeDocument/2006/customXml" ds:itemID="{BA0BAA4A-A413-4FD1-AACA-FFA2147A35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94e79a-d1b7-4625-ae9a-8d1c552258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E327571-9413-4E54-9F80-433ADB12FB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Model with S-Curves</vt:lpstr>
      <vt:lpstr>Market Scoping</vt:lpstr>
      <vt:lpstr>Comps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Lawrence Lee</cp:lastModifiedBy>
  <cp:revision/>
  <dcterms:created xsi:type="dcterms:W3CDTF">2024-12-10T19:36:54Z</dcterms:created>
  <dcterms:modified xsi:type="dcterms:W3CDTF">2025-09-12T01:12:30Z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0x01010022F67508F405334BACB3088836BE1D42</vt:lpwstr>
  </property>
</Properties>
</file>