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WebImage.xml" ContentType="application/vnd.ms-excel.rdrichvaluewebimage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drawings/drawing6.xml" ContentType="application/vnd.openxmlformats-officedocument.drawing+xml"/>
  <Override PartName="/xl/namedSheetViews/namedSheetView1.xml" ContentType="application/vnd.ms-excel.namedsheetviews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tables/table7.xml" ContentType="application/vnd.openxmlformats-officedocument.spreadsheetml.table+xml"/>
  <Override PartName="/xl/drawings/drawing9.xml" ContentType="application/vnd.openxmlformats-officedocument.drawing+xml"/>
  <Override PartName="/xl/tables/table8.xml" ContentType="application/vnd.openxmlformats-officedocument.spreadsheetml.table+xml"/>
  <Override PartName="/xl/namedSheetViews/namedSheetView2.xml" ContentType="application/vnd.ms-excel.namedsheetviews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00\Redirecionamentos\cursos\Downloads\"/>
    </mc:Choice>
  </mc:AlternateContent>
  <xr:revisionPtr revIDLastSave="0" documentId="13_ncr:1_{6CF12C60-DD74-4253-8F6C-94723ED54FBB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CATEGORIAS" sheetId="15" r:id="rId1"/>
    <sheet name="MENU" sheetId="1" r:id="rId2"/>
    <sheet name="LANÇAMENTOS 2023" sheetId="2" state="hidden" r:id="rId3"/>
    <sheet name="FINANÇAS 2023" sheetId="3" state="hidden" r:id="rId4"/>
    <sheet name="RELATÓRIO 2023" sheetId="4" state="hidden" r:id="rId5"/>
    <sheet name="LANÇAMENTOS 2024" sheetId="9" state="hidden" r:id="rId6"/>
    <sheet name="FINANÇAS 2024" sheetId="10" state="hidden" r:id="rId7"/>
    <sheet name="RELATÓRIO 2024" sheetId="11" state="hidden" r:id="rId8"/>
    <sheet name="LANÇAMENTOS 2025" sheetId="12" r:id="rId9"/>
    <sheet name="FINANÇAS 2025" sheetId="13" r:id="rId10"/>
    <sheet name="RELATÓRIO 2025" sheetId="14" r:id="rId11"/>
    <sheet name="SIMULAÇÃO INVESTIMENTO" sheetId="16" r:id="rId12"/>
  </sheets>
  <definedNames>
    <definedName name="_xlnm._FilterDatabase" localSheetId="6" hidden="1">'FINANÇAS 2024'!$A$64:$B$69</definedName>
    <definedName name="_xlnm._FilterDatabase" localSheetId="9" hidden="1">'FINANÇAS 2025'!#REF!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2" l="1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02" i="12"/>
  <c r="E203" i="12"/>
  <c r="E204" i="12"/>
  <c r="E205" i="12"/>
  <c r="E206" i="12"/>
  <c r="E207" i="12"/>
  <c r="E208" i="12"/>
  <c r="E209" i="12"/>
  <c r="E210" i="12"/>
  <c r="E211" i="12"/>
  <c r="E212" i="12"/>
  <c r="E213" i="12"/>
  <c r="E214" i="12"/>
  <c r="E215" i="12"/>
  <c r="E216" i="12"/>
  <c r="E217" i="12"/>
  <c r="E218" i="12"/>
  <c r="E219" i="12"/>
  <c r="E220" i="12"/>
  <c r="E221" i="12"/>
  <c r="E222" i="12"/>
  <c r="E223" i="12"/>
  <c r="E224" i="12"/>
  <c r="E5" i="12"/>
  <c r="E6" i="12"/>
  <c r="E7" i="12"/>
  <c r="E8" i="12"/>
  <c r="E9" i="12"/>
  <c r="E32" i="12"/>
  <c r="E33" i="12"/>
  <c r="E34" i="12"/>
  <c r="E35" i="12"/>
  <c r="E36" i="12"/>
  <c r="E37" i="12"/>
  <c r="E38" i="12"/>
  <c r="E39" i="12"/>
  <c r="E72" i="12"/>
  <c r="E73" i="12"/>
  <c r="E74" i="12"/>
  <c r="E75" i="12"/>
  <c r="E76" i="12"/>
  <c r="E77" i="12"/>
  <c r="E78" i="12"/>
  <c r="E79" i="12"/>
  <c r="E80" i="12"/>
  <c r="E81" i="12"/>
  <c r="E82" i="12"/>
  <c r="E97" i="12"/>
  <c r="E98" i="12"/>
  <c r="E99" i="12"/>
  <c r="E100" i="12"/>
  <c r="E101" i="12"/>
  <c r="E102" i="12"/>
  <c r="E103" i="12"/>
  <c r="E132" i="12"/>
  <c r="E133" i="12"/>
  <c r="E134" i="12"/>
  <c r="E135" i="12"/>
  <c r="E136" i="12"/>
  <c r="E137" i="12"/>
  <c r="E138" i="12"/>
  <c r="E167" i="12"/>
  <c r="E168" i="12"/>
  <c r="E169" i="12"/>
  <c r="E170" i="12"/>
  <c r="E171" i="12"/>
  <c r="E172" i="12"/>
  <c r="E173" i="12"/>
  <c r="E225" i="12"/>
  <c r="E226" i="12"/>
  <c r="E227" i="12"/>
  <c r="E228" i="12"/>
  <c r="E229" i="12"/>
  <c r="E230" i="12"/>
  <c r="E231" i="12"/>
  <c r="E232" i="12"/>
  <c r="E233" i="12"/>
  <c r="E234" i="12"/>
  <c r="E235" i="12"/>
  <c r="E236" i="12"/>
  <c r="E237" i="12"/>
  <c r="E238" i="12"/>
  <c r="E239" i="12"/>
  <c r="E240" i="12"/>
  <c r="E241" i="12"/>
  <c r="E242" i="12"/>
  <c r="E243" i="12"/>
  <c r="E244" i="12"/>
  <c r="E245" i="12"/>
  <c r="E246" i="12"/>
  <c r="E247" i="12"/>
  <c r="E248" i="12"/>
  <c r="E249" i="12"/>
  <c r="E250" i="12"/>
  <c r="E251" i="12"/>
  <c r="E252" i="12"/>
  <c r="E253" i="12"/>
  <c r="E254" i="12"/>
  <c r="E255" i="12"/>
  <c r="E256" i="12"/>
  <c r="E257" i="12"/>
  <c r="E258" i="12"/>
  <c r="E259" i="12"/>
  <c r="E260" i="12"/>
  <c r="E261" i="12"/>
  <c r="E262" i="12"/>
  <c r="E263" i="12"/>
  <c r="E264" i="12"/>
  <c r="E265" i="12"/>
  <c r="E266" i="12"/>
  <c r="E267" i="12"/>
  <c r="E268" i="12"/>
  <c r="E269" i="12"/>
  <c r="E270" i="12"/>
  <c r="E271" i="12"/>
  <c r="E272" i="12"/>
  <c r="E273" i="12"/>
  <c r="E274" i="12"/>
  <c r="E275" i="12"/>
  <c r="E276" i="12"/>
  <c r="E277" i="12"/>
  <c r="E278" i="12"/>
  <c r="E279" i="12"/>
  <c r="E280" i="12"/>
  <c r="E281" i="12"/>
  <c r="E282" i="12"/>
  <c r="E283" i="12"/>
  <c r="E284" i="12"/>
  <c r="E285" i="12"/>
  <c r="E286" i="12"/>
  <c r="E287" i="12"/>
  <c r="E288" i="12"/>
  <c r="E289" i="12"/>
  <c r="E290" i="12"/>
  <c r="E291" i="12"/>
  <c r="E292" i="12"/>
  <c r="E293" i="12"/>
  <c r="E294" i="12"/>
  <c r="E295" i="12"/>
  <c r="E296" i="12"/>
  <c r="E297" i="12"/>
  <c r="E298" i="12"/>
  <c r="E299" i="12"/>
  <c r="E300" i="12"/>
  <c r="E301" i="12"/>
  <c r="E302" i="12"/>
  <c r="E303" i="12"/>
  <c r="E304" i="12"/>
  <c r="E305" i="12"/>
  <c r="E306" i="12"/>
  <c r="E307" i="12"/>
  <c r="E308" i="12"/>
  <c r="E309" i="12"/>
  <c r="E310" i="12"/>
  <c r="E311" i="12"/>
  <c r="E312" i="12"/>
  <c r="E313" i="12"/>
  <c r="E314" i="12"/>
  <c r="E315" i="12"/>
  <c r="E316" i="12"/>
  <c r="E317" i="12"/>
  <c r="E318" i="12"/>
  <c r="E319" i="12"/>
  <c r="E320" i="12"/>
  <c r="E321" i="12"/>
  <c r="E322" i="12"/>
  <c r="E323" i="12"/>
  <c r="E324" i="12"/>
  <c r="E325" i="12"/>
  <c r="E326" i="12"/>
  <c r="E327" i="12"/>
  <c r="E328" i="12"/>
  <c r="E329" i="12"/>
  <c r="E330" i="12"/>
  <c r="E331" i="12"/>
  <c r="E332" i="12"/>
  <c r="E333" i="12"/>
  <c r="E334" i="12"/>
  <c r="E335" i="12"/>
  <c r="E336" i="12"/>
  <c r="E337" i="12"/>
  <c r="E338" i="12"/>
  <c r="E339" i="12"/>
  <c r="E340" i="12"/>
  <c r="E341" i="12"/>
  <c r="E342" i="12"/>
  <c r="E343" i="12"/>
  <c r="E344" i="12"/>
  <c r="E345" i="12"/>
  <c r="E346" i="12"/>
  <c r="E347" i="12"/>
  <c r="E348" i="12"/>
  <c r="E349" i="12"/>
  <c r="E350" i="12"/>
  <c r="E351" i="12"/>
  <c r="E352" i="12"/>
  <c r="E353" i="12"/>
  <c r="E354" i="12"/>
  <c r="E355" i="12"/>
  <c r="E356" i="12"/>
  <c r="E357" i="12"/>
  <c r="E358" i="12"/>
  <c r="E359" i="12"/>
  <c r="E360" i="12"/>
  <c r="E361" i="12"/>
  <c r="E362" i="12"/>
  <c r="E363" i="12"/>
  <c r="E364" i="12"/>
  <c r="E365" i="12"/>
  <c r="E366" i="12"/>
  <c r="E367" i="12"/>
  <c r="E368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6" i="12"/>
  <c r="D7" i="12"/>
  <c r="D8" i="12"/>
  <c r="D9" i="12"/>
  <c r="D10" i="12"/>
  <c r="D11" i="12"/>
  <c r="D12" i="12"/>
  <c r="D13" i="12"/>
  <c r="D14" i="12"/>
  <c r="D15" i="12"/>
  <c r="B69" i="12"/>
  <c r="B70" i="12"/>
  <c r="B57" i="12"/>
  <c r="B54" i="12"/>
  <c r="D3" i="16"/>
  <c r="D4" i="16" s="1"/>
  <c r="D5" i="16" s="1"/>
  <c r="D6" i="16" s="1"/>
  <c r="C6" i="16" s="1"/>
  <c r="C7" i="16" s="1"/>
  <c r="C8" i="16" s="1"/>
  <c r="C11" i="16" s="1"/>
  <c r="C12" i="16" s="1"/>
  <c r="D5" i="12"/>
  <c r="I12" i="15"/>
  <c r="I11" i="15"/>
  <c r="I9" i="15"/>
  <c r="I10" i="15"/>
  <c r="I8" i="15"/>
  <c r="I6" i="15"/>
  <c r="I7" i="15"/>
  <c r="I4" i="15"/>
  <c r="I5" i="15"/>
  <c r="I3" i="15"/>
  <c r="B59" i="12"/>
  <c r="B61" i="12"/>
  <c r="B62" i="12"/>
  <c r="B63" i="12"/>
  <c r="B64" i="12"/>
  <c r="B65" i="12"/>
  <c r="B66" i="12"/>
  <c r="B67" i="12"/>
  <c r="B68" i="12"/>
  <c r="B51" i="12"/>
  <c r="B45" i="12"/>
  <c r="B44" i="12"/>
  <c r="B48" i="12"/>
  <c r="B49" i="12"/>
  <c r="B46" i="12"/>
  <c r="B41" i="12"/>
  <c r="B42" i="12"/>
  <c r="B43" i="12"/>
  <c r="B28" i="12"/>
  <c r="B29" i="12"/>
  <c r="B39" i="12"/>
  <c r="B38" i="12"/>
  <c r="B31" i="12"/>
  <c r="B26" i="12"/>
  <c r="B24" i="12"/>
  <c r="B19" i="12"/>
  <c r="B20" i="12"/>
  <c r="B21" i="12"/>
  <c r="B22" i="12"/>
  <c r="B17" i="12"/>
  <c r="B16" i="12"/>
  <c r="B14" i="12"/>
  <c r="B368" i="12"/>
  <c r="B367" i="12"/>
  <c r="B366" i="12"/>
  <c r="B365" i="12"/>
  <c r="B364" i="12"/>
  <c r="B363" i="12"/>
  <c r="B362" i="12"/>
  <c r="B361" i="12"/>
  <c r="B360" i="12"/>
  <c r="B359" i="12"/>
  <c r="B358" i="12"/>
  <c r="B357" i="12"/>
  <c r="B356" i="12"/>
  <c r="B355" i="12"/>
  <c r="B354" i="12"/>
  <c r="B353" i="12"/>
  <c r="B352" i="12"/>
  <c r="B351" i="12"/>
  <c r="B350" i="12"/>
  <c r="B349" i="12"/>
  <c r="B348" i="12"/>
  <c r="B347" i="12"/>
  <c r="B346" i="12"/>
  <c r="B345" i="12"/>
  <c r="B344" i="12"/>
  <c r="B343" i="12"/>
  <c r="B342" i="12"/>
  <c r="B341" i="12"/>
  <c r="B340" i="12"/>
  <c r="B339" i="12"/>
  <c r="B338" i="12"/>
  <c r="B337" i="12"/>
  <c r="B336" i="12"/>
  <c r="B335" i="12"/>
  <c r="B334" i="12"/>
  <c r="B333" i="12"/>
  <c r="B332" i="12"/>
  <c r="B331" i="12"/>
  <c r="B330" i="12"/>
  <c r="B329" i="12"/>
  <c r="B328" i="12"/>
  <c r="B327" i="12"/>
  <c r="B326" i="12"/>
  <c r="B325" i="12"/>
  <c r="B324" i="12"/>
  <c r="B323" i="12"/>
  <c r="B322" i="12"/>
  <c r="B321" i="12"/>
  <c r="B320" i="12"/>
  <c r="B319" i="12"/>
  <c r="B318" i="12"/>
  <c r="B317" i="12"/>
  <c r="B316" i="12"/>
  <c r="B315" i="12"/>
  <c r="B314" i="12"/>
  <c r="B313" i="12"/>
  <c r="B312" i="12"/>
  <c r="B311" i="12"/>
  <c r="B310" i="12"/>
  <c r="B309" i="12"/>
  <c r="B308" i="12"/>
  <c r="B307" i="12"/>
  <c r="B306" i="12"/>
  <c r="B305" i="12"/>
  <c r="B304" i="12"/>
  <c r="B303" i="12"/>
  <c r="B302" i="12"/>
  <c r="B301" i="12"/>
  <c r="B300" i="12"/>
  <c r="B299" i="12"/>
  <c r="B298" i="12"/>
  <c r="B297" i="12"/>
  <c r="B296" i="12"/>
  <c r="B295" i="12"/>
  <c r="B294" i="12"/>
  <c r="B293" i="12"/>
  <c r="B292" i="12"/>
  <c r="B291" i="12"/>
  <c r="B290" i="12"/>
  <c r="B289" i="12"/>
  <c r="B288" i="12"/>
  <c r="B287" i="12"/>
  <c r="B286" i="12"/>
  <c r="B285" i="12"/>
  <c r="B284" i="12"/>
  <c r="B283" i="12"/>
  <c r="B282" i="12"/>
  <c r="B281" i="12"/>
  <c r="B280" i="12"/>
  <c r="B279" i="12"/>
  <c r="B278" i="12"/>
  <c r="B277" i="12"/>
  <c r="B276" i="12"/>
  <c r="B275" i="12"/>
  <c r="B274" i="12"/>
  <c r="B273" i="12"/>
  <c r="B272" i="12"/>
  <c r="B271" i="12"/>
  <c r="B270" i="12"/>
  <c r="B269" i="12"/>
  <c r="B268" i="12"/>
  <c r="B267" i="12"/>
  <c r="B266" i="12"/>
  <c r="B265" i="12"/>
  <c r="B264" i="12"/>
  <c r="B263" i="12"/>
  <c r="B262" i="12"/>
  <c r="B261" i="12"/>
  <c r="B260" i="12"/>
  <c r="B259" i="12"/>
  <c r="B258" i="12"/>
  <c r="B257" i="12"/>
  <c r="B256" i="12"/>
  <c r="B255" i="12"/>
  <c r="B254" i="12"/>
  <c r="B253" i="12"/>
  <c r="B252" i="12"/>
  <c r="B251" i="12"/>
  <c r="B250" i="12"/>
  <c r="B249" i="12"/>
  <c r="B248" i="12"/>
  <c r="B247" i="12"/>
  <c r="B246" i="12"/>
  <c r="B245" i="12"/>
  <c r="B244" i="12"/>
  <c r="B243" i="12"/>
  <c r="B242" i="12"/>
  <c r="B241" i="12"/>
  <c r="B240" i="12"/>
  <c r="B239" i="12"/>
  <c r="B238" i="12"/>
  <c r="B237" i="12"/>
  <c r="B236" i="12"/>
  <c r="B235" i="12"/>
  <c r="B234" i="12"/>
  <c r="B233" i="12"/>
  <c r="B232" i="12"/>
  <c r="B231" i="12"/>
  <c r="B230" i="12"/>
  <c r="B229" i="12"/>
  <c r="B228" i="12"/>
  <c r="B227" i="12"/>
  <c r="B226" i="12"/>
  <c r="B225" i="12"/>
  <c r="B224" i="12"/>
  <c r="B223" i="12"/>
  <c r="B222" i="12"/>
  <c r="B221" i="12"/>
  <c r="B220" i="12"/>
  <c r="B219" i="12"/>
  <c r="B218" i="12"/>
  <c r="B217" i="12"/>
  <c r="B216" i="12"/>
  <c r="B215" i="12"/>
  <c r="B214" i="12"/>
  <c r="B213" i="12"/>
  <c r="B212" i="12"/>
  <c r="B211" i="12"/>
  <c r="B21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B185" i="12"/>
  <c r="B184" i="12"/>
  <c r="B183" i="12"/>
  <c r="B182" i="12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66" i="12"/>
  <c r="B165" i="12"/>
  <c r="B164" i="12"/>
  <c r="B163" i="12"/>
  <c r="B162" i="12"/>
  <c r="B161" i="12"/>
  <c r="B160" i="12"/>
  <c r="B159" i="12"/>
  <c r="B158" i="12"/>
  <c r="B157" i="12"/>
  <c r="B156" i="12"/>
  <c r="B155" i="12"/>
  <c r="B154" i="12"/>
  <c r="B153" i="12"/>
  <c r="B152" i="12"/>
  <c r="B151" i="12"/>
  <c r="B150" i="12"/>
  <c r="B149" i="12"/>
  <c r="B148" i="12"/>
  <c r="B147" i="12"/>
  <c r="B146" i="12"/>
  <c r="B145" i="12"/>
  <c r="B144" i="12"/>
  <c r="B143" i="12"/>
  <c r="B142" i="12"/>
  <c r="B141" i="12"/>
  <c r="B140" i="12"/>
  <c r="B139" i="12"/>
  <c r="B138" i="12"/>
  <c r="B137" i="12"/>
  <c r="B136" i="12"/>
  <c r="B135" i="12"/>
  <c r="B134" i="12"/>
  <c r="B133" i="12"/>
  <c r="B132" i="12"/>
  <c r="B131" i="12"/>
  <c r="B130" i="12"/>
  <c r="B129" i="12"/>
  <c r="B128" i="12"/>
  <c r="B127" i="12"/>
  <c r="B126" i="12"/>
  <c r="B125" i="12"/>
  <c r="B124" i="12"/>
  <c r="B123" i="12"/>
  <c r="B122" i="12"/>
  <c r="B121" i="12"/>
  <c r="B120" i="12"/>
  <c r="B119" i="12"/>
  <c r="B118" i="12"/>
  <c r="B117" i="12"/>
  <c r="B116" i="12"/>
  <c r="B115" i="12"/>
  <c r="B114" i="12"/>
  <c r="B113" i="12"/>
  <c r="B112" i="12"/>
  <c r="B111" i="12"/>
  <c r="B110" i="12"/>
  <c r="B109" i="12"/>
  <c r="B108" i="12"/>
  <c r="B107" i="12"/>
  <c r="B106" i="12"/>
  <c r="B105" i="12"/>
  <c r="B104" i="12"/>
  <c r="B103" i="12"/>
  <c r="B102" i="12"/>
  <c r="B101" i="12"/>
  <c r="B100" i="12"/>
  <c r="B99" i="12"/>
  <c r="B98" i="12"/>
  <c r="B97" i="12"/>
  <c r="B96" i="12"/>
  <c r="B95" i="12"/>
  <c r="B94" i="12"/>
  <c r="B93" i="12"/>
  <c r="B92" i="12"/>
  <c r="B91" i="12"/>
  <c r="B90" i="12"/>
  <c r="B89" i="12"/>
  <c r="B88" i="12"/>
  <c r="B87" i="12"/>
  <c r="B86" i="12"/>
  <c r="B85" i="12"/>
  <c r="B84" i="12"/>
  <c r="B83" i="12"/>
  <c r="B82" i="12"/>
  <c r="B81" i="12"/>
  <c r="B80" i="12"/>
  <c r="B79" i="12"/>
  <c r="B78" i="12"/>
  <c r="B77" i="12"/>
  <c r="B76" i="12"/>
  <c r="B75" i="12"/>
  <c r="B74" i="12"/>
  <c r="B73" i="12"/>
  <c r="B72" i="12"/>
  <c r="B71" i="12"/>
  <c r="B60" i="12"/>
  <c r="B58" i="12"/>
  <c r="B56" i="12"/>
  <c r="B55" i="12"/>
  <c r="B53" i="12"/>
  <c r="B52" i="12"/>
  <c r="B50" i="12"/>
  <c r="B47" i="12"/>
  <c r="B40" i="12"/>
  <c r="B37" i="12"/>
  <c r="B36" i="12"/>
  <c r="B35" i="12"/>
  <c r="B34" i="12"/>
  <c r="B33" i="12"/>
  <c r="B32" i="12"/>
  <c r="B30" i="12"/>
  <c r="B27" i="12"/>
  <c r="B25" i="12"/>
  <c r="B23" i="12"/>
  <c r="B18" i="12"/>
  <c r="B15" i="12"/>
  <c r="B13" i="12"/>
  <c r="B12" i="12"/>
  <c r="B11" i="12"/>
  <c r="B10" i="12"/>
  <c r="B9" i="12"/>
  <c r="B8" i="12"/>
  <c r="B7" i="12"/>
  <c r="B6" i="12"/>
  <c r="B5" i="12"/>
  <c r="F534" i="9"/>
  <c r="B534" i="9"/>
  <c r="F535" i="9"/>
  <c r="B535" i="9"/>
  <c r="F526" i="9"/>
  <c r="B537" i="9"/>
  <c r="F531" i="9"/>
  <c r="F529" i="9"/>
  <c r="F525" i="9"/>
  <c r="F267" i="9"/>
  <c r="F441" i="9"/>
  <c r="E295" i="2"/>
  <c r="F480" i="9"/>
  <c r="F479" i="9"/>
  <c r="F477" i="9"/>
  <c r="F475" i="9"/>
  <c r="F473" i="9"/>
  <c r="F472" i="9"/>
  <c r="F471" i="9"/>
  <c r="F484" i="9"/>
  <c r="F491" i="9"/>
  <c r="F497" i="9"/>
  <c r="F501" i="9"/>
  <c r="F511" i="9"/>
  <c r="F522" i="9"/>
  <c r="B519" i="9"/>
  <c r="B512" i="9"/>
  <c r="B514" i="9"/>
  <c r="B507" i="9"/>
  <c r="B501" i="9"/>
  <c r="B503" i="9"/>
  <c r="B516" i="9"/>
  <c r="B518" i="9"/>
  <c r="B515" i="9"/>
  <c r="B510" i="9"/>
  <c r="A17" i="10"/>
  <c r="B498" i="9"/>
  <c r="B483" i="9"/>
  <c r="B528" i="9"/>
  <c r="B538" i="9"/>
  <c r="B536" i="9"/>
  <c r="B530" i="9"/>
  <c r="B539" i="9"/>
  <c r="B469" i="9"/>
  <c r="B509" i="9"/>
  <c r="B473" i="9"/>
  <c r="B495" i="9"/>
  <c r="B492" i="9"/>
  <c r="B489" i="9"/>
  <c r="B486" i="9"/>
  <c r="B485" i="9"/>
  <c r="B481" i="9"/>
  <c r="B466" i="9"/>
  <c r="B465" i="9"/>
  <c r="B476" i="9"/>
  <c r="B475" i="9"/>
  <c r="B480" i="9"/>
  <c r="B472" i="9"/>
  <c r="B478" i="9"/>
  <c r="B477" i="9"/>
  <c r="B482" i="9"/>
  <c r="B471" i="9"/>
  <c r="B468" i="9"/>
  <c r="B470" i="9"/>
  <c r="B490" i="9"/>
  <c r="B474" i="9"/>
  <c r="B459" i="9"/>
  <c r="B462" i="9"/>
  <c r="B458" i="9"/>
  <c r="B460" i="9"/>
  <c r="B443" i="9"/>
  <c r="B456" i="9"/>
  <c r="F375" i="9"/>
  <c r="F90" i="9"/>
  <c r="F88" i="9"/>
  <c r="F85" i="9"/>
  <c r="F157" i="9"/>
  <c r="F156" i="9"/>
  <c r="B6" i="9"/>
  <c r="B13" i="9"/>
  <c r="B12" i="9"/>
  <c r="B11" i="9"/>
  <c r="F13" i="9"/>
  <c r="F11" i="9"/>
  <c r="F9" i="9"/>
  <c r="F8" i="9"/>
  <c r="F7" i="9"/>
  <c r="F15" i="9"/>
  <c r="F20" i="9"/>
  <c r="F26" i="9"/>
  <c r="F30" i="9"/>
  <c r="F31" i="9"/>
  <c r="F33" i="9"/>
  <c r="F36" i="9"/>
  <c r="F40" i="9"/>
  <c r="F41" i="9"/>
  <c r="F53" i="9"/>
  <c r="F52" i="9"/>
  <c r="F50" i="9"/>
  <c r="F47" i="9"/>
  <c r="F46" i="9"/>
  <c r="F45" i="9"/>
  <c r="F59" i="9"/>
  <c r="F66" i="9"/>
  <c r="F64" i="9"/>
  <c r="F63" i="9"/>
  <c r="F91" i="9"/>
  <c r="F84" i="9"/>
  <c r="F95" i="9"/>
  <c r="F94" i="9"/>
  <c r="F99" i="9"/>
  <c r="F98" i="9"/>
  <c r="F101" i="9"/>
  <c r="F104" i="9"/>
  <c r="F108" i="9"/>
  <c r="F109" i="9"/>
  <c r="F110" i="9"/>
  <c r="F113" i="9"/>
  <c r="F112" i="9"/>
  <c r="F139" i="9"/>
  <c r="F138" i="9"/>
  <c r="F151" i="9"/>
  <c r="F147" i="9"/>
  <c r="F146" i="9"/>
  <c r="F167" i="9"/>
  <c r="F178" i="9"/>
  <c r="F180" i="9"/>
  <c r="F186" i="9"/>
  <c r="F202" i="9"/>
  <c r="F201" i="9"/>
  <c r="F199" i="9"/>
  <c r="F196" i="9"/>
  <c r="F195" i="9"/>
  <c r="F193" i="9"/>
  <c r="F192" i="9"/>
  <c r="F208" i="9"/>
  <c r="F211" i="9"/>
  <c r="F216" i="9"/>
  <c r="F220" i="9"/>
  <c r="F239" i="9"/>
  <c r="F238" i="9"/>
  <c r="F235" i="9"/>
  <c r="F233" i="9"/>
  <c r="F232" i="9"/>
  <c r="F228" i="9"/>
  <c r="F231" i="9"/>
  <c r="F240" i="9"/>
  <c r="F250" i="9"/>
  <c r="F248" i="9"/>
  <c r="F251" i="9"/>
  <c r="F254" i="9"/>
  <c r="F257" i="9"/>
  <c r="F260" i="9"/>
  <c r="F266" i="9"/>
  <c r="F264" i="9"/>
  <c r="F269" i="9"/>
  <c r="F268" i="9"/>
  <c r="F280" i="9"/>
  <c r="F279" i="9"/>
  <c r="F276" i="9"/>
  <c r="F275" i="9"/>
  <c r="F272" i="9"/>
  <c r="F274" i="9"/>
  <c r="F286" i="9"/>
  <c r="F284" i="9"/>
  <c r="F283" i="9"/>
  <c r="F289" i="9"/>
  <c r="F303" i="9"/>
  <c r="F324" i="9"/>
  <c r="G324" i="9"/>
  <c r="F323" i="9"/>
  <c r="F320" i="9"/>
  <c r="F318" i="9"/>
  <c r="F317" i="9"/>
  <c r="F316" i="9"/>
  <c r="F329" i="9"/>
  <c r="F328" i="9"/>
  <c r="F338" i="9"/>
  <c r="F347" i="9"/>
  <c r="F359" i="9"/>
  <c r="F358" i="9"/>
  <c r="F357" i="9"/>
  <c r="F356" i="9"/>
  <c r="F355" i="9"/>
  <c r="F354" i="9"/>
  <c r="F353" i="9"/>
  <c r="F352" i="9"/>
  <c r="F370" i="9"/>
  <c r="G370" i="9"/>
  <c r="F369" i="9"/>
  <c r="F367" i="9"/>
  <c r="F365" i="9"/>
  <c r="F363" i="9"/>
  <c r="F381" i="9"/>
  <c r="F403" i="9"/>
  <c r="F402" i="9"/>
  <c r="F400" i="9"/>
  <c r="F398" i="9"/>
  <c r="F396" i="9"/>
  <c r="F438" i="9"/>
  <c r="F436" i="9"/>
  <c r="F433" i="9"/>
  <c r="F432" i="9"/>
  <c r="F431" i="9"/>
  <c r="F430" i="9"/>
  <c r="F452" i="9"/>
  <c r="B10" i="9"/>
  <c r="B9" i="9"/>
  <c r="B8" i="9"/>
  <c r="B7" i="9"/>
  <c r="B5" i="9"/>
  <c r="B14" i="9"/>
  <c r="B15" i="9"/>
  <c r="B16" i="9"/>
  <c r="B17" i="9"/>
  <c r="B19" i="9"/>
  <c r="B20" i="9"/>
  <c r="B18" i="9"/>
  <c r="B21" i="9"/>
  <c r="B22" i="9"/>
  <c r="B24" i="9"/>
  <c r="B23" i="9"/>
  <c r="B25" i="9"/>
  <c r="B27" i="9"/>
  <c r="B26" i="9"/>
  <c r="B28" i="9"/>
  <c r="B30" i="9"/>
  <c r="B29" i="9"/>
  <c r="B32" i="9"/>
  <c r="B31" i="9"/>
  <c r="B33" i="9"/>
  <c r="B34" i="9"/>
  <c r="B35" i="9"/>
  <c r="B37" i="9"/>
  <c r="B36" i="9"/>
  <c r="B39" i="9"/>
  <c r="B38" i="9"/>
  <c r="B40" i="9"/>
  <c r="B41" i="9"/>
  <c r="B42" i="9"/>
  <c r="B53" i="9"/>
  <c r="B52" i="9"/>
  <c r="B51" i="9"/>
  <c r="B50" i="9"/>
  <c r="B49" i="9"/>
  <c r="B48" i="9"/>
  <c r="B47" i="9"/>
  <c r="B46" i="9"/>
  <c r="B45" i="9"/>
  <c r="B44" i="9"/>
  <c r="B43" i="9"/>
  <c r="B55" i="9"/>
  <c r="B54" i="9"/>
  <c r="B60" i="9"/>
  <c r="B59" i="9"/>
  <c r="B58" i="9"/>
  <c r="B57" i="9"/>
  <c r="B56" i="9"/>
  <c r="B61" i="9"/>
  <c r="B62" i="9"/>
  <c r="B66" i="9"/>
  <c r="B65" i="9"/>
  <c r="B64" i="9"/>
  <c r="B63" i="9"/>
  <c r="B68" i="9"/>
  <c r="B67" i="9"/>
  <c r="B69" i="9"/>
  <c r="B72" i="9"/>
  <c r="B71" i="9"/>
  <c r="B70" i="9"/>
  <c r="B75" i="9"/>
  <c r="B74" i="9"/>
  <c r="B73" i="9"/>
  <c r="B76" i="9"/>
  <c r="B77" i="9"/>
  <c r="B79" i="9"/>
  <c r="B78" i="9"/>
  <c r="B81" i="9"/>
  <c r="B80" i="9"/>
  <c r="B91" i="9"/>
  <c r="B90" i="9"/>
  <c r="B89" i="9"/>
  <c r="B82" i="9"/>
  <c r="B88" i="9"/>
  <c r="B87" i="9"/>
  <c r="B86" i="9"/>
  <c r="B85" i="9"/>
  <c r="B84" i="9"/>
  <c r="B83" i="9"/>
  <c r="B96" i="9"/>
  <c r="B95" i="9"/>
  <c r="B94" i="9"/>
  <c r="B93" i="9"/>
  <c r="B92" i="9"/>
  <c r="B99" i="9"/>
  <c r="B98" i="9"/>
  <c r="B97" i="9"/>
  <c r="B100" i="9"/>
  <c r="B101" i="9"/>
  <c r="B102" i="9"/>
  <c r="B104" i="9"/>
  <c r="B103" i="9"/>
  <c r="B107" i="9"/>
  <c r="B106" i="9"/>
  <c r="B105" i="9"/>
  <c r="B108" i="9"/>
  <c r="B109" i="9"/>
  <c r="B110" i="9"/>
  <c r="B111" i="9"/>
  <c r="B113" i="9"/>
  <c r="B112" i="9"/>
  <c r="B115" i="9"/>
  <c r="B114" i="9"/>
  <c r="B116" i="9"/>
  <c r="B117" i="9"/>
  <c r="B118" i="9"/>
  <c r="B121" i="9"/>
  <c r="B120" i="9"/>
  <c r="B119" i="9"/>
  <c r="B123" i="9"/>
  <c r="B124" i="9"/>
  <c r="B125" i="9"/>
  <c r="B126" i="9"/>
  <c r="B127" i="9"/>
  <c r="B128" i="9"/>
  <c r="B129" i="9"/>
  <c r="B130" i="9"/>
  <c r="B131" i="9"/>
  <c r="B132" i="9"/>
  <c r="B122" i="9"/>
  <c r="B133" i="9"/>
  <c r="B137" i="9"/>
  <c r="B136" i="9"/>
  <c r="B135" i="9"/>
  <c r="B134" i="9"/>
  <c r="B140" i="9"/>
  <c r="B139" i="9"/>
  <c r="B138" i="9"/>
  <c r="B142" i="9"/>
  <c r="B141" i="9"/>
  <c r="B159" i="9"/>
  <c r="B158" i="9"/>
  <c r="B157" i="9"/>
  <c r="B156" i="9"/>
  <c r="B143" i="9"/>
  <c r="B155" i="9"/>
  <c r="B154" i="9"/>
  <c r="B153" i="9"/>
  <c r="B152" i="9"/>
  <c r="B151" i="9"/>
  <c r="B150" i="9"/>
  <c r="B148" i="9"/>
  <c r="B149" i="9"/>
  <c r="B147" i="9"/>
  <c r="B146" i="9"/>
  <c r="B145" i="9"/>
  <c r="B144" i="9"/>
  <c r="B160" i="9"/>
  <c r="B162" i="9"/>
  <c r="B161" i="9"/>
  <c r="B164" i="9"/>
  <c r="B163" i="9"/>
  <c r="B167" i="9"/>
  <c r="B166" i="9"/>
  <c r="B165" i="9"/>
  <c r="B168" i="9"/>
  <c r="B170" i="9"/>
  <c r="B169" i="9"/>
  <c r="B171" i="9"/>
  <c r="B172" i="9"/>
  <c r="B173" i="9"/>
  <c r="B176" i="9"/>
  <c r="B175" i="9"/>
  <c r="B174" i="9"/>
  <c r="B177" i="9"/>
  <c r="B179" i="9"/>
  <c r="B178" i="9"/>
  <c r="B180" i="9"/>
  <c r="B181" i="9"/>
  <c r="B182" i="9"/>
  <c r="B183" i="9"/>
  <c r="B184" i="9"/>
  <c r="B186" i="9"/>
  <c r="B185" i="9"/>
  <c r="B188" i="9"/>
  <c r="B187" i="9"/>
  <c r="B202" i="9"/>
  <c r="B201" i="9"/>
  <c r="B200" i="9"/>
  <c r="B199" i="9"/>
  <c r="B198" i="9"/>
  <c r="B197" i="9"/>
  <c r="B196" i="9"/>
  <c r="B189" i="9"/>
  <c r="B195" i="9"/>
  <c r="B194" i="9"/>
  <c r="B193" i="9"/>
  <c r="B192" i="9"/>
  <c r="B191" i="9"/>
  <c r="B190" i="9"/>
  <c r="B203" i="9"/>
  <c r="B206" i="9"/>
  <c r="B205" i="9"/>
  <c r="B204" i="9"/>
  <c r="B208" i="9"/>
  <c r="B207" i="9"/>
  <c r="B209" i="9"/>
  <c r="B211" i="9"/>
  <c r="B210" i="9"/>
  <c r="B212" i="9"/>
  <c r="B214" i="9"/>
  <c r="B213" i="9"/>
  <c r="B215" i="9"/>
  <c r="B216" i="9"/>
  <c r="B218" i="9"/>
  <c r="B217" i="9"/>
  <c r="B221" i="9"/>
  <c r="B220" i="9"/>
  <c r="B219" i="9"/>
  <c r="B223" i="9"/>
  <c r="B222" i="9"/>
  <c r="B224" i="9"/>
  <c r="B227" i="9"/>
  <c r="B226" i="9"/>
  <c r="B225" i="9"/>
  <c r="B239" i="9"/>
  <c r="B238" i="9"/>
  <c r="B237" i="9"/>
  <c r="B236" i="9"/>
  <c r="B235" i="9"/>
  <c r="B234" i="9"/>
  <c r="B233" i="9"/>
  <c r="B232" i="9"/>
  <c r="B228" i="9"/>
  <c r="B229" i="9"/>
  <c r="B231" i="9"/>
  <c r="B230" i="9"/>
  <c r="B241" i="9"/>
  <c r="B240" i="9"/>
  <c r="B243" i="9"/>
  <c r="B242" i="9"/>
  <c r="B244" i="9"/>
  <c r="B245" i="9"/>
  <c r="B246" i="9"/>
  <c r="B250" i="9"/>
  <c r="B249" i="9"/>
  <c r="B248" i="9"/>
  <c r="B247" i="9"/>
  <c r="B251" i="9"/>
  <c r="B252" i="9"/>
  <c r="B253" i="9"/>
  <c r="B254" i="9"/>
  <c r="B259" i="9"/>
  <c r="B258" i="9"/>
  <c r="B257" i="9"/>
  <c r="B256" i="9"/>
  <c r="B255" i="9"/>
  <c r="B261" i="9"/>
  <c r="B260" i="9"/>
  <c r="B262" i="9"/>
  <c r="B263" i="9"/>
  <c r="B267" i="9"/>
  <c r="B266" i="9"/>
  <c r="B265" i="9"/>
  <c r="B264" i="9"/>
  <c r="B269" i="9"/>
  <c r="B268" i="9"/>
  <c r="B270" i="9"/>
  <c r="B280" i="9"/>
  <c r="B279" i="9"/>
  <c r="B278" i="9"/>
  <c r="B277" i="9"/>
  <c r="B276" i="9"/>
  <c r="B275" i="9"/>
  <c r="B271" i="9"/>
  <c r="B272" i="9"/>
  <c r="B274" i="9"/>
  <c r="B273" i="9"/>
  <c r="B281" i="9"/>
  <c r="B282" i="9"/>
  <c r="B286" i="9"/>
  <c r="B285" i="9"/>
  <c r="B284" i="9"/>
  <c r="B283" i="9"/>
  <c r="B287" i="9"/>
  <c r="B288" i="9"/>
  <c r="B289" i="9"/>
  <c r="B291" i="9"/>
  <c r="B290" i="9"/>
  <c r="B292" i="9"/>
  <c r="B293" i="9"/>
  <c r="B296" i="9"/>
  <c r="B295" i="9"/>
  <c r="B294" i="9"/>
  <c r="B298" i="9"/>
  <c r="B297" i="9"/>
  <c r="B299" i="9"/>
  <c r="B300" i="9"/>
  <c r="B304" i="9"/>
  <c r="B303" i="9"/>
  <c r="B302" i="9"/>
  <c r="B301" i="9"/>
  <c r="B307" i="9"/>
  <c r="B306" i="9"/>
  <c r="B305" i="9"/>
  <c r="B308" i="9"/>
  <c r="B309" i="9"/>
  <c r="B310" i="9"/>
  <c r="B324" i="9"/>
  <c r="B323" i="9"/>
  <c r="B322" i="9"/>
  <c r="B321" i="9"/>
  <c r="B320" i="9"/>
  <c r="B319" i="9"/>
  <c r="B318" i="9"/>
  <c r="B311" i="9"/>
  <c r="B312" i="9"/>
  <c r="B313" i="9"/>
  <c r="B317" i="9"/>
  <c r="B316" i="9"/>
  <c r="B315" i="9"/>
  <c r="B314" i="9"/>
  <c r="B326" i="9"/>
  <c r="B325" i="9"/>
  <c r="B327" i="9"/>
  <c r="B329" i="9"/>
  <c r="B328" i="9"/>
  <c r="B331" i="9"/>
  <c r="B330" i="9"/>
  <c r="B332" i="9"/>
  <c r="B335" i="9"/>
  <c r="B334" i="9"/>
  <c r="B333" i="9"/>
  <c r="B338" i="9"/>
  <c r="B337" i="9"/>
  <c r="B336" i="9"/>
  <c r="B339" i="9"/>
  <c r="B340" i="9"/>
  <c r="B341" i="9"/>
  <c r="B342" i="9"/>
  <c r="B343" i="9"/>
  <c r="B344" i="9"/>
  <c r="B346" i="9"/>
  <c r="B345" i="9"/>
  <c r="B348" i="9"/>
  <c r="B347" i="9"/>
  <c r="B349" i="9"/>
  <c r="B350" i="9"/>
  <c r="B351" i="9"/>
  <c r="B359" i="9"/>
  <c r="B358" i="9"/>
  <c r="B357" i="9"/>
  <c r="B356" i="9"/>
  <c r="B355" i="9"/>
  <c r="B354" i="9"/>
  <c r="B353" i="9"/>
  <c r="B352" i="9"/>
  <c r="B360" i="9"/>
  <c r="B370" i="9"/>
  <c r="B369" i="9"/>
  <c r="B368" i="9"/>
  <c r="B367" i="9"/>
  <c r="B366" i="9"/>
  <c r="B365" i="9"/>
  <c r="B364" i="9"/>
  <c r="B363" i="9"/>
  <c r="B362" i="9"/>
  <c r="B361" i="9"/>
  <c r="B372" i="9"/>
  <c r="B371" i="9"/>
  <c r="B376" i="9"/>
  <c r="B375" i="9"/>
  <c r="B374" i="9"/>
  <c r="B373" i="9"/>
  <c r="B377" i="9"/>
  <c r="B378" i="9"/>
  <c r="B379" i="9"/>
  <c r="B380" i="9"/>
  <c r="B381" i="9"/>
  <c r="B382" i="9"/>
  <c r="B383" i="9"/>
  <c r="B384" i="9"/>
  <c r="B388" i="9"/>
  <c r="B387" i="9"/>
  <c r="B386" i="9"/>
  <c r="B385" i="9"/>
  <c r="B389" i="9"/>
  <c r="B390" i="9"/>
  <c r="B392" i="9"/>
  <c r="B391" i="9"/>
  <c r="B393" i="9"/>
  <c r="B403" i="9"/>
  <c r="B402" i="9"/>
  <c r="B401" i="9"/>
  <c r="B400" i="9"/>
  <c r="B399" i="9"/>
  <c r="B398" i="9"/>
  <c r="B397" i="9"/>
  <c r="B396" i="9"/>
  <c r="B394" i="9"/>
  <c r="B395" i="9"/>
  <c r="B404" i="9"/>
  <c r="B405" i="9"/>
  <c r="B406" i="9"/>
  <c r="B407" i="9"/>
  <c r="B409" i="9"/>
  <c r="B408" i="9"/>
  <c r="B410" i="9"/>
  <c r="B412" i="9"/>
  <c r="B411" i="9"/>
  <c r="B413" i="9"/>
  <c r="B415" i="9"/>
  <c r="B414" i="9"/>
  <c r="B417" i="9"/>
  <c r="B416" i="9"/>
  <c r="B418" i="9"/>
  <c r="B419" i="9"/>
  <c r="B422" i="9"/>
  <c r="B421" i="9"/>
  <c r="B420" i="9"/>
  <c r="B423" i="9"/>
  <c r="B425" i="9"/>
  <c r="B424" i="9"/>
  <c r="B427" i="9"/>
  <c r="B426" i="9"/>
  <c r="B438" i="9"/>
  <c r="B437" i="9"/>
  <c r="B436" i="9"/>
  <c r="B435" i="9"/>
  <c r="B434" i="9"/>
  <c r="B433" i="9"/>
  <c r="B432" i="9"/>
  <c r="B431" i="9"/>
  <c r="B430" i="9"/>
  <c r="B428" i="9"/>
  <c r="B429" i="9"/>
  <c r="B450" i="9"/>
  <c r="B442" i="9"/>
  <c r="B441" i="9"/>
  <c r="B440" i="9"/>
  <c r="B439" i="9"/>
  <c r="B444" i="9"/>
  <c r="B446" i="9"/>
  <c r="B445" i="9"/>
  <c r="B447" i="9"/>
  <c r="B448" i="9"/>
  <c r="B449" i="9"/>
  <c r="B451" i="9"/>
  <c r="B452" i="9"/>
  <c r="B453" i="9"/>
  <c r="B454" i="9"/>
  <c r="B455" i="9"/>
  <c r="B457" i="9"/>
  <c r="B461" i="9"/>
  <c r="B463" i="9"/>
  <c r="B464" i="9"/>
  <c r="B467" i="9"/>
  <c r="B479" i="9"/>
  <c r="B484" i="9"/>
  <c r="B487" i="9"/>
  <c r="B488" i="9"/>
  <c r="B491" i="9"/>
  <c r="B493" i="9"/>
  <c r="B494" i="9"/>
  <c r="B496" i="9"/>
  <c r="B497" i="9"/>
  <c r="B499" i="9"/>
  <c r="B500" i="9"/>
  <c r="B502" i="9"/>
  <c r="B504" i="9"/>
  <c r="B505" i="9"/>
  <c r="B506" i="9"/>
  <c r="B508" i="9"/>
  <c r="B511" i="9"/>
  <c r="B513" i="9"/>
  <c r="B517" i="9"/>
  <c r="B520" i="9"/>
  <c r="B521" i="9"/>
  <c r="B522" i="9"/>
  <c r="B523" i="9"/>
  <c r="B524" i="9"/>
  <c r="B527" i="9"/>
  <c r="B526" i="9"/>
  <c r="B525" i="9"/>
  <c r="G364" i="9"/>
  <c r="H364" i="9"/>
  <c r="H399" i="9"/>
  <c r="H398" i="9"/>
  <c r="B5" i="2"/>
  <c r="B100" i="2"/>
  <c r="B153" i="2"/>
  <c r="B66" i="2"/>
  <c r="B128" i="2"/>
  <c r="B57" i="2"/>
  <c r="B259" i="2"/>
  <c r="B281" i="2"/>
  <c r="B253" i="2"/>
  <c r="B206" i="2"/>
  <c r="B40" i="2"/>
  <c r="B164" i="2"/>
  <c r="B145" i="2"/>
  <c r="B244" i="2"/>
  <c r="B19" i="2"/>
  <c r="B82" i="2"/>
  <c r="B238" i="2"/>
  <c r="B22" i="2"/>
  <c r="B101" i="2"/>
  <c r="B154" i="2"/>
  <c r="B142" i="2"/>
  <c r="B59" i="2"/>
  <c r="B23" i="2"/>
  <c r="B38" i="2"/>
  <c r="B207" i="2"/>
  <c r="B195" i="2"/>
  <c r="B17" i="2"/>
  <c r="B157" i="2"/>
  <c r="B25" i="2"/>
  <c r="B45" i="2"/>
  <c r="B24" i="2"/>
  <c r="B36" i="2"/>
  <c r="B196" i="2"/>
  <c r="B71" i="2"/>
  <c r="B112" i="2"/>
  <c r="B72" i="2"/>
  <c r="B102" i="2"/>
  <c r="B155" i="2"/>
  <c r="B254" i="2"/>
  <c r="B20" i="2"/>
  <c r="B54" i="2"/>
  <c r="B52" i="2"/>
  <c r="B271" i="2"/>
  <c r="B197" i="2"/>
  <c r="B172" i="2"/>
  <c r="B56" i="2"/>
  <c r="B190" i="2"/>
  <c r="B269" i="2"/>
  <c r="B53" i="2"/>
  <c r="B103" i="2"/>
  <c r="B138" i="2"/>
  <c r="B193" i="2"/>
  <c r="B37" i="2"/>
  <c r="B191" i="2"/>
  <c r="B48" i="2"/>
  <c r="B98" i="2"/>
  <c r="B173" i="2"/>
  <c r="B41" i="2"/>
  <c r="B44" i="2"/>
  <c r="B255" i="2"/>
  <c r="B58" i="2"/>
  <c r="B65" i="2"/>
  <c r="B95" i="2"/>
  <c r="B199" i="2"/>
  <c r="B192" i="2"/>
  <c r="B84" i="2"/>
  <c r="B272" i="2"/>
  <c r="B89" i="2"/>
  <c r="B285" i="2"/>
  <c r="B29" i="2"/>
  <c r="B75" i="2"/>
  <c r="B224" i="2"/>
  <c r="B79" i="2"/>
  <c r="B87" i="2"/>
  <c r="B34" i="2"/>
  <c r="B150" i="2"/>
  <c r="B104" i="2"/>
  <c r="B139" i="2"/>
  <c r="B9" i="2"/>
  <c r="B90" i="2"/>
  <c r="B213" i="2"/>
  <c r="B146" i="2"/>
  <c r="B200" i="2"/>
  <c r="B184" i="2"/>
  <c r="B256" i="2"/>
  <c r="B221" i="2"/>
  <c r="B230" i="2"/>
  <c r="B149" i="2"/>
  <c r="B152" i="2"/>
  <c r="B43" i="2"/>
  <c r="B147" i="2"/>
  <c r="B96" i="2"/>
  <c r="B49" i="2"/>
  <c r="B276" i="2"/>
  <c r="B105" i="2"/>
  <c r="B140" i="2"/>
  <c r="B93" i="2"/>
  <c r="B60" i="2"/>
  <c r="B55" i="2"/>
  <c r="B113" i="2"/>
  <c r="B85" i="2"/>
  <c r="B159" i="2"/>
  <c r="B81" i="2"/>
  <c r="B214" i="2"/>
  <c r="B51" i="2"/>
  <c r="B26" i="2"/>
  <c r="B260" i="2"/>
  <c r="B21" i="2"/>
  <c r="B10" i="2"/>
  <c r="B208" i="2"/>
  <c r="B222" i="2"/>
  <c r="B118" i="2"/>
  <c r="B117" i="2"/>
  <c r="B68" i="2"/>
  <c r="B31" i="2"/>
  <c r="B279" i="2"/>
  <c r="B106" i="2"/>
  <c r="B133" i="2"/>
  <c r="B127" i="2"/>
  <c r="B94" i="2"/>
  <c r="B32" i="2"/>
  <c r="B274" i="2"/>
  <c r="B116" i="2"/>
  <c r="B12" i="2"/>
  <c r="B169" i="2"/>
  <c r="B91" i="2"/>
  <c r="B165" i="2"/>
  <c r="B174" i="2"/>
  <c r="B80" i="2"/>
  <c r="B248" i="2"/>
  <c r="B170" i="2"/>
  <c r="B223" i="2"/>
  <c r="B120" i="2"/>
  <c r="B92" i="2"/>
  <c r="B247" i="2"/>
  <c r="B236" i="2"/>
  <c r="B141" i="2"/>
  <c r="B107" i="2"/>
  <c r="B134" i="2"/>
  <c r="B39" i="2"/>
  <c r="B167" i="2"/>
  <c r="B175" i="2"/>
  <c r="B30" i="2"/>
  <c r="B198" i="2"/>
  <c r="B50" i="2"/>
  <c r="B115" i="2"/>
  <c r="B28" i="2"/>
  <c r="B83" i="2"/>
  <c r="B188" i="2"/>
  <c r="B227" i="2"/>
  <c r="B209" i="2"/>
  <c r="B64" i="2"/>
  <c r="B249" i="2"/>
  <c r="B13" i="2"/>
  <c r="B158" i="2"/>
  <c r="B166" i="2"/>
  <c r="B76" i="2"/>
  <c r="B194" i="2"/>
  <c r="B163" i="2"/>
  <c r="B143" i="2"/>
  <c r="B148" i="2"/>
  <c r="B203" i="2"/>
  <c r="B266" i="2"/>
  <c r="B69" i="2"/>
  <c r="B189" i="2"/>
  <c r="B108" i="2"/>
  <c r="B135" i="2"/>
  <c r="B15" i="2"/>
  <c r="B63" i="2"/>
  <c r="B181" i="2"/>
  <c r="B267" i="2"/>
  <c r="B183" i="2"/>
  <c r="B232" i="2"/>
  <c r="B270" i="2"/>
  <c r="B261" i="2"/>
  <c r="B251" i="2"/>
  <c r="B245" i="2"/>
  <c r="B250" i="2"/>
  <c r="B239" i="2"/>
  <c r="B233" i="2"/>
  <c r="B122" i="2"/>
  <c r="B220" i="2"/>
  <c r="B210" i="2"/>
  <c r="B6" i="2"/>
  <c r="B111" i="2"/>
  <c r="B265" i="2"/>
  <c r="B162" i="2"/>
  <c r="B160" i="2"/>
  <c r="B124" i="2"/>
  <c r="B277" i="2"/>
  <c r="B283" i="2"/>
  <c r="B77" i="2"/>
  <c r="B280" i="2"/>
  <c r="B33" i="2"/>
  <c r="B218" i="2"/>
  <c r="B67" i="2"/>
  <c r="B201" i="2"/>
  <c r="B109" i="2"/>
  <c r="B136" i="2"/>
  <c r="B16" i="2"/>
  <c r="B168" i="2"/>
  <c r="B61" i="2"/>
  <c r="B7" i="2"/>
  <c r="B185" i="2"/>
  <c r="B211" i="2"/>
  <c r="B70" i="2"/>
  <c r="B97" i="2"/>
  <c r="B161" i="2"/>
  <c r="B144" i="2"/>
  <c r="B27" i="2"/>
  <c r="B237" i="2"/>
  <c r="B126" i="2"/>
  <c r="B235" i="2"/>
  <c r="B226" i="2"/>
  <c r="B286" i="2"/>
  <c r="B14" i="2"/>
  <c r="B121" i="2"/>
  <c r="B234" i="2"/>
  <c r="B46" i="2"/>
  <c r="B78" i="2"/>
  <c r="B240" i="2"/>
  <c r="B156" i="2"/>
  <c r="B18" i="2"/>
  <c r="B228" i="2"/>
  <c r="B132" i="2"/>
  <c r="B119" i="2"/>
  <c r="B231" i="2"/>
  <c r="B110" i="2"/>
  <c r="B137" i="2"/>
  <c r="B35" i="2"/>
  <c r="B182" i="2"/>
  <c r="B62" i="2"/>
  <c r="B8" i="2"/>
  <c r="B252" i="2"/>
  <c r="B176" i="2"/>
  <c r="B243" i="2"/>
  <c r="B123" i="2"/>
  <c r="B114" i="2"/>
  <c r="B273" i="2"/>
  <c r="B180" i="2"/>
  <c r="B284" i="2"/>
  <c r="B212" i="2"/>
  <c r="B241" i="2"/>
  <c r="B204" i="2"/>
  <c r="B130" i="2"/>
  <c r="B73" i="2"/>
  <c r="B282" i="2"/>
  <c r="B202" i="2"/>
  <c r="B129" i="2"/>
  <c r="B215" i="2"/>
  <c r="B216" i="2"/>
  <c r="B257" i="2"/>
  <c r="B217" i="2"/>
  <c r="B278" i="2"/>
  <c r="B225" i="2"/>
  <c r="B229" i="2"/>
  <c r="B275" i="2"/>
  <c r="B262" i="2"/>
  <c r="B263" i="2"/>
  <c r="B219" i="2"/>
  <c r="B171" i="2"/>
  <c r="B11" i="2"/>
  <c r="B205" i="2"/>
  <c r="B125" i="2"/>
  <c r="B268" i="2"/>
  <c r="B264" i="2"/>
  <c r="B88" i="2"/>
  <c r="B86" i="2"/>
  <c r="B242" i="2"/>
  <c r="B151" i="2"/>
  <c r="B74" i="2"/>
  <c r="B178" i="2"/>
  <c r="B47" i="2"/>
  <c r="B186" i="2"/>
  <c r="B42" i="2"/>
  <c r="B177" i="2"/>
  <c r="B131" i="2"/>
  <c r="B258" i="2"/>
  <c r="B179" i="2"/>
  <c r="B99" i="2"/>
  <c r="B187" i="2"/>
  <c r="B246" i="2"/>
  <c r="B292" i="2"/>
  <c r="B293" i="2"/>
  <c r="B294" i="2"/>
  <c r="B5" i="3"/>
  <c r="B6" i="3"/>
  <c r="B7" i="3"/>
  <c r="B8" i="3"/>
  <c r="B9" i="3"/>
  <c r="B10" i="3"/>
  <c r="B11" i="3"/>
  <c r="B12" i="3"/>
  <c r="B13" i="3"/>
  <c r="B14" i="3"/>
  <c r="E78" i="10"/>
  <c r="E77" i="10"/>
  <c r="E76" i="10"/>
  <c r="G404" i="9"/>
  <c r="E99" i="2"/>
  <c r="E74" i="2"/>
  <c r="G263" i="9"/>
  <c r="C21" i="10"/>
  <c r="G214" i="9"/>
  <c r="D53" i="10"/>
  <c r="E86" i="2"/>
  <c r="B44" i="3"/>
  <c r="D50" i="3"/>
  <c r="A51" i="3"/>
  <c r="D51" i="3" s="1"/>
  <c r="D44" i="3"/>
  <c r="C5" i="3"/>
  <c r="D5" i="3"/>
  <c r="C6" i="3"/>
  <c r="D6" i="3"/>
  <c r="C7" i="3"/>
  <c r="D7" i="3"/>
  <c r="C8" i="3"/>
  <c r="D8" i="3"/>
  <c r="C9" i="3"/>
  <c r="D9" i="3"/>
  <c r="C10" i="3"/>
  <c r="D10" i="3"/>
  <c r="E5" i="3"/>
  <c r="E6" i="3"/>
  <c r="E7" i="3"/>
  <c r="E8" i="3"/>
  <c r="E9" i="3"/>
  <c r="E10" i="3"/>
  <c r="G115" i="9"/>
  <c r="H214" i="9"/>
  <c r="A16" i="3"/>
  <c r="C39" i="3"/>
  <c r="D40" i="3"/>
  <c r="D70" i="10"/>
  <c r="C70" i="10"/>
  <c r="B70" i="10"/>
  <c r="D51" i="10"/>
  <c r="D49" i="10"/>
  <c r="D50" i="10"/>
  <c r="D52" i="10"/>
  <c r="D54" i="10"/>
  <c r="D55" i="10"/>
  <c r="D57" i="10"/>
  <c r="D58" i="10"/>
  <c r="D59" i="10"/>
  <c r="D48" i="10"/>
  <c r="H62" i="9"/>
  <c r="D43" i="10"/>
  <c r="D44" i="10"/>
  <c r="A29" i="3"/>
  <c r="E263" i="2"/>
  <c r="E223" i="2"/>
  <c r="E92" i="2"/>
  <c r="E115" i="2"/>
  <c r="E227" i="2"/>
  <c r="E194" i="2"/>
  <c r="E270" i="2"/>
  <c r="E261" i="2"/>
  <c r="E251" i="2"/>
  <c r="E233" i="2"/>
  <c r="E220" i="2"/>
  <c r="E162" i="2"/>
  <c r="E97" i="2"/>
  <c r="E126" i="2"/>
  <c r="E226" i="2"/>
  <c r="E234" i="2"/>
  <c r="E156" i="2"/>
  <c r="E119" i="2"/>
  <c r="E243" i="2"/>
  <c r="E180" i="2"/>
  <c r="E204" i="2"/>
  <c r="E202" i="2"/>
  <c r="E225" i="2"/>
  <c r="E219" i="2"/>
  <c r="E205" i="2"/>
  <c r="E151" i="2"/>
  <c r="E187" i="2"/>
  <c r="E178" i="2"/>
  <c r="E186" i="2"/>
  <c r="E242" i="2"/>
  <c r="E278" i="2"/>
  <c r="E217" i="2"/>
  <c r="E257" i="2"/>
  <c r="E252" i="2"/>
  <c r="E215" i="2"/>
  <c r="G251" i="2"/>
  <c r="E130" i="2"/>
  <c r="E39" i="2"/>
  <c r="E198" i="2"/>
  <c r="E50" i="2"/>
  <c r="E28" i="2"/>
  <c r="E249" i="2"/>
  <c r="E158" i="2"/>
  <c r="E143" i="2"/>
  <c r="E148" i="2"/>
  <c r="E6" i="2"/>
  <c r="E33" i="2"/>
  <c r="E67" i="2"/>
  <c r="E16" i="2"/>
  <c r="E168" i="2"/>
  <c r="E7" i="2"/>
  <c r="E185" i="2"/>
  <c r="E70" i="2"/>
  <c r="E144" i="2"/>
  <c r="E14" i="2"/>
  <c r="E46" i="2"/>
  <c r="E35" i="2"/>
  <c r="E182" i="2"/>
  <c r="E8" i="2"/>
  <c r="E114" i="2"/>
  <c r="I167" i="2"/>
  <c r="F225" i="2"/>
  <c r="F6" i="3"/>
  <c r="F7" i="3"/>
  <c r="F8" i="3"/>
  <c r="F9" i="3"/>
  <c r="F10" i="3"/>
  <c r="F5" i="3"/>
  <c r="C27" i="3"/>
  <c r="E27" i="3"/>
  <c r="C26" i="3"/>
  <c r="E26" i="3"/>
  <c r="C25" i="3"/>
  <c r="E25" i="3"/>
  <c r="C24" i="3"/>
  <c r="E24" i="3"/>
  <c r="C23" i="3"/>
  <c r="E23" i="3"/>
  <c r="D30" i="3"/>
  <c r="D28" i="3"/>
  <c r="D29" i="3"/>
  <c r="D56" i="10"/>
  <c r="C15" i="3"/>
  <c r="C14" i="3"/>
  <c r="D14" i="3"/>
  <c r="E14" i="3"/>
  <c r="F14" i="3"/>
  <c r="C13" i="3"/>
  <c r="D13" i="3"/>
  <c r="E13" i="3"/>
  <c r="F13" i="3"/>
  <c r="C12" i="3"/>
  <c r="D12" i="3"/>
  <c r="E12" i="3"/>
  <c r="F12" i="3"/>
  <c r="C11" i="3"/>
  <c r="D11" i="3"/>
  <c r="E11" i="3"/>
  <c r="F11" i="3"/>
  <c r="B15" i="3"/>
  <c r="D15" i="3"/>
  <c r="E289" i="2"/>
  <c r="E288" i="2"/>
  <c r="E290" i="2"/>
  <c r="D2" i="3"/>
  <c r="E15" i="3"/>
  <c r="D16" i="3"/>
  <c r="D17" i="3"/>
  <c r="D19" i="3"/>
  <c r="F15" i="3"/>
  <c r="D18" i="3"/>
  <c r="B37" i="10"/>
  <c r="C41" i="10"/>
  <c r="B41" i="10"/>
  <c r="B42" i="10"/>
  <c r="B34" i="10"/>
  <c r="C37" i="10"/>
  <c r="D37" i="10" s="1"/>
  <c r="C38" i="10"/>
  <c r="C42" i="10"/>
  <c r="D42" i="10"/>
  <c r="F541" i="9"/>
  <c r="G369" i="9"/>
  <c r="C39" i="10"/>
  <c r="C75" i="10"/>
  <c r="E75" i="10"/>
  <c r="H63" i="9"/>
  <c r="C36" i="10"/>
  <c r="C35" i="10"/>
  <c r="G323" i="9"/>
  <c r="B40" i="10"/>
  <c r="B38" i="10"/>
  <c r="C34" i="10"/>
  <c r="C40" i="10"/>
  <c r="H379" i="9"/>
  <c r="B36" i="10"/>
  <c r="D36" i="10"/>
  <c r="B39" i="10"/>
  <c r="B35" i="10"/>
  <c r="C7" i="10"/>
  <c r="C11" i="10"/>
  <c r="C25" i="10"/>
  <c r="C27" i="10"/>
  <c r="F538" i="9"/>
  <c r="C74" i="10"/>
  <c r="D79" i="10"/>
  <c r="D80" i="10"/>
  <c r="C33" i="10"/>
  <c r="B33" i="10"/>
  <c r="D38" i="10"/>
  <c r="D40" i="10"/>
  <c r="D39" i="10"/>
  <c r="D35" i="10"/>
  <c r="E74" i="10"/>
  <c r="D81" i="10"/>
  <c r="C26" i="10"/>
  <c r="B28" i="10"/>
  <c r="B29" i="10"/>
  <c r="D28" i="10"/>
  <c r="D29" i="10"/>
  <c r="C44" i="3"/>
  <c r="D52" i="3"/>
  <c r="C9" i="10"/>
  <c r="D34" i="10"/>
  <c r="C13" i="10"/>
  <c r="B13" i="10"/>
  <c r="E41" i="10" s="1"/>
  <c r="G41" i="10" s="1"/>
  <c r="B16" i="10"/>
  <c r="B10" i="10"/>
  <c r="E38" i="10" s="1"/>
  <c r="G38" i="10" s="1"/>
  <c r="C8" i="10"/>
  <c r="B7" i="10"/>
  <c r="B5" i="10"/>
  <c r="D41" i="10"/>
  <c r="B6" i="10"/>
  <c r="C15" i="10"/>
  <c r="C5" i="10"/>
  <c r="C14" i="10"/>
  <c r="D33" i="10"/>
  <c r="C12" i="10"/>
  <c r="C10" i="10"/>
  <c r="B15" i="10"/>
  <c r="B8" i="10"/>
  <c r="E36" i="10" s="1"/>
  <c r="G36" i="10" s="1"/>
  <c r="E34" i="10"/>
  <c r="G34" i="10"/>
  <c r="D13" i="10"/>
  <c r="E13" i="10"/>
  <c r="F13" i="10"/>
  <c r="F34" i="10"/>
  <c r="F33" i="10"/>
  <c r="D5" i="10"/>
  <c r="F41" i="10"/>
  <c r="D10" i="10"/>
  <c r="E10" i="10"/>
  <c r="F10" i="10"/>
  <c r="F43" i="10"/>
  <c r="D15" i="10"/>
  <c r="E15" i="10"/>
  <c r="F15" i="10"/>
  <c r="E43" i="10"/>
  <c r="G43" i="10"/>
  <c r="F44" i="10"/>
  <c r="E44" i="10"/>
  <c r="G44" i="10"/>
  <c r="F38" i="10"/>
  <c r="D8" i="10"/>
  <c r="E8" i="10"/>
  <c r="F8" i="10"/>
  <c r="F36" i="10"/>
  <c r="D7" i="10"/>
  <c r="E7" i="10"/>
  <c r="F7" i="10"/>
  <c r="E35" i="10"/>
  <c r="G35" i="10"/>
  <c r="F35" i="10"/>
  <c r="E33" i="10"/>
  <c r="G33" i="10"/>
  <c r="E5" i="10"/>
  <c r="F5" i="10"/>
  <c r="C9" i="13" l="1"/>
  <c r="C16" i="13"/>
  <c r="C12" i="13"/>
  <c r="C11" i="13"/>
  <c r="B11" i="13"/>
  <c r="C10" i="13"/>
  <c r="B13" i="13"/>
  <c r="C15" i="13"/>
  <c r="B7" i="13"/>
  <c r="B8" i="13"/>
  <c r="B14" i="13"/>
  <c r="B9" i="13"/>
  <c r="B16" i="13"/>
  <c r="B10" i="13"/>
  <c r="C14" i="13"/>
  <c r="C8" i="13"/>
  <c r="B15" i="13"/>
  <c r="C7" i="13"/>
  <c r="B12" i="13"/>
  <c r="C13" i="13"/>
  <c r="B14" i="10"/>
  <c r="B9" i="10"/>
  <c r="C6" i="10"/>
  <c r="B12" i="10"/>
  <c r="B11" i="10"/>
  <c r="C16" i="10"/>
  <c r="D16" i="10" s="1"/>
  <c r="E16" i="10" s="1"/>
  <c r="F16" i="10" s="1"/>
  <c r="F537" i="9"/>
  <c r="F536" i="9"/>
  <c r="B6" i="13" l="1"/>
  <c r="C6" i="13"/>
  <c r="D11" i="13"/>
  <c r="D16" i="13"/>
  <c r="D9" i="13"/>
  <c r="D12" i="13"/>
  <c r="D15" i="13"/>
  <c r="D13" i="13"/>
  <c r="D8" i="13"/>
  <c r="D10" i="13"/>
  <c r="D14" i="13"/>
  <c r="D7" i="13"/>
  <c r="B5" i="13"/>
  <c r="C5" i="13"/>
  <c r="F39" i="10"/>
  <c r="E39" i="10"/>
  <c r="G39" i="10" s="1"/>
  <c r="D11" i="10"/>
  <c r="E11" i="10" s="1"/>
  <c r="F11" i="10" s="1"/>
  <c r="E40" i="10"/>
  <c r="G40" i="10" s="1"/>
  <c r="F40" i="10"/>
  <c r="D12" i="10"/>
  <c r="E12" i="10" s="1"/>
  <c r="F12" i="10" s="1"/>
  <c r="D6" i="10"/>
  <c r="C3" i="10"/>
  <c r="F37" i="10"/>
  <c r="D9" i="10"/>
  <c r="E9" i="10" s="1"/>
  <c r="F9" i="10" s="1"/>
  <c r="E37" i="10"/>
  <c r="G37" i="10" s="1"/>
  <c r="B3" i="10"/>
  <c r="D2" i="10"/>
  <c r="E42" i="10"/>
  <c r="G42" i="10" s="1"/>
  <c r="F42" i="10"/>
  <c r="D14" i="10"/>
  <c r="E14" i="10" s="1"/>
  <c r="F14" i="10" s="1"/>
  <c r="D6" i="13" l="1"/>
  <c r="D3" i="10"/>
  <c r="E27" i="10"/>
  <c r="E6" i="10"/>
  <c r="D17" i="10"/>
  <c r="D18" i="10" s="1"/>
  <c r="D20" i="10" s="1"/>
  <c r="D5" i="13"/>
  <c r="F6" i="10" l="1"/>
  <c r="D19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<sst xmlns="http://schemas.openxmlformats.org/spreadsheetml/2006/main" count="2265" uniqueCount="812">
  <si>
    <t>NÚMERO</t>
  </si>
  <si>
    <t>DESPESAS</t>
  </si>
  <si>
    <t>Exemplo</t>
  </si>
  <si>
    <t>ENTRADAS</t>
  </si>
  <si>
    <t>VALIDAÇÃO DE DADOS</t>
  </si>
  <si>
    <t>Moradia</t>
  </si>
  <si>
    <t>Contas de casa</t>
  </si>
  <si>
    <t>Salário</t>
  </si>
  <si>
    <t>Transporte</t>
  </si>
  <si>
    <t>Gasolina, uber</t>
  </si>
  <si>
    <t>Rendimentos</t>
  </si>
  <si>
    <t>Alimentação</t>
  </si>
  <si>
    <t>Ifood, comida</t>
  </si>
  <si>
    <t>Saúde</t>
  </si>
  <si>
    <t>Academia, whey, creatina, remédios</t>
  </si>
  <si>
    <t>Lazer</t>
  </si>
  <si>
    <t>Cinema, viagens, shows, hobbies</t>
  </si>
  <si>
    <t>Bem-estar / shopping</t>
  </si>
  <si>
    <t>Skincare, cabelereiro</t>
  </si>
  <si>
    <t>Educação</t>
  </si>
  <si>
    <t>Aula inglês, etc</t>
  </si>
  <si>
    <t>Outros</t>
  </si>
  <si>
    <t>Outros gastos</t>
  </si>
  <si>
    <t>Resgate</t>
  </si>
  <si>
    <t>FORMAS DE PAGAMENTO</t>
  </si>
  <si>
    <t>Investimento</t>
  </si>
  <si>
    <t>Débito</t>
  </si>
  <si>
    <t>Pix</t>
  </si>
  <si>
    <t>Crédito</t>
  </si>
  <si>
    <t>Boleto</t>
  </si>
  <si>
    <t>Dinheiro</t>
  </si>
  <si>
    <t>-</t>
  </si>
  <si>
    <t>CONTROLE FINANCEIRO</t>
  </si>
  <si>
    <t>DATA</t>
  </si>
  <si>
    <t>MÊS</t>
  </si>
  <si>
    <t>TIPO</t>
  </si>
  <si>
    <t xml:space="preserve">DESCRIÇÃO </t>
  </si>
  <si>
    <t>VALOR</t>
  </si>
  <si>
    <t>ENTRADA</t>
  </si>
  <si>
    <t>SALÁRIO</t>
  </si>
  <si>
    <t>SAÍDA</t>
  </si>
  <si>
    <t>AUTOESCOLA 1/3 (parcela imaginária)</t>
  </si>
  <si>
    <t>AUTOESCOLA 2/3 (parcela imaginária)</t>
  </si>
  <si>
    <t>AUTOESCOLA 3/3 (parcela imaginária)</t>
  </si>
  <si>
    <t>roupas gi</t>
  </si>
  <si>
    <t>alianças</t>
  </si>
  <si>
    <t>projetor gi presente</t>
  </si>
  <si>
    <t>ingressos menos é mais</t>
  </si>
  <si>
    <t>guacamole</t>
  </si>
  <si>
    <t>roupa formatura e casamento garten (camisa e calça)</t>
  </si>
  <si>
    <t>tênis hocks 09/09</t>
  </si>
  <si>
    <t>gás 845,43</t>
  </si>
  <si>
    <t xml:space="preserve">WHEY - CREATINA </t>
  </si>
  <si>
    <t xml:space="preserve">ingresso Luan Santana </t>
  </si>
  <si>
    <t>GARTEN - ROUPAS</t>
  </si>
  <si>
    <t>POLO 2 camisas 1 moletom</t>
  </si>
  <si>
    <t>fim de semana barbie e parque</t>
  </si>
  <si>
    <t>BOLSA NIKE</t>
  </si>
  <si>
    <t>NAO ANOTEI</t>
  </si>
  <si>
    <t>BAR</t>
  </si>
  <si>
    <t>final de semana</t>
  </si>
  <si>
    <t>aliança (perdi)</t>
  </si>
  <si>
    <t>comida find - 146,80 kodashi rodízio; 32,90 e 13,00 bobs e café</t>
  </si>
  <si>
    <t>giGARTEN - 3 ubers R$50.83 cinema, chocolate e água, lanche, lanche Val</t>
  </si>
  <si>
    <t>gás 541,42</t>
  </si>
  <si>
    <t>gás 532,36</t>
  </si>
  <si>
    <t xml:space="preserve">giYOLO entrada 10,00 cada 3 drinks e mini porção </t>
  </si>
  <si>
    <t>dois exames autoescola 82,18 e 82,18</t>
  </si>
  <si>
    <t>(1) gás 490,68</t>
  </si>
  <si>
    <t>gás 489,2</t>
  </si>
  <si>
    <t>moletom levi's</t>
  </si>
  <si>
    <t>ALMOÇO MUELLER</t>
  </si>
  <si>
    <t>pizarria roda araldi formatura, domingo batata</t>
  </si>
  <si>
    <t>WHEY PROTEIN</t>
  </si>
  <si>
    <t>pintura cabelo</t>
  </si>
  <si>
    <t>uber 3'(41,75) bar e pagode (108,00: hambúrgueres e caipirinha</t>
  </si>
  <si>
    <t>BOLICHE 22 e SUSHI 120gi</t>
  </si>
  <si>
    <t>2 CAMISAS</t>
  </si>
  <si>
    <t>taxa prova teórica e emissão da LADV</t>
  </si>
  <si>
    <t>ohana sushi</t>
  </si>
  <si>
    <t>(1) gás 409,84</t>
  </si>
  <si>
    <t>FOUSTAIR 28/06</t>
  </si>
  <si>
    <t>gastos 40 doação ana, 45 camisa interclasse; 8,75 hotdog; 13,33 vôlei; 10 chuveiro, 10 interclasse carne</t>
  </si>
  <si>
    <t>gi vôlei e lanche 97,97 uber ida e volta volta</t>
  </si>
  <si>
    <t>gás 370,33</t>
  </si>
  <si>
    <t>giGARTEN</t>
  </si>
  <si>
    <t>gás 369,47</t>
  </si>
  <si>
    <t>DUAS REGATAS</t>
  </si>
  <si>
    <t>giUNALOME</t>
  </si>
  <si>
    <t>luz 354,29</t>
  </si>
  <si>
    <t>giMUELLER - cinema 34, pipoca corredor 15, açaí 23,90, coca e água 11, uber (2) 33,95</t>
  </si>
  <si>
    <t>DIARISTA 350,00/3</t>
  </si>
  <si>
    <t>comemoração niver yolo, gi, marcos e raquel</t>
  </si>
  <si>
    <t>PRESENTE MÃE - caixa de som 340,00</t>
  </si>
  <si>
    <t>GÁS(venc15/02) - 337,23</t>
  </si>
  <si>
    <t>ifood 56,29 e 54,89</t>
  </si>
  <si>
    <t>cópia chave</t>
  </si>
  <si>
    <t>gás 321,50</t>
  </si>
  <si>
    <t>pizza Abbraccio família</t>
  </si>
  <si>
    <t>giCINEMA, PIPOCA, UBER</t>
  </si>
  <si>
    <t>luz 307,64</t>
  </si>
  <si>
    <t>aspirador casamento</t>
  </si>
  <si>
    <t>uber dezembro</t>
  </si>
  <si>
    <t>pizza val, mãe e gi</t>
  </si>
  <si>
    <t>whey: comecei tomar 30/10</t>
  </si>
  <si>
    <t>recreativa família gi</t>
  </si>
  <si>
    <t xml:space="preserve">giFOODTRUCK </t>
  </si>
  <si>
    <t>almoço gi Mari's</t>
  </si>
  <si>
    <t>giSECRETTO café 67,54, aguá bar, moto ida e uber volta terminal</t>
  </si>
  <si>
    <t>uber find</t>
  </si>
  <si>
    <t>DIARISTA 350,00/4</t>
  </si>
  <si>
    <t>anticoncepcional (catarinense) 4 meses /2</t>
  </si>
  <si>
    <t>BARmaracuja - gi, ju e raquel (depois da pizzaria)</t>
  </si>
  <si>
    <t>JOGO RDR2</t>
  </si>
  <si>
    <t>PRESENTE gi</t>
  </si>
  <si>
    <t>querocafé gi</t>
  </si>
  <si>
    <t>gc jardim ceci gi</t>
  </si>
  <si>
    <t>gastos bobos: ida gc, 6,30, ida igreja 8,10, desodorante 12,90, guarda chuva 45, pano 15</t>
  </si>
  <si>
    <t>UBER gi</t>
  </si>
  <si>
    <t xml:space="preserve">giMUELLER - cinema e starbucks </t>
  </si>
  <si>
    <t>uber find 6</t>
  </si>
  <si>
    <t>(1) luz 223,83-média</t>
  </si>
  <si>
    <t>uber ida barra do sul (2/3)</t>
  </si>
  <si>
    <t>ACADEMIA</t>
  </si>
  <si>
    <t>sushi 145/4 depois da escola</t>
  </si>
  <si>
    <t>CIRCO</t>
  </si>
  <si>
    <t>luz 209,84</t>
  </si>
  <si>
    <t>boliche, caipirinhas, etc</t>
  </si>
  <si>
    <t>gi magrão lanches</t>
  </si>
  <si>
    <t>27/07 giUber e ifood japa</t>
  </si>
  <si>
    <t>mirante besteiras + açaí e cafézinho 30,00</t>
  </si>
  <si>
    <t>comida garten</t>
  </si>
  <si>
    <t>pizza entrega a noite casa gi palacio das pizzas</t>
  </si>
  <si>
    <t>quiero café (manhã)</t>
  </si>
  <si>
    <t>guaxinim Raquel presente</t>
  </si>
  <si>
    <t>blablacar e uber</t>
  </si>
  <si>
    <t>gastos bobos: HAVAN coxinha e água 12,00; LANCHE sala 16,00; uber ida trabalho 10,00 +23</t>
  </si>
  <si>
    <t>LUZ- 182,77</t>
  </si>
  <si>
    <t>almoço viagem</t>
  </si>
  <si>
    <t>bar aniversário - 20 entrada; 40 bebida</t>
  </si>
  <si>
    <t>2 camisas barra do sul</t>
  </si>
  <si>
    <t>camisa strutura</t>
  </si>
  <si>
    <t>TIM</t>
  </si>
  <si>
    <t xml:space="preserve">TIM </t>
  </si>
  <si>
    <t>GAS 171,29</t>
  </si>
  <si>
    <t>outros gastos: 15 rifas Ana 13 red bull hotel, 3 trufa, 11 salgado, 5 rifa ana, 3 trufa, 7 simulado</t>
  </si>
  <si>
    <t>enem giassi</t>
  </si>
  <si>
    <t>BIKE-CÂMERA/FREIO</t>
  </si>
  <si>
    <t>flor gi</t>
  </si>
  <si>
    <t>CABELEREIRO</t>
  </si>
  <si>
    <t>necessário: 10 concerto relógio, 45 bike</t>
  </si>
  <si>
    <t xml:space="preserve">café Raquel </t>
  </si>
  <si>
    <t>(1) luz 162,46</t>
  </si>
  <si>
    <t>pizza zé da pizza</t>
  </si>
  <si>
    <t>bolo Val</t>
  </si>
  <si>
    <t xml:space="preserve">IFOOD </t>
  </si>
  <si>
    <t>chocolate domingo + 11,50 doce?</t>
  </si>
  <si>
    <t>café lugano mãe e marcos -  n sei dessa data q fomos</t>
  </si>
  <si>
    <t>lanche depois da igreja</t>
  </si>
  <si>
    <t xml:space="preserve">(sáb) CABELEREIROe sobrancelha </t>
  </si>
  <si>
    <t>uber find, casa gi, volta, *domingo casa gi, igreja</t>
  </si>
  <si>
    <t>COMIDA-SUSHI</t>
  </si>
  <si>
    <t>pós igreja pizza gi</t>
  </si>
  <si>
    <t>ema</t>
  </si>
  <si>
    <t>luz 139,02</t>
  </si>
  <si>
    <t xml:space="preserve">brownie + escova dente e energético </t>
  </si>
  <si>
    <t>skin care (hidratante 20,90 + sabonete líquido 24,99)</t>
  </si>
  <si>
    <t>CABELEREIROe sombrancelha</t>
  </si>
  <si>
    <t xml:space="preserve">CABELEREIROe sobrancelha </t>
  </si>
  <si>
    <t>necessário: 45 câmera bike (21/12)</t>
  </si>
  <si>
    <t>juliete óculos barra do sul</t>
  </si>
  <si>
    <t xml:space="preserve">perfume mãe </t>
  </si>
  <si>
    <t>açai 33 e batata 11</t>
  </si>
  <si>
    <t xml:space="preserve">bk pós feira de profissões </t>
  </si>
  <si>
    <t>luz 127,76</t>
  </si>
  <si>
    <t xml:space="preserve">remédio montelucaste </t>
  </si>
  <si>
    <t>outros gastos: kalzone 17; 6,49 trakinas; 6 gelinho, 11,98 teste</t>
  </si>
  <si>
    <t>creatina Val</t>
  </si>
  <si>
    <t>churrasco + carona + uno</t>
  </si>
  <si>
    <t xml:space="preserve">comida find - açaí </t>
  </si>
  <si>
    <t>luz 122,23</t>
  </si>
  <si>
    <t>dermato comprimido e sabonete</t>
  </si>
  <si>
    <t>montelucaste</t>
  </si>
  <si>
    <t>TARRAXA VIOLÃO</t>
  </si>
  <si>
    <t>uber interclasse + marmita + chave</t>
  </si>
  <si>
    <t>FONE</t>
  </si>
  <si>
    <t>mc e uber natã</t>
  </si>
  <si>
    <t>luz 113,04</t>
  </si>
  <si>
    <t>igreja brasa, pizza e uber</t>
  </si>
  <si>
    <t>sorvete mueller gi</t>
  </si>
  <si>
    <t>uber ap bruno (ida e volta)</t>
  </si>
  <si>
    <t>uber ida e volta aniversário</t>
  </si>
  <si>
    <t>uber conversa</t>
  </si>
  <si>
    <t xml:space="preserve">CABELEREIRO </t>
  </si>
  <si>
    <t>açaí dj biz (caro)</t>
  </si>
  <si>
    <t>necessário: cadeado bike</t>
  </si>
  <si>
    <t xml:space="preserve">CABELEIREIRO </t>
  </si>
  <si>
    <t>uber casa mãe da gi e volta</t>
  </si>
  <si>
    <t>casa da gi ida novenove 14,91 e volta uber 19,94</t>
  </si>
  <si>
    <t>café lugano</t>
  </si>
  <si>
    <t>uber ida formatura</t>
  </si>
  <si>
    <t>vodka 49,90</t>
  </si>
  <si>
    <t>uber moto p/ trabalho, seg; ter; qua com SALDO NA 99</t>
  </si>
  <si>
    <t>uber casa gi, açaí, casa</t>
  </si>
  <si>
    <t>uber volta vôlei e gi 18/06</t>
  </si>
  <si>
    <t>farmácia (fio dental, giletes e 25/07 camisinha)</t>
  </si>
  <si>
    <t>moto 9,40, uber mirante e uber 14,21</t>
  </si>
  <si>
    <t>MC' jaque e ana</t>
  </si>
  <si>
    <t>uber volta formatura 43,31</t>
  </si>
  <si>
    <t>restante uber find</t>
  </si>
  <si>
    <t>uber.         (ganhei açaí) e 21/09 fui pra empresa sem bike</t>
  </si>
  <si>
    <t>13° 1/2</t>
  </si>
  <si>
    <t>carne moída (Val, sem problemas)</t>
  </si>
  <si>
    <t>ônibus semana</t>
  </si>
  <si>
    <t>pizza 55 - reembolso?</t>
  </si>
  <si>
    <t>uber ida hospital, casa gi e volta casa. gi me devolveu 33</t>
  </si>
  <si>
    <t>uber</t>
  </si>
  <si>
    <t>giassi 2 ice e 1 jack</t>
  </si>
  <si>
    <t xml:space="preserve">onda dura comida </t>
  </si>
  <si>
    <t>aniversário 2 cocas</t>
  </si>
  <si>
    <t>outros</t>
  </si>
  <si>
    <t>giassi café bolinho e 7 pãos de queijo</t>
  </si>
  <si>
    <t>café viagem</t>
  </si>
  <si>
    <t>camisinhas</t>
  </si>
  <si>
    <t xml:space="preserve">uber açaí </t>
  </si>
  <si>
    <t>GARTEN - UBERS E LANCHE</t>
  </si>
  <si>
    <t>energéticos  36,00 - raquel 12</t>
  </si>
  <si>
    <t>pós sol</t>
  </si>
  <si>
    <t>donuts e chocolate</t>
  </si>
  <si>
    <t>moto 9,40 e uber 13,80</t>
  </si>
  <si>
    <t>uber yolo</t>
  </si>
  <si>
    <t>uber volta 33,00 - 11 raquel</t>
  </si>
  <si>
    <t>uber gi minha casa 10,10 e ida garten 17,50 - raquel 5,83</t>
  </si>
  <si>
    <t>outros gastos: 12 biscoitos Mi, 0,99 ifood; 7,60 choco Fe</t>
  </si>
  <si>
    <t>COMIDA-CHURRASCO</t>
  </si>
  <si>
    <t>coca trabalho</t>
  </si>
  <si>
    <t>BUS adv e lanche dps da igreja</t>
  </si>
  <si>
    <t>unha gi</t>
  </si>
  <si>
    <t>30 gelo formatura</t>
  </si>
  <si>
    <t>sanduíches Lilian</t>
  </si>
  <si>
    <t>UBER-VÔLEI</t>
  </si>
  <si>
    <t>vôlei</t>
  </si>
  <si>
    <t xml:space="preserve">uber feriado, ida vô gi, ida zucco </t>
  </si>
  <si>
    <t>13° 2/2</t>
  </si>
  <si>
    <t>ferias 1/3</t>
  </si>
  <si>
    <t>volta uber gi</t>
  </si>
  <si>
    <t>ifood sushi reembolsado</t>
  </si>
  <si>
    <t>uber trabalho - muita chuva</t>
  </si>
  <si>
    <t xml:space="preserve">McDonald's </t>
  </si>
  <si>
    <t xml:space="preserve">VÔLEI </t>
  </si>
  <si>
    <t xml:space="preserve">bike </t>
  </si>
  <si>
    <t>porção raquel 30,00</t>
  </si>
  <si>
    <t xml:space="preserve">sorvete mcdonalds </t>
  </si>
  <si>
    <t>UBER gi domingo</t>
  </si>
  <si>
    <t xml:space="preserve">desodorante </t>
  </si>
  <si>
    <t>chocolate</t>
  </si>
  <si>
    <t>energético 18,00</t>
  </si>
  <si>
    <t>luz 34,64</t>
  </si>
  <si>
    <t>UBER-ASSEM.</t>
  </si>
  <si>
    <t xml:space="preserve">ônibus e metrô </t>
  </si>
  <si>
    <t>uber trabalho - bike furou</t>
  </si>
  <si>
    <t>uber (marmita)</t>
  </si>
  <si>
    <t>uber igreja</t>
  </si>
  <si>
    <t>(meu controle)</t>
  </si>
  <si>
    <t>JAN</t>
  </si>
  <si>
    <t>(vai em jan) salário dez + 1/2 férias</t>
  </si>
  <si>
    <t>FEV</t>
  </si>
  <si>
    <t xml:space="preserve">(vai em fev) salário jan X + 1/2 férias </t>
  </si>
  <si>
    <t>prova real =</t>
  </si>
  <si>
    <t>extrato fim de ano</t>
  </si>
  <si>
    <t>férias 1/3 + dez e jan</t>
  </si>
  <si>
    <t xml:space="preserve">salário dez // </t>
  </si>
  <si>
    <t>total =</t>
  </si>
  <si>
    <t>PERÍODO</t>
  </si>
  <si>
    <t>SALDO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</si>
  <si>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</si>
  <si>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</si>
  <si>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</si>
  <si>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</si>
  <si>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</si>
  <si>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</si>
  <si>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</si>
  <si>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</si>
  <si>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</si>
  <si>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</si>
  <si>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meses econonomia, valor:</t>
  </si>
  <si>
    <t>média economia mensal</t>
  </si>
  <si>
    <t>mêdia economia com base na média salarial</t>
  </si>
  <si>
    <t>meses</t>
  </si>
  <si>
    <t>valor</t>
  </si>
  <si>
    <t>semanal</t>
  </si>
  <si>
    <t xml:space="preserve">agosto </t>
  </si>
  <si>
    <t>setembro</t>
  </si>
  <si>
    <t xml:space="preserve">outubro </t>
  </si>
  <si>
    <t>novembro</t>
  </si>
  <si>
    <t xml:space="preserve">dezembro </t>
  </si>
  <si>
    <t xml:space="preserve">total desde 01/08: </t>
  </si>
  <si>
    <t>meses, gasto média mensal</t>
  </si>
  <si>
    <t>gasto média semanal</t>
  </si>
  <si>
    <t>observações importantes:</t>
  </si>
  <si>
    <t>comecei a trabalhar 15/06/22 (6 meses e 15 dias sem registro na planilha)</t>
  </si>
  <si>
    <t>salário fevereiro está menor, pois recebi parcialmente adiantado em dezembro e não registrei</t>
  </si>
  <si>
    <t>pendências</t>
  </si>
  <si>
    <t>nome</t>
  </si>
  <si>
    <t>referente</t>
  </si>
  <si>
    <t>Val 10x 150,00 ok 1ago; 2set; 3out; 4nov; 5dez; 6jan; 7fev; 8mar; 9abr (última MAIO 24)</t>
  </si>
  <si>
    <t>celular 15/07</t>
  </si>
  <si>
    <t>total:</t>
  </si>
  <si>
    <t>quantidade</t>
  </si>
  <si>
    <t xml:space="preserve">janeiro </t>
  </si>
  <si>
    <t>fevereiro</t>
  </si>
  <si>
    <t xml:space="preserve">março </t>
  </si>
  <si>
    <t>abril</t>
  </si>
  <si>
    <t>maio</t>
  </si>
  <si>
    <t>junho</t>
  </si>
  <si>
    <t>total anual</t>
  </si>
  <si>
    <t>CATEGORIA</t>
  </si>
  <si>
    <t>SALÁRIO ajustado</t>
  </si>
  <si>
    <t>luz 190,79</t>
  </si>
  <si>
    <t>uber volta barra do sul (2/3)</t>
  </si>
  <si>
    <t>net/internet 4k 227,90</t>
  </si>
  <si>
    <t>filmes (telecine 29,99 'cancelada'; hbo 230,00 anual; netflix 25,90; prime 14,90)</t>
  </si>
  <si>
    <t>DIARISTA 350,00/3 (ficou para fev) não pode vir</t>
  </si>
  <si>
    <t>gás 379,89</t>
  </si>
  <si>
    <t>ALIMEN.</t>
  </si>
  <si>
    <t>milk shakes pós academia</t>
  </si>
  <si>
    <t>escova de dente /2</t>
  </si>
  <si>
    <t>café</t>
  </si>
  <si>
    <t xml:space="preserve">uber volta almoço </t>
  </si>
  <si>
    <t>cinema (tata) cidade das flores</t>
  </si>
  <si>
    <t>cinema (pipocas, doces)</t>
  </si>
  <si>
    <t>uber (igreja, cinema, casa)</t>
  </si>
  <si>
    <t>curso JAVA</t>
  </si>
  <si>
    <t xml:space="preserve">ônibus </t>
  </si>
  <si>
    <t>lasanha</t>
  </si>
  <si>
    <t>duas marmitas econômicas</t>
  </si>
  <si>
    <t xml:space="preserve">padaria São José </t>
  </si>
  <si>
    <t>uber casa gi hambúrguer</t>
  </si>
  <si>
    <t>combo jack e energéticos - formatura</t>
  </si>
  <si>
    <t>uber casa</t>
  </si>
  <si>
    <t>RENDA FIXA 230% CDB XP (A: 3.000,00 24/11/23)</t>
  </si>
  <si>
    <t xml:space="preserve">uber </t>
  </si>
  <si>
    <t xml:space="preserve">giassi - carne 2,5kg + chocolates </t>
  </si>
  <si>
    <t>cadeado bike shopee</t>
  </si>
  <si>
    <t xml:space="preserve">fone bluetooth </t>
  </si>
  <si>
    <t>RENDA FIXA - resgate antecipado (IOF)</t>
  </si>
  <si>
    <t>sem diarista (janeiro ficou pra esse mês)</t>
  </si>
  <si>
    <t>outros: 3,98 cookie; 5,53 cartório</t>
  </si>
  <si>
    <t>filmes</t>
  </si>
  <si>
    <t>necessário: 20 remendo bike</t>
  </si>
  <si>
    <t>barca açaí ifood</t>
  </si>
  <si>
    <t>net/internet 4k</t>
  </si>
  <si>
    <t>almoço Val</t>
  </si>
  <si>
    <t>luz 333,17</t>
  </si>
  <si>
    <t>gás 395,56</t>
  </si>
  <si>
    <t>MOTO (transferência) 480,00 (3x)</t>
  </si>
  <si>
    <t>não contab</t>
  </si>
  <si>
    <t>MOTO</t>
  </si>
  <si>
    <t>uber trabalho</t>
  </si>
  <si>
    <t>uber gi-casa</t>
  </si>
  <si>
    <t>uber ida 15,29/4</t>
  </si>
  <si>
    <t>uber volta 18,80/3</t>
  </si>
  <si>
    <t>uber eu e gi-casa gi</t>
  </si>
  <si>
    <t>ingressos cinema garten 64 e 56 pipoca e 3,50 doce</t>
  </si>
  <si>
    <t>uber eu e gi-casa</t>
  </si>
  <si>
    <t>uber gi-casa gi</t>
  </si>
  <si>
    <t>chocolate milky giassi</t>
  </si>
  <si>
    <t>CABELEREIRO e sobrancelha</t>
  </si>
  <si>
    <t xml:space="preserve">sorvetes Jerônimo </t>
  </si>
  <si>
    <t xml:space="preserve">uber marmita trabalho </t>
  </si>
  <si>
    <t>2 marmitas restaurante do nego</t>
  </si>
  <si>
    <t xml:space="preserve">2° TAXA autoescola prova prática </t>
  </si>
  <si>
    <t xml:space="preserve">1° TAXA autoescola prova prática </t>
  </si>
  <si>
    <t>outros: 9,97 dois chocolatinhos e um Trident, 2,00 Trident</t>
  </si>
  <si>
    <t>gás 321,06</t>
  </si>
  <si>
    <t>luz 325,81</t>
  </si>
  <si>
    <t>padaria</t>
  </si>
  <si>
    <t>CAPA MOTO 39,99 (2x) - Shopee</t>
  </si>
  <si>
    <t>BAÚ 150,96 (3x) - Sportbay</t>
  </si>
  <si>
    <t>sushi kodashi</t>
  </si>
  <si>
    <t>coca</t>
  </si>
  <si>
    <t>CAPA CHUVA 169,90 (3x) - Amazon</t>
  </si>
  <si>
    <t xml:space="preserve">presente Jaque panela de pressão </t>
  </si>
  <si>
    <t>MOTO (transferência) 480,00 (3x) - 2°</t>
  </si>
  <si>
    <t xml:space="preserve">vôlei </t>
  </si>
  <si>
    <t>food truck</t>
  </si>
  <si>
    <t>sabonete líquido Actine 140g - Panvel</t>
  </si>
  <si>
    <t xml:space="preserve">flores (mãe, Raquel e Gi) - dia das mulheres </t>
  </si>
  <si>
    <t>CAPACETE 213,92 (4x) - Mercado Livre</t>
  </si>
  <si>
    <t>VISEIRA PRETA 32,52 (2x) - Shopee</t>
  </si>
  <si>
    <t>CABELEREIRO e sobrancelha (luzes sumiram praticamente)</t>
  </si>
  <si>
    <t>uber 2/3</t>
  </si>
  <si>
    <t>cafeteria helena</t>
  </si>
  <si>
    <t>GASOLINA - 10,906L (posto Monsenhor)</t>
  </si>
  <si>
    <t xml:space="preserve">AP café retrô </t>
  </si>
  <si>
    <t>lanche</t>
  </si>
  <si>
    <t>gasto real (usei ticket da Márcia para abater)</t>
  </si>
  <si>
    <t>gilete 4 unidades</t>
  </si>
  <si>
    <t>lava autos a seco proauto</t>
  </si>
  <si>
    <t>conjunto 4 panos microfibra luxcar</t>
  </si>
  <si>
    <t xml:space="preserve">escova de dente 2 unidades </t>
  </si>
  <si>
    <t>luva microfibra luxcar</t>
  </si>
  <si>
    <t>cera com carnaúba proauto</t>
  </si>
  <si>
    <t>lava autos neutro proauto</t>
  </si>
  <si>
    <t>limpador Venish</t>
  </si>
  <si>
    <t>escova pra esfregar</t>
  </si>
  <si>
    <t>esponja</t>
  </si>
  <si>
    <t xml:space="preserve">mc donald's </t>
  </si>
  <si>
    <t xml:space="preserve">farmácia dipirona - queimadura moto </t>
  </si>
  <si>
    <t>curativo/tratamento y queimadura moto</t>
  </si>
  <si>
    <t>pizza araldi</t>
  </si>
  <si>
    <t>ohanna sushi</t>
  </si>
  <si>
    <t>gás não veio</t>
  </si>
  <si>
    <t>clube ifood</t>
  </si>
  <si>
    <t>outros: 6 estacionamento Unimed</t>
  </si>
  <si>
    <t>VISEIRA PRETA 32,52 (2x) - Shopee - 2° última</t>
  </si>
  <si>
    <t>CAPA MOTO 39,99 (2x) - Shopee - 2° última</t>
  </si>
  <si>
    <t>diarista 150,00</t>
  </si>
  <si>
    <t>BAÚ 150,96 (3x) - Sportbay - 2°</t>
  </si>
  <si>
    <t>CAPACETE 213,92 (4x) - Mercado Livre - 2°</t>
  </si>
  <si>
    <t>CAPA CHUVA 169,90 (3x) - Amazon - 2°</t>
  </si>
  <si>
    <t>luz 191,62</t>
  </si>
  <si>
    <t>MOTO (transferência) 480,00 (3x) - 3° última</t>
  </si>
  <si>
    <t>seta moto dianteira direita</t>
  </si>
  <si>
    <t xml:space="preserve">ifood hambúrguer </t>
  </si>
  <si>
    <t>flores - Gi</t>
  </si>
  <si>
    <t>padaria helena</t>
  </si>
  <si>
    <t>ifood pizza</t>
  </si>
  <si>
    <t>farmácia - curativo Gi e pds</t>
  </si>
  <si>
    <t xml:space="preserve">capinha celular </t>
  </si>
  <si>
    <t>jogo ps4 - it takes two</t>
  </si>
  <si>
    <t>controle ps4</t>
  </si>
  <si>
    <t>IPVA - MOTO</t>
  </si>
  <si>
    <t>pizza de chocolate</t>
  </si>
  <si>
    <t>pds</t>
  </si>
  <si>
    <t>giassi (camisinhas)</t>
  </si>
  <si>
    <t>pizza /3</t>
  </si>
  <si>
    <t xml:space="preserve">cidade das flores: subway e estacionamento </t>
  </si>
  <si>
    <t>GASOLINA</t>
  </si>
  <si>
    <t>Mc Donald's</t>
  </si>
  <si>
    <t>açaí - paraíso do açaí</t>
  </si>
  <si>
    <t>kalzone</t>
  </si>
  <si>
    <t>x picanha</t>
  </si>
  <si>
    <t>Mc Donald's ifood</t>
  </si>
  <si>
    <t>restante do nego</t>
  </si>
  <si>
    <t>jogo ps4 - raymon</t>
  </si>
  <si>
    <t>sem diarista (?)</t>
  </si>
  <si>
    <t>BAÚ 150,96 (3x) - Sportbay - 3°</t>
  </si>
  <si>
    <t>tapioca - ifood</t>
  </si>
  <si>
    <t>CAPACETE 213,92 (4x) - Mercado Livre - 3°</t>
  </si>
  <si>
    <t>CAPA CHUVA 169,90 (3x) - Amazon - 3°</t>
  </si>
  <si>
    <t>outros: relogio (pulseira 30,00 e bateria 35,00);</t>
  </si>
  <si>
    <t>luz 338,25</t>
  </si>
  <si>
    <t>gás 724,19</t>
  </si>
  <si>
    <t>OLÉO - MOTO</t>
  </si>
  <si>
    <t>jogo ps4 - uravel two</t>
  </si>
  <si>
    <t>marmita nego</t>
  </si>
  <si>
    <t>yona café</t>
  </si>
  <si>
    <t>milk shake bobs</t>
  </si>
  <si>
    <t>sabonete líquido Actine 140g - Glam</t>
  </si>
  <si>
    <t>restaurante - dia das maes</t>
  </si>
  <si>
    <t>presente mãe - escova de cabelo</t>
  </si>
  <si>
    <t>presente Gi - oboticário perfume</t>
  </si>
  <si>
    <t>pasteloco (2 pares panquecas, tapioca doce e suco)</t>
  </si>
  <si>
    <t>por L</t>
  </si>
  <si>
    <t>comparação Monsenhor</t>
  </si>
  <si>
    <t>GASOLINA - 12,21L (posto Ipiranga)</t>
  </si>
  <si>
    <t>obs: 0,50 diferença de L dos postos - apenas 6 reais a mais, porém é um abastecimento a mais no ano (cálculo feio por 12L - 5,50 e 6,00)</t>
  </si>
  <si>
    <t>jogo ps4 - a way out</t>
  </si>
  <si>
    <t xml:space="preserve">sushi ifood /4 - la casa de sushi </t>
  </si>
  <si>
    <t>estacionamento mueller</t>
  </si>
  <si>
    <t>presente mãe - brinco e colar - purpurata</t>
  </si>
  <si>
    <t>padaria lima</t>
  </si>
  <si>
    <t>pix</t>
  </si>
  <si>
    <t>farmácia - pds</t>
  </si>
  <si>
    <t>jogo ps4 - outlast 2</t>
  </si>
  <si>
    <t xml:space="preserve">giassi - compras: cup noodles x2, miojo x3, chocolate x2...etc </t>
  </si>
  <si>
    <t>churrasco - comemoração niver da mãe</t>
  </si>
  <si>
    <t>1 associação</t>
  </si>
  <si>
    <t>CAPACETE 213,92 (4x) - Mercado Livre - 4°</t>
  </si>
  <si>
    <t>luz 186,42</t>
  </si>
  <si>
    <t xml:space="preserve">sushi ifood - la casa de sushi </t>
  </si>
  <si>
    <t>diarista 250,00</t>
  </si>
  <si>
    <t>gás 446,24</t>
  </si>
  <si>
    <t>coca + cerveja Ricado (churrasco)</t>
  </si>
  <si>
    <t>farmácia - absorvente Gi</t>
  </si>
  <si>
    <t>uber - velhinha sesc</t>
  </si>
  <si>
    <t>pou triste - shopee</t>
  </si>
  <si>
    <t>flores (dia dos namorados)</t>
  </si>
  <si>
    <t>pasteloco</t>
  </si>
  <si>
    <t>opa bier - frango no balde</t>
  </si>
  <si>
    <t>sorvete</t>
  </si>
  <si>
    <t>salgado - whirpool</t>
  </si>
  <si>
    <t>almoço</t>
  </si>
  <si>
    <t>carteirinha de estudande dne</t>
  </si>
  <si>
    <t>devolvido parcial (cartão-pix)</t>
  </si>
  <si>
    <t>kodashi - comida japonesa</t>
  </si>
  <si>
    <t>calzone</t>
  </si>
  <si>
    <t>4 hambúrgueres perto da casa da Gi</t>
  </si>
  <si>
    <t>restaurante do nego</t>
  </si>
  <si>
    <t>bebidas (lata guaraná 7,00; vinho suave 25,00; energético 16,00; dose gin 11,00)</t>
  </si>
  <si>
    <t>pizza ifood</t>
  </si>
  <si>
    <t>reserva motel - quarto 02 com Tv Smart, Alexa, hidromassagem, cascata e cadeira</t>
  </si>
  <si>
    <t>margarina pra casa</t>
  </si>
  <si>
    <t>restaurante do nego (metade do valor) - 54+60=114,00</t>
  </si>
  <si>
    <t>GASOLINA - 11,39L (posto Ipiranga perto do trabalho)</t>
  </si>
  <si>
    <t xml:space="preserve">ifood McDonald's </t>
  </si>
  <si>
    <t>uber mueller cinema</t>
  </si>
  <si>
    <t xml:space="preserve">60 pix pra fe em troca de cédula </t>
  </si>
  <si>
    <t>brinde bingo (tapete panda/)</t>
  </si>
  <si>
    <t>pipoca 24/3*2 + água com gás + bibs</t>
  </si>
  <si>
    <t xml:space="preserve">cinema pré-venda 10/06,: divertidamente </t>
  </si>
  <si>
    <t xml:space="preserve">habibs </t>
  </si>
  <si>
    <t xml:space="preserve">pão </t>
  </si>
  <si>
    <t>SALÁRIO + 3 associações 172,00</t>
  </si>
  <si>
    <t>3 associações contribuintes 172,00</t>
  </si>
  <si>
    <t>luz 149,64</t>
  </si>
  <si>
    <t>diarista 470,00</t>
  </si>
  <si>
    <t>gás 525,51</t>
  </si>
  <si>
    <t>advogado especialista em direito de trânsito - Bryan George</t>
  </si>
  <si>
    <t>marmita do nego</t>
  </si>
  <si>
    <t xml:space="preserve">pizzaria bertuccis - delivery </t>
  </si>
  <si>
    <t>2 chocolate e 1 chocolatinho - tranquilebas</t>
  </si>
  <si>
    <t>GASOLINA - 11,21L (posto Ipiranga perto do trabalho)</t>
  </si>
  <si>
    <t>ifood - pizza e coca guanabara</t>
  </si>
  <si>
    <t>lasanha hipermais</t>
  </si>
  <si>
    <t>farmácia catarinense - lubrificante</t>
  </si>
  <si>
    <t>almoço giassi</t>
  </si>
  <si>
    <t>the best - açaí e sorvete</t>
  </si>
  <si>
    <t>marmita do nego + batata frita</t>
  </si>
  <si>
    <t xml:space="preserve">suporte gp - camelô </t>
  </si>
  <si>
    <t>hipermais cup noodles</t>
  </si>
  <si>
    <t>giassi escova de dente</t>
  </si>
  <si>
    <t>pomada</t>
  </si>
  <si>
    <t xml:space="preserve">cinema pré-venda 12/07,: Deadpool </t>
  </si>
  <si>
    <t>lojao astral: luva; bola; ,enfeite calça festa junina; e outras coisas</t>
  </si>
  <si>
    <t xml:space="preserve">hidratante Nívea </t>
  </si>
  <si>
    <t>sabonete líquido Actine - belezamaweb</t>
  </si>
  <si>
    <t xml:space="preserve">helena café </t>
  </si>
  <si>
    <t>bombinha - panvel</t>
  </si>
  <si>
    <t>lanche Univille mini pizza</t>
  </si>
  <si>
    <t>IRPF - restituição 22/23</t>
  </si>
  <si>
    <t>lanche Univille coxinha</t>
  </si>
  <si>
    <t xml:space="preserve">outros: pix; minha parte do presente Mi orquídea </t>
  </si>
  <si>
    <t>3 ok</t>
  </si>
  <si>
    <t>luz 134,72</t>
  </si>
  <si>
    <t>27/07 CABELEREIRO</t>
  </si>
  <si>
    <t>gás 813,08</t>
  </si>
  <si>
    <t>quiero café</t>
  </si>
  <si>
    <t>lojão astral festa junina comex</t>
  </si>
  <si>
    <t>uber 12,40/4</t>
  </si>
  <si>
    <t>ohanna - sushi</t>
  </si>
  <si>
    <t>lanche Univille</t>
  </si>
  <si>
    <t>CAPA CHUVA GI - Amazon</t>
  </si>
  <si>
    <t>GASOLINA - 10,97L (posto Ipiranga perto do trabalho)</t>
  </si>
  <si>
    <t>bombinha - coradell</t>
  </si>
  <si>
    <t>marmita do nego + batata frita + carne extra</t>
  </si>
  <si>
    <t>estacionamento expoville</t>
  </si>
  <si>
    <t>açai e milk shake</t>
  </si>
  <si>
    <t>presente Val - camisa/3</t>
  </si>
  <si>
    <t>vôlei - csu</t>
  </si>
  <si>
    <t>GASOLINA - 10,247L (posto Shell - caminho da Univille)</t>
  </si>
  <si>
    <t>PIZZA bucci /4</t>
  </si>
  <si>
    <t xml:space="preserve">ifood - McDonald's </t>
  </si>
  <si>
    <t xml:space="preserve">pastelôco </t>
  </si>
  <si>
    <t>uber boliche /3</t>
  </si>
  <si>
    <t>uber sushi /3</t>
  </si>
  <si>
    <t>batata /3</t>
  </si>
  <si>
    <t>jogo boliche /5</t>
  </si>
  <si>
    <t>2 hambúrgueres, 1 coca e acredito que uma cartela vazia</t>
  </si>
  <si>
    <t>sushi otto</t>
  </si>
  <si>
    <t>coca zero 2L</t>
  </si>
  <si>
    <t>31/08 CABELEREIRO</t>
  </si>
  <si>
    <t>luz 221,32</t>
  </si>
  <si>
    <t>gás 255,15</t>
  </si>
  <si>
    <t>GASOLINA  - 9,73L (posto Shell - caminho da Univille)</t>
  </si>
  <si>
    <t>açaí</t>
  </si>
  <si>
    <t>compra de frango; costela; arroz (em família) /2</t>
  </si>
  <si>
    <t>lanche mc donalds</t>
  </si>
  <si>
    <t>marmita do nego + extras</t>
  </si>
  <si>
    <t>lanche bairro</t>
  </si>
  <si>
    <t>lanche - lanchonete rei dos lanches</t>
  </si>
  <si>
    <t>jogo resident evil 6</t>
  </si>
  <si>
    <t>pão café letícia</t>
  </si>
  <si>
    <t>chocolate gi (giassi)</t>
  </si>
  <si>
    <t>dr café</t>
  </si>
  <si>
    <t>talco pé (valor + alguns centavos que esqueci e compensei na pomada)</t>
  </si>
  <si>
    <t>pomada pé</t>
  </si>
  <si>
    <t>pizza tamanho familia bucci;frete + brinde de broto de chocolate branco e refri</t>
  </si>
  <si>
    <t>iume es 4 meses (anticoncepicional - 120 comprimidos) - drogaria catarinense</t>
  </si>
  <si>
    <t>GASOLINA  - 10,537L (posto Shell - caminho da Univille)</t>
  </si>
  <si>
    <t>marmita do nego + canrne extra + bananas fritas</t>
  </si>
  <si>
    <t>jantar em Barra Velha - Atlântico Beach Bar</t>
  </si>
  <si>
    <t>fone</t>
  </si>
  <si>
    <t>filmes (netflix 25,90; amazon 19,90, disney 43,90)</t>
  </si>
  <si>
    <t>05/10 CABELEREIRO</t>
  </si>
  <si>
    <t>luz 220,98</t>
  </si>
  <si>
    <t>adicionado a Disney: + 15 reais</t>
  </si>
  <si>
    <t>gás 564,94</t>
  </si>
  <si>
    <t>fone gi</t>
  </si>
  <si>
    <t>ifood</t>
  </si>
  <si>
    <t xml:space="preserve">lanche </t>
  </si>
  <si>
    <t>docinhos</t>
  </si>
  <si>
    <t>café helena</t>
  </si>
  <si>
    <t xml:space="preserve">mercado Ervino </t>
  </si>
  <si>
    <t>biquíne gi</t>
  </si>
  <si>
    <t>lanche Ervino</t>
  </si>
  <si>
    <t xml:space="preserve">the best açaí </t>
  </si>
  <si>
    <t xml:space="preserve">outros: 1,98 ifood 15 presente Márcia, 12 vôlei </t>
  </si>
  <si>
    <t>gás 113,88</t>
  </si>
  <si>
    <t>luz 244,61</t>
  </si>
  <si>
    <t xml:space="preserve">aula inglês </t>
  </si>
  <si>
    <t>estacionamento Mueller</t>
  </si>
  <si>
    <t>marmita</t>
  </si>
  <si>
    <t>cinema sorria 2</t>
  </si>
  <si>
    <t>pizza bucci</t>
  </si>
  <si>
    <t>café jardim cecília</t>
  </si>
  <si>
    <t>tapioca Univille</t>
  </si>
  <si>
    <t>almoço Espinheiros</t>
  </si>
  <si>
    <t>secretto café</t>
  </si>
  <si>
    <t>café padaria belém pães e doces</t>
  </si>
  <si>
    <t>notebook Acer Aspire 5 i5-12450H + teclado gamer brinde</t>
  </si>
  <si>
    <t>mousepad ergonômico (shopee)</t>
  </si>
  <si>
    <t>suporte notebook (shopee)</t>
  </si>
  <si>
    <t>mousepad gi</t>
  </si>
  <si>
    <t>case notebook (shopee)</t>
  </si>
  <si>
    <t>mouse ergonômico (shopee)</t>
  </si>
  <si>
    <t>pneu traseiro moto</t>
  </si>
  <si>
    <t>jantar macarrão Nice</t>
  </si>
  <si>
    <t>marmita - nego</t>
  </si>
  <si>
    <t>1/3 FÉRIAS INDIVIDUAL</t>
  </si>
  <si>
    <t>hbo 6 meses - Plano Black Friday (renovação em maio)</t>
  </si>
  <si>
    <t>domingo 18:32</t>
  </si>
  <si>
    <t>luz 242,89</t>
  </si>
  <si>
    <t>gás 509,84</t>
  </si>
  <si>
    <t>capacete pro tork</t>
  </si>
  <si>
    <t>ACADEMIA ODA 12x 75,00 - já pago</t>
  </si>
  <si>
    <t>cabo embreagem que estourou</t>
  </si>
  <si>
    <t>multa média Detran (48km em radar de 40km)</t>
  </si>
  <si>
    <t>lima padaria</t>
  </si>
  <si>
    <t>flores 55,00 e ursinho 36,00</t>
  </si>
  <si>
    <t>brigadeiros</t>
  </si>
  <si>
    <t>rei dos lanches - hambúrguer</t>
  </si>
  <si>
    <t>marmita ifood</t>
  </si>
  <si>
    <t>presente Val - camisa do Vasco /2</t>
  </si>
  <si>
    <t>academia Gaviões</t>
  </si>
  <si>
    <t>padaria são josé</t>
  </si>
  <si>
    <t>mercado livre bota</t>
  </si>
  <si>
    <t>mercado livre 400g actine</t>
  </si>
  <si>
    <t>mercado livre cadeado</t>
  </si>
  <si>
    <t>giassi - sorvete</t>
  </si>
  <si>
    <t>café santelmo panificadora</t>
  </si>
  <si>
    <t>tapioca - tenda do norte</t>
  </si>
  <si>
    <t>subway</t>
  </si>
  <si>
    <t>presente Gi - pratafina colar e brinco</t>
  </si>
  <si>
    <t>1/3 FÉRIAS COLETIVAS</t>
  </si>
  <si>
    <t>padaria levpão</t>
  </si>
  <si>
    <t>ifood - pizza</t>
  </si>
  <si>
    <t>estacionamento Bless</t>
  </si>
  <si>
    <t>lanche - formatura</t>
  </si>
  <si>
    <t>chocolate brincadeira</t>
  </si>
  <si>
    <t>restaurante chico mineiro (2 pratões) no mueller</t>
  </si>
  <si>
    <t>relógio chilli beans</t>
  </si>
  <si>
    <t>cascanéia</t>
  </si>
  <si>
    <t>desoncisdera 30 e poucos do remedio</t>
  </si>
  <si>
    <t>sorvete praia</t>
  </si>
  <si>
    <t>valor que vai estar no credio -26 que raquel pagou</t>
  </si>
  <si>
    <t>carreta furação</t>
  </si>
  <si>
    <t>restaurante na praia</t>
  </si>
  <si>
    <t xml:space="preserve">vai em dez ref a nov/bônus </t>
  </si>
  <si>
    <t>---&gt;</t>
  </si>
  <si>
    <r>
      <rPr>
        <sz val="16"/>
        <color rgb="FF000000"/>
        <rFont val="Latha"/>
      </rPr>
      <t xml:space="preserve">vai em fev ref a </t>
    </r>
    <r>
      <rPr>
        <b/>
        <sz val="16"/>
        <color rgb="FF000000"/>
        <rFont val="Latha"/>
      </rPr>
      <t>jan</t>
    </r>
  </si>
  <si>
    <t>ajustes:</t>
  </si>
  <si>
    <t>salário "dezembro" normal</t>
  </si>
  <si>
    <t>COLETIVAS</t>
  </si>
  <si>
    <t>23/12 a 11/01 (adiantamento 9 dias dezembro e 11 janeiro)</t>
  </si>
  <si>
    <t>13° 1/2 nov</t>
  </si>
  <si>
    <t>INDIVIDUAIS</t>
  </si>
  <si>
    <t>04/12 a 13/12 - (10 dias de salário adiantado)</t>
  </si>
  <si>
    <t>1/3 FÉRIAS</t>
  </si>
  <si>
    <t>contando com os bônus de 13º e 1/3 das férias</t>
  </si>
  <si>
    <t xml:space="preserve">vai em nov ref a out e bônus </t>
  </si>
  <si>
    <t>não coloquei salário</t>
  </si>
  <si>
    <t xml:space="preserve">vai em dez ref a nov e bônus </t>
  </si>
  <si>
    <r>
      <rPr>
        <sz val="16"/>
        <color rgb="FF000000"/>
        <rFont val="Latha"/>
      </rPr>
      <t xml:space="preserve">vai em jan ref a </t>
    </r>
    <r>
      <rPr>
        <b/>
        <sz val="16"/>
        <color rgb="FF000000"/>
        <rFont val="Latha"/>
      </rPr>
      <t>dez</t>
    </r>
  </si>
  <si>
    <t>11 dias já ganhei adiantado em dez. final de janeiro vou receber mais 19 dias, somar aqui</t>
  </si>
  <si>
    <t>bônus que posso gastar:</t>
  </si>
  <si>
    <t>isso mais o salário de 31/01</t>
  </si>
  <si>
    <t>13° 2/2 dez</t>
  </si>
  <si>
    <t>total dezembro extrato</t>
  </si>
  <si>
    <t>*mês que mais ganho devido a adiantamentos</t>
  </si>
  <si>
    <t>13º 1/2</t>
  </si>
  <si>
    <t>salário dez</t>
  </si>
  <si>
    <t>férias individuais + 1/3</t>
  </si>
  <si>
    <t>MULTA GRAVÍSSIMA</t>
  </si>
  <si>
    <t>13º 2/2</t>
  </si>
  <si>
    <t>salário JANEIRO</t>
  </si>
  <si>
    <t>férias coletivas + 1/3</t>
  </si>
  <si>
    <t>fev virá menos</t>
  </si>
  <si>
    <t>média salarial</t>
  </si>
  <si>
    <t>Economia x Saída</t>
  </si>
  <si>
    <t>moto não contab (apenas transf. de 480,00)</t>
  </si>
  <si>
    <t>advogado</t>
  </si>
  <si>
    <t>900 academia</t>
  </si>
  <si>
    <t>com base na média salarial</t>
  </si>
  <si>
    <t>conta digital</t>
  </si>
  <si>
    <t>*sofisa invest</t>
  </si>
  <si>
    <t>+ rendimentos</t>
  </si>
  <si>
    <t xml:space="preserve">carteira </t>
  </si>
  <si>
    <t>contar</t>
  </si>
  <si>
    <t>+ US$30,00</t>
  </si>
  <si>
    <t>gasto cartão geral</t>
  </si>
  <si>
    <t>limite disponivel</t>
  </si>
  <si>
    <t>total hoje:</t>
  </si>
  <si>
    <t>ECONOMIA REAL SOBRE O GANHO TOTAL ANUAL</t>
  </si>
  <si>
    <t>provisões gastos 2024</t>
  </si>
  <si>
    <t>provisões gastos 2025</t>
  </si>
  <si>
    <t xml:space="preserve">DESPESAS FIXAS </t>
  </si>
  <si>
    <t xml:space="preserve">Gasto percentual do salário </t>
  </si>
  <si>
    <t>EM CASA</t>
  </si>
  <si>
    <t>PARTICULAR</t>
  </si>
  <si>
    <t>Fixa geral</t>
  </si>
  <si>
    <t>Em casa</t>
  </si>
  <si>
    <t xml:space="preserve">Variável </t>
  </si>
  <si>
    <t>CONTAS ORIGINAIS (de fora diarista, internet e plataformas)</t>
  </si>
  <si>
    <t>GÁS</t>
  </si>
  <si>
    <t>ENERGIA</t>
  </si>
  <si>
    <t>TOTAL</t>
  </si>
  <si>
    <t>Finais de semana</t>
  </si>
  <si>
    <t>-------</t>
  </si>
  <si>
    <t>AGOSTO</t>
  </si>
  <si>
    <t>SETEMBRO</t>
  </si>
  <si>
    <t>OUTUBRO</t>
  </si>
  <si>
    <t>SEMANA 1</t>
  </si>
  <si>
    <t>SEMANA 2</t>
  </si>
  <si>
    <t>SEMANA 3</t>
  </si>
  <si>
    <t>SEMANA 4</t>
  </si>
  <si>
    <t>SEMANA 5</t>
  </si>
  <si>
    <t>LANCHE UNIVILLE</t>
  </si>
  <si>
    <t>CONTROLE DE ENTRADA E SAÍDA</t>
  </si>
  <si>
    <t>FORMA DE PAGAMENTO</t>
  </si>
  <si>
    <t>MINHAS FINANÇAS</t>
  </si>
  <si>
    <t>x</t>
  </si>
  <si>
    <t>RELATÓRIO SIMPLIFICADO</t>
  </si>
  <si>
    <t>Selic hoje</t>
  </si>
  <si>
    <t>Quanto quero juntar?</t>
  </si>
  <si>
    <t>Tabela regressiva</t>
  </si>
  <si>
    <t>IR</t>
  </si>
  <si>
    <t>Em quantos meses?</t>
  </si>
  <si>
    <t>Até 180 dias (6 meses)</t>
  </si>
  <si>
    <t>% CDI</t>
  </si>
  <si>
    <t>181 dias a 360 dias (6 meses a 1 ano)</t>
  </si>
  <si>
    <t>Qual a minha rentabilidade?</t>
  </si>
  <si>
    <t>361 dias a 720 dias (1 a 2 anos)</t>
  </si>
  <si>
    <t>Rentabilidade líquida mensal</t>
  </si>
  <si>
    <t>Mais de 720 dias (acima de 2 anos)</t>
  </si>
  <si>
    <t>Quanto tenho que aportar por mês?</t>
  </si>
  <si>
    <t>Resumo</t>
  </si>
  <si>
    <t>Total de aportes</t>
  </si>
  <si>
    <t>Rentabilidade final</t>
  </si>
  <si>
    <t>Trabalho como garçom em restaurante local</t>
  </si>
  <si>
    <t>Aporte em LCI Banco Bradesco (110% CDI)</t>
  </si>
  <si>
    <t>Gás - fixo</t>
  </si>
  <si>
    <t>Aluguel - fixo</t>
  </si>
  <si>
    <t>Luz - fixo</t>
  </si>
  <si>
    <t>Gasolina</t>
  </si>
  <si>
    <t>Uber</t>
  </si>
  <si>
    <t>Ifood</t>
  </si>
  <si>
    <t>Jantar</t>
  </si>
  <si>
    <t>Remédios e suplementos</t>
  </si>
  <si>
    <t>Gastos imprevistos</t>
  </si>
  <si>
    <t>Cinema e shows</t>
  </si>
  <si>
    <t>Curso de inglês</t>
  </si>
  <si>
    <t>Jantar fora, compras de mercado</t>
  </si>
  <si>
    <t>Consulta médica e plano de saúde</t>
  </si>
  <si>
    <t>Viagem de fim de semana</t>
  </si>
  <si>
    <t>Academia e suplementos</t>
  </si>
  <si>
    <t>Material escolar e aulas de música</t>
  </si>
  <si>
    <t>Presentes de aniversário</t>
  </si>
  <si>
    <t>Aluguel, gás e internet</t>
  </si>
  <si>
    <t>Gasolina e transporte público</t>
  </si>
  <si>
    <t>Comida saudável e delivery</t>
  </si>
  <si>
    <t>Viagem e passeios culturais</t>
  </si>
  <si>
    <t>Massagem e cuidados pessoais</t>
  </si>
  <si>
    <t>Cursos online de marketing</t>
  </si>
  <si>
    <t>Gastos diversos e emergenciais</t>
  </si>
  <si>
    <t>Gasolina, Uber e manutenção de carro</t>
  </si>
  <si>
    <t>Jantar fora e compras no mercado</t>
  </si>
  <si>
    <t>Remédios e consultas médicas</t>
  </si>
  <si>
    <t>Cinema, teatro e hobbies</t>
  </si>
  <si>
    <t>Estética e cuidados com o cabelo</t>
  </si>
  <si>
    <t>Aula de inglês e material didático</t>
  </si>
  <si>
    <t>Diversos e emergenciais</t>
  </si>
  <si>
    <t>Ifood e jantares sociais</t>
  </si>
  <si>
    <t>Medicamentos e plano de saúde</t>
  </si>
  <si>
    <t>Viagem para cidade vizinha</t>
  </si>
  <si>
    <t>Skincare e cabelereiro</t>
  </si>
  <si>
    <t>Curso técnico de programação</t>
  </si>
  <si>
    <t>Reparos na casa</t>
  </si>
  <si>
    <t>Comida do dia a dia e delivery</t>
  </si>
  <si>
    <t>Suplementos e consultas médicas</t>
  </si>
  <si>
    <t>Shows e jantar fora</t>
  </si>
  <si>
    <t>Cabelereiro e estética</t>
  </si>
  <si>
    <t>Material escolar e cursos</t>
  </si>
  <si>
    <t>Gastos inesperados</t>
  </si>
  <si>
    <t>Contas de casa - fixo</t>
  </si>
  <si>
    <t>Contas de casa e aluguel - fixo</t>
  </si>
  <si>
    <t>Gasolina e Uber - fixo</t>
  </si>
  <si>
    <t>Contas de casa - fixo e aluguel</t>
  </si>
  <si>
    <t>Cabelereiro e skincare - fixo</t>
  </si>
  <si>
    <t>Gasolina e transporte público - fixo</t>
  </si>
  <si>
    <t>Dentista e medicamentos - fixo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</si>
</sst>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R$&quot;\ #,##0;[Red]\-&quot;R$&quot;\ #,##0"/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-[$R$-416]* #,##0.00_-;\-[$R$-416]* #,##0.00_-;_-[$R$-416]* &quot;-&quot;??_-;_-@_-"/>
    <numFmt numFmtId="165" formatCode="[$R$-416]#,##0.00"/>
    <numFmt numFmtId="166" formatCode="[$R$-416]#,##0"/>
    <numFmt numFmtId="167" formatCode="_-[$R$-416]* #,##0.00_-;\-[$R$-416]* #,##0.00_-;_-[$R$-416]* &quot;-&quot;_-;_-@_-"/>
    <numFmt numFmtId="168" formatCode="_-[$R$-416]\ * #,##0.00_-;\-[$R$-416]\ * #,##0.00_-;_-[$R$-416]\ * &quot;-&quot;??_-;_-@_-"/>
    <numFmt numFmtId="169" formatCode="&quot;R$&quot;\ #,##0.00"/>
  </numFmts>
  <fonts count="92">
    <font>
      <sz val="11"/>
      <color theme="1"/>
      <name val="Calibri"/>
      <family val="2"/>
      <scheme val="minor"/>
    </font>
    <font>
      <sz val="6"/>
      <name val="Yu Gothic"/>
      <family val="2"/>
      <charset val="128"/>
    </font>
    <font>
      <sz val="11"/>
      <color theme="1"/>
      <name val="Latha"/>
      <family val="18"/>
    </font>
    <font>
      <b/>
      <sz val="11"/>
      <color theme="0"/>
      <name val="Latha"/>
      <family val="18"/>
    </font>
    <font>
      <sz val="16"/>
      <color theme="1"/>
      <name val="Latha"/>
      <family val="18"/>
    </font>
    <font>
      <b/>
      <sz val="16"/>
      <color theme="0"/>
      <name val="Latha"/>
      <family val="18"/>
    </font>
    <font>
      <b/>
      <sz val="16"/>
      <color theme="1"/>
      <name val="Latha"/>
      <family val="18"/>
    </font>
    <font>
      <sz val="16"/>
      <color theme="1"/>
      <name val="Latha"/>
    </font>
    <font>
      <b/>
      <sz val="16"/>
      <color theme="1"/>
      <name val="Latha"/>
    </font>
    <font>
      <i/>
      <sz val="16"/>
      <color theme="1"/>
      <name val="Latha"/>
    </font>
    <font>
      <b/>
      <sz val="16"/>
      <color theme="2"/>
      <name val="Latha"/>
      <family val="18"/>
    </font>
    <font>
      <b/>
      <u/>
      <sz val="18"/>
      <color theme="0"/>
      <name val="Latha"/>
      <family val="18"/>
    </font>
    <font>
      <b/>
      <sz val="16"/>
      <color rgb="FFFF0000"/>
      <name val="Latha"/>
      <family val="18"/>
    </font>
    <font>
      <b/>
      <sz val="11"/>
      <color rgb="FFFF0000"/>
      <name val="Latha"/>
      <family val="18"/>
    </font>
    <font>
      <sz val="16"/>
      <color theme="2"/>
      <name val="Latha"/>
      <family val="18"/>
    </font>
    <font>
      <sz val="16"/>
      <color theme="9" tint="0.59999389629810485"/>
      <name val="Latha"/>
      <family val="18"/>
    </font>
    <font>
      <sz val="16"/>
      <color theme="8" tint="0.59999389629810485"/>
      <name val="Latha"/>
      <family val="18"/>
    </font>
    <font>
      <b/>
      <sz val="16"/>
      <color theme="9" tint="0.79998168889431442"/>
      <name val="Latha"/>
      <family val="18"/>
    </font>
    <font>
      <b/>
      <sz val="16"/>
      <color theme="2" tint="-0.249977111117893"/>
      <name val="Latha"/>
      <family val="18"/>
    </font>
    <font>
      <b/>
      <sz val="16"/>
      <color theme="4" tint="-0.249977111117893"/>
      <name val="Latha"/>
      <family val="18"/>
    </font>
    <font>
      <sz val="12"/>
      <color theme="9"/>
      <name val="Calibri"/>
      <family val="2"/>
      <scheme val="minor"/>
    </font>
    <font>
      <b/>
      <sz val="12"/>
      <color theme="2" tint="-0.249977111117893"/>
      <name val="Latha"/>
      <family val="18"/>
    </font>
    <font>
      <b/>
      <sz val="11"/>
      <color theme="1"/>
      <name val="Latha"/>
      <family val="18"/>
    </font>
    <font>
      <sz val="16"/>
      <color theme="0" tint="-0.249977111117893"/>
      <name val="Latha"/>
      <family val="18"/>
    </font>
    <font>
      <sz val="11"/>
      <color theme="5"/>
      <name val="Latha"/>
      <family val="18"/>
    </font>
    <font>
      <sz val="11"/>
      <color theme="0"/>
      <name val="Latha"/>
      <family val="18"/>
    </font>
    <font>
      <sz val="12"/>
      <color theme="1"/>
      <name val="Latha"/>
    </font>
    <font>
      <sz val="14"/>
      <color theme="9"/>
      <name val="Calibri"/>
      <family val="2"/>
      <scheme val="minor"/>
    </font>
    <font>
      <sz val="14"/>
      <color theme="5"/>
      <name val="Latha"/>
      <family val="18"/>
    </font>
    <font>
      <b/>
      <sz val="16"/>
      <color theme="5" tint="0.59999389629810485"/>
      <name val="Latha"/>
      <family val="18"/>
    </font>
    <font>
      <sz val="12"/>
      <color theme="9" tint="0.39997558519241921"/>
      <name val="Latha"/>
      <family val="18"/>
    </font>
    <font>
      <b/>
      <sz val="11"/>
      <color theme="2"/>
      <name val="Latha"/>
      <family val="18"/>
    </font>
    <font>
      <sz val="14"/>
      <color theme="1"/>
      <name val="Latha"/>
      <family val="18"/>
    </font>
    <font>
      <i/>
      <sz val="16"/>
      <color theme="1"/>
      <name val="Latha"/>
      <family val="18"/>
    </font>
    <font>
      <sz val="16"/>
      <color theme="2" tint="-9.9978637043366805E-2"/>
      <name val="Latha"/>
      <family val="18"/>
    </font>
    <font>
      <sz val="14"/>
      <color theme="2" tint="-9.9978637043366805E-2"/>
      <name val="Latha"/>
      <family val="18"/>
    </font>
    <font>
      <sz val="14"/>
      <color theme="5" tint="0.59999389629810485"/>
      <name val="Latha"/>
      <family val="18"/>
    </font>
    <font>
      <sz val="14"/>
      <color theme="5" tint="0.39997558519241921"/>
      <name val="Latha"/>
      <family val="18"/>
    </font>
    <font>
      <sz val="16"/>
      <color theme="0"/>
      <name val="Latha"/>
      <family val="18"/>
    </font>
    <font>
      <u/>
      <sz val="11"/>
      <color theme="10"/>
      <name val="Calibri"/>
      <family val="2"/>
      <scheme val="minor"/>
    </font>
    <font>
      <sz val="16"/>
      <color rgb="FFC00000"/>
      <name val="Latha"/>
      <family val="18"/>
    </font>
    <font>
      <sz val="14"/>
      <color theme="1"/>
      <name val="Latha"/>
    </font>
    <font>
      <b/>
      <i/>
      <sz val="16"/>
      <color theme="1"/>
      <name val="Latha"/>
    </font>
    <font>
      <b/>
      <sz val="16"/>
      <color rgb="FFFFFF00"/>
      <name val="Latha"/>
      <family val="18"/>
    </font>
    <font>
      <u/>
      <sz val="11"/>
      <color theme="1"/>
      <name val="Calibri"/>
      <family val="2"/>
      <scheme val="minor"/>
    </font>
    <font>
      <sz val="12"/>
      <color theme="0"/>
      <name val="Latha"/>
      <family val="18"/>
    </font>
    <font>
      <b/>
      <i/>
      <sz val="16"/>
      <color theme="1"/>
      <name val="Latha"/>
      <family val="18"/>
    </font>
    <font>
      <b/>
      <sz val="14"/>
      <color theme="1"/>
      <name val="Latha"/>
      <family val="18"/>
    </font>
    <font>
      <i/>
      <sz val="14"/>
      <color theme="1"/>
      <name val="Latha"/>
      <family val="18"/>
    </font>
    <font>
      <b/>
      <sz val="14"/>
      <color rgb="FFC00000"/>
      <name val="Latha"/>
    </font>
    <font>
      <sz val="14"/>
      <color rgb="FFC00000"/>
      <name val="Latha"/>
    </font>
    <font>
      <b/>
      <sz val="14"/>
      <color theme="0"/>
      <name val="Latha"/>
      <family val="18"/>
    </font>
    <font>
      <sz val="16"/>
      <color theme="5"/>
      <name val="Latha"/>
      <family val="18"/>
    </font>
    <font>
      <b/>
      <sz val="12"/>
      <color rgb="FF000000"/>
      <name val="Latha"/>
      <family val="18"/>
    </font>
    <font>
      <sz val="16"/>
      <color rgb="FFFF0000"/>
      <name val="Latha"/>
      <family val="18"/>
    </font>
    <font>
      <sz val="16"/>
      <color rgb="FF000000"/>
      <name val="Latha"/>
    </font>
    <font>
      <b/>
      <sz val="16"/>
      <color rgb="FF000000"/>
      <name val="Latha"/>
    </font>
    <font>
      <b/>
      <sz val="16"/>
      <color rgb="FFFF0000"/>
      <name val="Latha"/>
    </font>
    <font>
      <b/>
      <sz val="16"/>
      <color rgb="FFFF0000"/>
      <name val="Latha"/>
      <family val="2"/>
    </font>
    <font>
      <sz val="16"/>
      <color theme="1"/>
      <name val="Latha"/>
      <family val="2"/>
    </font>
    <font>
      <b/>
      <sz val="16"/>
      <color theme="1"/>
      <name val="Lath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2"/>
      <color theme="2" tint="-0.249977111117893"/>
      <name val="Calibri"/>
      <family val="2"/>
      <scheme val="minor"/>
    </font>
    <font>
      <sz val="12"/>
      <name val="Calibri"/>
      <family val="2"/>
      <scheme val="minor"/>
    </font>
    <font>
      <sz val="12"/>
      <color theme="5"/>
      <name val="Calibri"/>
      <family val="2"/>
      <scheme val="minor"/>
    </font>
    <font>
      <sz val="24"/>
      <color theme="0"/>
      <name val="Arial Black"/>
      <family val="2"/>
    </font>
    <font>
      <b/>
      <sz val="12"/>
      <color rgb="FF0033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rgb="FFFFFFFF"/>
      <name val="Helvetica Neue"/>
    </font>
    <font>
      <b/>
      <sz val="10"/>
      <color theme="1"/>
      <name val="Helvetica Neue"/>
    </font>
    <font>
      <sz val="10"/>
      <color theme="1"/>
      <name val="Helvetica Neue"/>
    </font>
    <font>
      <b/>
      <sz val="10"/>
      <color rgb="FF017000"/>
      <name val="Helvetica Neue"/>
    </font>
    <font>
      <sz val="10"/>
      <color theme="0"/>
      <name val="Helvetica Neue"/>
    </font>
    <font>
      <b/>
      <sz val="10"/>
      <color theme="1" tint="9.9978637043366805E-2"/>
      <name val="Helvetica Neue"/>
    </font>
    <font>
      <b/>
      <sz val="10"/>
      <color theme="8" tint="-0.499984740745262"/>
      <name val="Helvetica Neue"/>
    </font>
    <font>
      <sz val="8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8999908444471571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7499923703726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74999237037263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bgColor theme="0" tint="-9.9978637043366805E-2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DFE0E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EEAD6"/>
        <bgColor indexed="64"/>
      </patternFill>
    </fill>
    <fill>
      <patternFill patternType="solid">
        <fgColor theme="9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/>
      <top style="thin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/>
      <top style="thin">
        <color rgb="FF505050"/>
      </top>
      <bottom style="medium">
        <color rgb="FF505050"/>
      </bottom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theme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505050"/>
      </right>
      <top/>
      <bottom style="medium">
        <color rgb="FFB7B7B7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B7B7B7"/>
      </bottom>
      <diagonal/>
    </border>
    <border>
      <left style="medium">
        <color indexed="64"/>
      </left>
      <right/>
      <top style="medium">
        <color rgb="FFB7B7B7"/>
      </top>
      <bottom style="medium">
        <color rgb="FFB7B7B7"/>
      </bottom>
      <diagonal/>
    </border>
    <border>
      <left style="medium">
        <color indexed="64"/>
      </left>
      <right/>
      <top/>
      <bottom style="medium">
        <color rgb="FFB7B7B7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rgb="FFB7B7B7"/>
      </bottom>
      <diagonal/>
    </border>
    <border>
      <left/>
      <right style="medium">
        <color indexed="64"/>
      </right>
      <top style="medium">
        <color rgb="FFB7B7B7"/>
      </top>
      <bottom style="medium">
        <color rgb="FFB7B7B7"/>
      </bottom>
      <diagonal/>
    </border>
    <border>
      <left/>
      <right style="medium">
        <color indexed="64"/>
      </right>
      <top/>
      <bottom style="medium">
        <color rgb="FFB7B7B7"/>
      </bottom>
      <diagonal/>
    </border>
    <border>
      <left/>
      <right style="medium">
        <color indexed="64"/>
      </right>
      <top/>
      <bottom style="medium">
        <color rgb="FF50505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50505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505050"/>
      </bottom>
      <diagonal/>
    </border>
    <border>
      <left style="medium">
        <color indexed="64"/>
      </left>
      <right/>
      <top style="medium">
        <color rgb="FF50505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505050"/>
      </bottom>
      <diagonal/>
    </border>
    <border>
      <left style="medium">
        <color indexed="64"/>
      </left>
      <right style="medium">
        <color indexed="64"/>
      </right>
      <top style="medium">
        <color rgb="FF505050"/>
      </top>
      <bottom style="medium">
        <color indexed="64"/>
      </bottom>
      <diagonal/>
    </border>
  </borders>
  <cellStyleXfs count="3">
    <xf numFmtId="0" fontId="0" fillId="0" borderId="0"/>
    <xf numFmtId="0" fontId="39" fillId="0" borderId="0" applyNumberFormat="0" applyFill="0" applyBorder="0" applyAlignment="0" applyProtection="0"/>
    <xf numFmtId="44" fontId="61" fillId="0" borderId="0" applyFont="0" applyFill="0" applyBorder="0" applyAlignment="0" applyProtection="0"/>
  </cellStyleXfs>
  <cellXfs count="51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6" borderId="0" xfId="0" applyFill="1"/>
    <xf numFmtId="0" fontId="4" fillId="0" borderId="0" xfId="0" applyFont="1"/>
    <xf numFmtId="0" fontId="2" fillId="7" borderId="0" xfId="0" applyFont="1" applyFill="1"/>
    <xf numFmtId="0" fontId="3" fillId="7" borderId="0" xfId="0" applyFont="1" applyFill="1" applyAlignment="1">
      <alignment horizontal="center" vertical="center"/>
    </xf>
    <xf numFmtId="0" fontId="4" fillId="8" borderId="1" xfId="0" applyFont="1" applyFill="1" applyBorder="1"/>
    <xf numFmtId="164" fontId="4" fillId="8" borderId="1" xfId="0" applyNumberFormat="1" applyFont="1" applyFill="1" applyBorder="1"/>
    <xf numFmtId="164" fontId="4" fillId="2" borderId="1" xfId="0" applyNumberFormat="1" applyFont="1" applyFill="1" applyBorder="1"/>
    <xf numFmtId="0" fontId="4" fillId="6" borderId="0" xfId="0" applyFont="1" applyFill="1"/>
    <xf numFmtId="0" fontId="2" fillId="6" borderId="0" xfId="0" applyFont="1" applyFill="1"/>
    <xf numFmtId="0" fontId="3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top"/>
    </xf>
    <xf numFmtId="0" fontId="4" fillId="6" borderId="0" xfId="0" applyFont="1" applyFill="1" applyAlignment="1">
      <alignment horizontal="center" vertical="center"/>
    </xf>
    <xf numFmtId="14" fontId="4" fillId="8" borderId="1" xfId="0" applyNumberFormat="1" applyFont="1" applyFill="1" applyBorder="1"/>
    <xf numFmtId="14" fontId="4" fillId="8" borderId="1" xfId="0" applyNumberFormat="1" applyFont="1" applyFill="1" applyBorder="1" applyAlignment="1">
      <alignment horizontal="center" vertical="top"/>
    </xf>
    <xf numFmtId="0" fontId="7" fillId="8" borderId="1" xfId="0" applyFont="1" applyFill="1" applyBorder="1"/>
    <xf numFmtId="164" fontId="7" fillId="8" borderId="1" xfId="0" applyNumberFormat="1" applyFont="1" applyFill="1" applyBorder="1"/>
    <xf numFmtId="14" fontId="7" fillId="8" borderId="2" xfId="0" applyNumberFormat="1" applyFont="1" applyFill="1" applyBorder="1"/>
    <xf numFmtId="14" fontId="7" fillId="8" borderId="2" xfId="0" applyNumberFormat="1" applyFont="1" applyFill="1" applyBorder="1" applyAlignment="1">
      <alignment horizontal="center" vertical="top"/>
    </xf>
    <xf numFmtId="0" fontId="7" fillId="8" borderId="2" xfId="0" applyFont="1" applyFill="1" applyBorder="1"/>
    <xf numFmtId="164" fontId="7" fillId="8" borderId="2" xfId="0" applyNumberFormat="1" applyFont="1" applyFill="1" applyBorder="1"/>
    <xf numFmtId="0" fontId="5" fillId="9" borderId="1" xfId="0" applyFont="1" applyFill="1" applyBorder="1" applyAlignment="1">
      <alignment horizontal="center" vertical="center"/>
    </xf>
    <xf numFmtId="164" fontId="8" fillId="8" borderId="2" xfId="0" applyNumberFormat="1" applyFont="1" applyFill="1" applyBorder="1"/>
    <xf numFmtId="0" fontId="8" fillId="8" borderId="2" xfId="0" applyFont="1" applyFill="1" applyBorder="1"/>
    <xf numFmtId="0" fontId="7" fillId="10" borderId="2" xfId="0" applyFont="1" applyFill="1" applyBorder="1"/>
    <xf numFmtId="0" fontId="4" fillId="10" borderId="1" xfId="0" applyFont="1" applyFill="1" applyBorder="1"/>
    <xf numFmtId="0" fontId="9" fillId="10" borderId="2" xfId="0" applyFont="1" applyFill="1" applyBorder="1"/>
    <xf numFmtId="0" fontId="4" fillId="8" borderId="2" xfId="0" applyFont="1" applyFill="1" applyBorder="1"/>
    <xf numFmtId="164" fontId="4" fillId="8" borderId="2" xfId="0" applyNumberFormat="1" applyFont="1" applyFill="1" applyBorder="1"/>
    <xf numFmtId="164" fontId="7" fillId="11" borderId="2" xfId="0" applyNumberFormat="1" applyFont="1" applyFill="1" applyBorder="1"/>
    <xf numFmtId="0" fontId="7" fillId="12" borderId="2" xfId="0" applyFont="1" applyFill="1" applyBorder="1"/>
    <xf numFmtId="164" fontId="7" fillId="12" borderId="2" xfId="0" applyNumberFormat="1" applyFont="1" applyFill="1" applyBorder="1"/>
    <xf numFmtId="0" fontId="7" fillId="13" borderId="2" xfId="0" applyFont="1" applyFill="1" applyBorder="1"/>
    <xf numFmtId="164" fontId="7" fillId="13" borderId="2" xfId="0" applyNumberFormat="1" applyFont="1" applyFill="1" applyBorder="1"/>
    <xf numFmtId="164" fontId="4" fillId="15" borderId="1" xfId="0" applyNumberFormat="1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/>
    </xf>
    <xf numFmtId="0" fontId="13" fillId="6" borderId="0" xfId="0" applyFont="1" applyFill="1"/>
    <xf numFmtId="0" fontId="13" fillId="7" borderId="0" xfId="0" applyFont="1" applyFill="1"/>
    <xf numFmtId="0" fontId="9" fillId="8" borderId="2" xfId="0" applyFont="1" applyFill="1" applyBorder="1"/>
    <xf numFmtId="164" fontId="9" fillId="8" borderId="2" xfId="0" applyNumberFormat="1" applyFont="1" applyFill="1" applyBorder="1"/>
    <xf numFmtId="164" fontId="9" fillId="10" borderId="2" xfId="0" applyNumberFormat="1" applyFont="1" applyFill="1" applyBorder="1"/>
    <xf numFmtId="0" fontId="7" fillId="4" borderId="2" xfId="0" applyFont="1" applyFill="1" applyBorder="1"/>
    <xf numFmtId="164" fontId="7" fillId="4" borderId="2" xfId="0" applyNumberFormat="1" applyFont="1" applyFill="1" applyBorder="1"/>
    <xf numFmtId="0" fontId="14" fillId="6" borderId="2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vertical="center"/>
    </xf>
    <xf numFmtId="0" fontId="9" fillId="8" borderId="1" xfId="0" applyFont="1" applyFill="1" applyBorder="1"/>
    <xf numFmtId="164" fontId="9" fillId="8" borderId="1" xfId="0" applyNumberFormat="1" applyFont="1" applyFill="1" applyBorder="1"/>
    <xf numFmtId="164" fontId="15" fillId="6" borderId="0" xfId="0" applyNumberFormat="1" applyFont="1" applyFill="1"/>
    <xf numFmtId="164" fontId="16" fillId="6" borderId="2" xfId="0" applyNumberFormat="1" applyFont="1" applyFill="1" applyBorder="1"/>
    <xf numFmtId="9" fontId="2" fillId="6" borderId="0" xfId="0" applyNumberFormat="1" applyFont="1" applyFill="1"/>
    <xf numFmtId="0" fontId="8" fillId="8" borderId="1" xfId="0" applyFont="1" applyFill="1" applyBorder="1"/>
    <xf numFmtId="164" fontId="8" fillId="8" borderId="1" xfId="0" applyNumberFormat="1" applyFont="1" applyFill="1" applyBorder="1"/>
    <xf numFmtId="0" fontId="7" fillId="16" borderId="2" xfId="0" applyFont="1" applyFill="1" applyBorder="1"/>
    <xf numFmtId="164" fontId="7" fillId="16" borderId="2" xfId="0" applyNumberFormat="1" applyFont="1" applyFill="1" applyBorder="1"/>
    <xf numFmtId="165" fontId="19" fillId="16" borderId="11" xfId="0" applyNumberFormat="1" applyFont="1" applyFill="1" applyBorder="1"/>
    <xf numFmtId="164" fontId="2" fillId="6" borderId="0" xfId="0" applyNumberFormat="1" applyFont="1" applyFill="1"/>
    <xf numFmtId="10" fontId="20" fillId="6" borderId="0" xfId="0" applyNumberFormat="1" applyFont="1" applyFill="1"/>
    <xf numFmtId="10" fontId="21" fillId="6" borderId="0" xfId="0" applyNumberFormat="1" applyFont="1" applyFill="1"/>
    <xf numFmtId="10" fontId="18" fillId="6" borderId="1" xfId="0" applyNumberFormat="1" applyFont="1" applyFill="1" applyBorder="1"/>
    <xf numFmtId="164" fontId="17" fillId="6" borderId="2" xfId="0" applyNumberFormat="1" applyFont="1" applyFill="1" applyBorder="1"/>
    <xf numFmtId="164" fontId="22" fillId="6" borderId="0" xfId="0" applyNumberFormat="1" applyFont="1" applyFill="1"/>
    <xf numFmtId="0" fontId="23" fillId="6" borderId="0" xfId="0" applyFont="1" applyFill="1"/>
    <xf numFmtId="166" fontId="23" fillId="6" borderId="0" xfId="0" applyNumberFormat="1" applyFont="1" applyFill="1"/>
    <xf numFmtId="164" fontId="9" fillId="19" borderId="2" xfId="0" applyNumberFormat="1" applyFont="1" applyFill="1" applyBorder="1"/>
    <xf numFmtId="0" fontId="8" fillId="19" borderId="2" xfId="0" applyFont="1" applyFill="1" applyBorder="1"/>
    <xf numFmtId="0" fontId="7" fillId="20" borderId="2" xfId="0" applyFont="1" applyFill="1" applyBorder="1"/>
    <xf numFmtId="164" fontId="7" fillId="20" borderId="2" xfId="0" applyNumberFormat="1" applyFont="1" applyFill="1" applyBorder="1"/>
    <xf numFmtId="0" fontId="7" fillId="7" borderId="2" xfId="0" applyFont="1" applyFill="1" applyBorder="1"/>
    <xf numFmtId="164" fontId="7" fillId="7" borderId="2" xfId="0" applyNumberFormat="1" applyFont="1" applyFill="1" applyBorder="1"/>
    <xf numFmtId="164" fontId="4" fillId="6" borderId="0" xfId="0" applyNumberFormat="1" applyFont="1" applyFill="1"/>
    <xf numFmtId="10" fontId="24" fillId="6" borderId="0" xfId="0" applyNumberFormat="1" applyFont="1" applyFill="1"/>
    <xf numFmtId="0" fontId="25" fillId="6" borderId="0" xfId="0" applyFont="1" applyFill="1" applyAlignment="1">
      <alignment horizontal="center"/>
    </xf>
    <xf numFmtId="164" fontId="25" fillId="6" borderId="0" xfId="0" applyNumberFormat="1" applyFont="1" applyFill="1" applyAlignment="1">
      <alignment horizontal="center"/>
    </xf>
    <xf numFmtId="16" fontId="4" fillId="6" borderId="0" xfId="0" applyNumberFormat="1" applyFont="1" applyFill="1"/>
    <xf numFmtId="0" fontId="7" fillId="4" borderId="1" xfId="0" applyFont="1" applyFill="1" applyBorder="1"/>
    <xf numFmtId="164" fontId="7" fillId="4" borderId="1" xfId="0" applyNumberFormat="1" applyFont="1" applyFill="1" applyBorder="1"/>
    <xf numFmtId="0" fontId="26" fillId="21" borderId="1" xfId="0" applyFont="1" applyFill="1" applyBorder="1"/>
    <xf numFmtId="164" fontId="7" fillId="21" borderId="1" xfId="0" applyNumberFormat="1" applyFont="1" applyFill="1" applyBorder="1"/>
    <xf numFmtId="164" fontId="26" fillId="21" borderId="1" xfId="0" applyNumberFormat="1" applyFont="1" applyFill="1" applyBorder="1"/>
    <xf numFmtId="0" fontId="8" fillId="16" borderId="1" xfId="0" applyFont="1" applyFill="1" applyBorder="1"/>
    <xf numFmtId="164" fontId="8" fillId="16" borderId="1" xfId="0" applyNumberFormat="1" applyFont="1" applyFill="1" applyBorder="1"/>
    <xf numFmtId="0" fontId="7" fillId="2" borderId="2" xfId="0" applyFont="1" applyFill="1" applyBorder="1"/>
    <xf numFmtId="164" fontId="7" fillId="2" borderId="2" xfId="0" applyNumberFormat="1" applyFont="1" applyFill="1" applyBorder="1"/>
    <xf numFmtId="10" fontId="27" fillId="6" borderId="0" xfId="0" applyNumberFormat="1" applyFont="1" applyFill="1"/>
    <xf numFmtId="10" fontId="28" fillId="6" borderId="0" xfId="0" applyNumberFormat="1" applyFont="1" applyFill="1"/>
    <xf numFmtId="0" fontId="7" fillId="22" borderId="2" xfId="0" applyFont="1" applyFill="1" applyBorder="1"/>
    <xf numFmtId="164" fontId="7" fillId="22" borderId="2" xfId="0" applyNumberFormat="1" applyFont="1" applyFill="1" applyBorder="1"/>
    <xf numFmtId="0" fontId="7" fillId="2" borderId="1" xfId="0" applyFont="1" applyFill="1" applyBorder="1"/>
    <xf numFmtId="164" fontId="7" fillId="2" borderId="1" xfId="0" applyNumberFormat="1" applyFont="1" applyFill="1" applyBorder="1"/>
    <xf numFmtId="0" fontId="6" fillId="8" borderId="1" xfId="0" applyFont="1" applyFill="1" applyBorder="1"/>
    <xf numFmtId="0" fontId="6" fillId="2" borderId="1" xfId="0" applyFont="1" applyFill="1" applyBorder="1"/>
    <xf numFmtId="0" fontId="7" fillId="10" borderId="1" xfId="0" applyFont="1" applyFill="1" applyBorder="1"/>
    <xf numFmtId="164" fontId="7" fillId="10" borderId="1" xfId="0" applyNumberFormat="1" applyFont="1" applyFill="1" applyBorder="1"/>
    <xf numFmtId="165" fontId="12" fillId="10" borderId="6" xfId="0" applyNumberFormat="1" applyFont="1" applyFill="1" applyBorder="1"/>
    <xf numFmtId="0" fontId="8" fillId="13" borderId="2" xfId="0" applyFont="1" applyFill="1" applyBorder="1"/>
    <xf numFmtId="164" fontId="8" fillId="13" borderId="2" xfId="0" applyNumberFormat="1" applyFont="1" applyFill="1" applyBorder="1"/>
    <xf numFmtId="0" fontId="7" fillId="13" borderId="1" xfId="0" applyFont="1" applyFill="1" applyBorder="1"/>
    <xf numFmtId="164" fontId="7" fillId="13" borderId="1" xfId="0" applyNumberFormat="1" applyFont="1" applyFill="1" applyBorder="1"/>
    <xf numFmtId="0" fontId="8" fillId="13" borderId="1" xfId="0" applyFont="1" applyFill="1" applyBorder="1"/>
    <xf numFmtId="164" fontId="8" fillId="13" borderId="1" xfId="0" applyNumberFormat="1" applyFont="1" applyFill="1" applyBorder="1"/>
    <xf numFmtId="0" fontId="4" fillId="2" borderId="1" xfId="0" applyFont="1" applyFill="1" applyBorder="1"/>
    <xf numFmtId="164" fontId="4" fillId="13" borderId="1" xfId="0" applyNumberFormat="1" applyFont="1" applyFill="1" applyBorder="1"/>
    <xf numFmtId="14" fontId="8" fillId="8" borderId="1" xfId="0" applyNumberFormat="1" applyFont="1" applyFill="1" applyBorder="1"/>
    <xf numFmtId="14" fontId="8" fillId="8" borderId="1" xfId="0" applyNumberFormat="1" applyFont="1" applyFill="1" applyBorder="1" applyAlignment="1">
      <alignment horizontal="center" vertical="top"/>
    </xf>
    <xf numFmtId="0" fontId="6" fillId="6" borderId="0" xfId="0" applyFont="1" applyFill="1"/>
    <xf numFmtId="0" fontId="6" fillId="0" borderId="0" xfId="0" applyFont="1"/>
    <xf numFmtId="0" fontId="4" fillId="13" borderId="1" xfId="0" applyFont="1" applyFill="1" applyBorder="1"/>
    <xf numFmtId="164" fontId="9" fillId="25" borderId="1" xfId="0" applyNumberFormat="1" applyFont="1" applyFill="1" applyBorder="1"/>
    <xf numFmtId="164" fontId="7" fillId="25" borderId="1" xfId="0" applyNumberFormat="1" applyFont="1" applyFill="1" applyBorder="1"/>
    <xf numFmtId="164" fontId="4" fillId="25" borderId="1" xfId="0" applyNumberFormat="1" applyFont="1" applyFill="1" applyBorder="1"/>
    <xf numFmtId="0" fontId="4" fillId="25" borderId="1" xfId="0" applyFont="1" applyFill="1" applyBorder="1"/>
    <xf numFmtId="0" fontId="29" fillId="9" borderId="2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164" fontId="12" fillId="25" borderId="1" xfId="0" applyNumberFormat="1" applyFont="1" applyFill="1" applyBorder="1"/>
    <xf numFmtId="0" fontId="30" fillId="6" borderId="0" xfId="0" quotePrefix="1" applyFont="1" applyFill="1"/>
    <xf numFmtId="0" fontId="10" fillId="6" borderId="0" xfId="0" applyFont="1" applyFill="1" applyAlignment="1">
      <alignment horizontal="right" vertical="center"/>
    </xf>
    <xf numFmtId="164" fontId="10" fillId="6" borderId="0" xfId="0" applyNumberFormat="1" applyFont="1" applyFill="1" applyAlignment="1">
      <alignment horizontal="right" vertical="center"/>
    </xf>
    <xf numFmtId="0" fontId="31" fillId="6" borderId="0" xfId="0" applyFont="1" applyFill="1" applyAlignment="1">
      <alignment horizontal="left" vertical="center" wrapText="1"/>
    </xf>
    <xf numFmtId="0" fontId="32" fillId="6" borderId="0" xfId="0" applyFont="1" applyFill="1"/>
    <xf numFmtId="164" fontId="32" fillId="15" borderId="1" xfId="0" applyNumberFormat="1" applyFont="1" applyFill="1" applyBorder="1" applyAlignment="1">
      <alignment vertical="center"/>
    </xf>
    <xf numFmtId="0" fontId="4" fillId="15" borderId="1" xfId="0" applyFont="1" applyFill="1" applyBorder="1" applyAlignment="1">
      <alignment vertical="center" wrapText="1"/>
    </xf>
    <xf numFmtId="0" fontId="6" fillId="18" borderId="1" xfId="0" applyFont="1" applyFill="1" applyBorder="1" applyAlignment="1">
      <alignment horizontal="center" vertical="center"/>
    </xf>
    <xf numFmtId="165" fontId="19" fillId="17" borderId="11" xfId="0" applyNumberFormat="1" applyFont="1" applyFill="1" applyBorder="1"/>
    <xf numFmtId="164" fontId="34" fillId="6" borderId="0" xfId="0" applyNumberFormat="1" applyFont="1" applyFill="1"/>
    <xf numFmtId="167" fontId="23" fillId="6" borderId="0" xfId="0" applyNumberFormat="1" applyFont="1" applyFill="1"/>
    <xf numFmtId="10" fontId="35" fillId="6" borderId="0" xfId="0" applyNumberFormat="1" applyFont="1" applyFill="1"/>
    <xf numFmtId="10" fontId="36" fillId="6" borderId="0" xfId="0" applyNumberFormat="1" applyFont="1" applyFill="1" applyAlignment="1">
      <alignment horizontal="center"/>
    </xf>
    <xf numFmtId="0" fontId="38" fillId="6" borderId="0" xfId="0" applyFont="1" applyFill="1"/>
    <xf numFmtId="0" fontId="6" fillId="18" borderId="3" xfId="0" applyFont="1" applyFill="1" applyBorder="1"/>
    <xf numFmtId="0" fontId="4" fillId="15" borderId="2" xfId="0" applyFont="1" applyFill="1" applyBorder="1" applyAlignment="1">
      <alignment vertical="center" wrapText="1"/>
    </xf>
    <xf numFmtId="164" fontId="4" fillId="15" borderId="7" xfId="0" applyNumberFormat="1" applyFont="1" applyFill="1" applyBorder="1" applyAlignment="1">
      <alignment vertical="center" wrapText="1"/>
    </xf>
    <xf numFmtId="0" fontId="32" fillId="15" borderId="1" xfId="0" applyFont="1" applyFill="1" applyBorder="1" applyAlignment="1">
      <alignment vertical="center"/>
    </xf>
    <xf numFmtId="2" fontId="32" fillId="15" borderId="1" xfId="0" applyNumberFormat="1" applyFont="1" applyFill="1" applyBorder="1" applyAlignment="1">
      <alignment vertical="center"/>
    </xf>
    <xf numFmtId="164" fontId="4" fillId="15" borderId="1" xfId="0" applyNumberFormat="1" applyFont="1" applyFill="1" applyBorder="1" applyAlignment="1">
      <alignment vertical="center" wrapText="1"/>
    </xf>
    <xf numFmtId="164" fontId="32" fillId="15" borderId="8" xfId="0" applyNumberFormat="1" applyFont="1" applyFill="1" applyBorder="1" applyAlignment="1">
      <alignment vertical="center"/>
    </xf>
    <xf numFmtId="164" fontId="9" fillId="10" borderId="1" xfId="0" applyNumberFormat="1" applyFont="1" applyFill="1" applyBorder="1"/>
    <xf numFmtId="0" fontId="33" fillId="8" borderId="1" xfId="0" applyFont="1" applyFill="1" applyBorder="1"/>
    <xf numFmtId="1" fontId="4" fillId="6" borderId="0" xfId="0" applyNumberFormat="1" applyFont="1" applyFill="1"/>
    <xf numFmtId="10" fontId="37" fillId="6" borderId="3" xfId="0" applyNumberFormat="1" applyFont="1" applyFill="1" applyBorder="1" applyAlignment="1">
      <alignment horizontal="center"/>
    </xf>
    <xf numFmtId="10" fontId="37" fillId="6" borderId="12" xfId="0" applyNumberFormat="1" applyFont="1" applyFill="1" applyBorder="1" applyAlignment="1">
      <alignment horizontal="center"/>
    </xf>
    <xf numFmtId="0" fontId="35" fillId="6" borderId="4" xfId="0" applyFont="1" applyFill="1" applyBorder="1" applyAlignment="1">
      <alignment horizontal="center"/>
    </xf>
    <xf numFmtId="10" fontId="36" fillId="6" borderId="15" xfId="0" applyNumberFormat="1" applyFont="1" applyFill="1" applyBorder="1" applyAlignment="1">
      <alignment horizontal="center"/>
    </xf>
    <xf numFmtId="10" fontId="35" fillId="6" borderId="16" xfId="0" applyNumberFormat="1" applyFont="1" applyFill="1" applyBorder="1" applyAlignment="1">
      <alignment horizontal="center"/>
    </xf>
    <xf numFmtId="10" fontId="36" fillId="6" borderId="5" xfId="0" applyNumberFormat="1" applyFont="1" applyFill="1" applyBorder="1" applyAlignment="1">
      <alignment horizontal="center"/>
    </xf>
    <xf numFmtId="10" fontId="36" fillId="6" borderId="10" xfId="0" applyNumberFormat="1" applyFont="1" applyFill="1" applyBorder="1" applyAlignment="1">
      <alignment horizontal="center"/>
    </xf>
    <xf numFmtId="10" fontId="35" fillId="6" borderId="6" xfId="0" applyNumberFormat="1" applyFont="1" applyFill="1" applyBorder="1" applyAlignment="1">
      <alignment horizontal="center"/>
    </xf>
    <xf numFmtId="0" fontId="29" fillId="9" borderId="3" xfId="0" applyFont="1" applyFill="1" applyBorder="1" applyAlignment="1">
      <alignment horizontal="center" vertical="center"/>
    </xf>
    <xf numFmtId="164" fontId="4" fillId="25" borderId="7" xfId="0" applyNumberFormat="1" applyFont="1" applyFill="1" applyBorder="1"/>
    <xf numFmtId="0" fontId="8" fillId="21" borderId="1" xfId="0" applyFont="1" applyFill="1" applyBorder="1"/>
    <xf numFmtId="164" fontId="8" fillId="21" borderId="1" xfId="0" applyNumberFormat="1" applyFont="1" applyFill="1" applyBorder="1"/>
    <xf numFmtId="0" fontId="7" fillId="30" borderId="1" xfId="0" applyFont="1" applyFill="1" applyBorder="1"/>
    <xf numFmtId="164" fontId="7" fillId="30" borderId="1" xfId="0" applyNumberFormat="1" applyFont="1" applyFill="1" applyBorder="1"/>
    <xf numFmtId="164" fontId="7" fillId="24" borderId="2" xfId="0" applyNumberFormat="1" applyFont="1" applyFill="1" applyBorder="1"/>
    <xf numFmtId="0" fontId="8" fillId="20" borderId="2" xfId="0" applyFont="1" applyFill="1" applyBorder="1"/>
    <xf numFmtId="164" fontId="8" fillId="20" borderId="1" xfId="0" applyNumberFormat="1" applyFont="1" applyFill="1" applyBorder="1"/>
    <xf numFmtId="0" fontId="7" fillId="15" borderId="1" xfId="0" applyFont="1" applyFill="1" applyBorder="1"/>
    <xf numFmtId="164" fontId="7" fillId="15" borderId="1" xfId="0" applyNumberFormat="1" applyFont="1" applyFill="1" applyBorder="1"/>
    <xf numFmtId="0" fontId="8" fillId="31" borderId="1" xfId="0" applyFont="1" applyFill="1" applyBorder="1"/>
    <xf numFmtId="164" fontId="8" fillId="31" borderId="1" xfId="0" applyNumberFormat="1" applyFont="1" applyFill="1" applyBorder="1"/>
    <xf numFmtId="0" fontId="9" fillId="31" borderId="1" xfId="0" applyFont="1" applyFill="1" applyBorder="1"/>
    <xf numFmtId="164" fontId="9" fillId="31" borderId="1" xfId="0" applyNumberFormat="1" applyFont="1" applyFill="1" applyBorder="1"/>
    <xf numFmtId="0" fontId="5" fillId="9" borderId="7" xfId="0" applyFont="1" applyFill="1" applyBorder="1" applyAlignment="1">
      <alignment horizontal="center" vertical="center"/>
    </xf>
    <xf numFmtId="164" fontId="4" fillId="2" borderId="7" xfId="0" applyNumberFormat="1" applyFont="1" applyFill="1" applyBorder="1"/>
    <xf numFmtId="164" fontId="4" fillId="8" borderId="7" xfId="0" applyNumberFormat="1" applyFont="1" applyFill="1" applyBorder="1"/>
    <xf numFmtId="164" fontId="4" fillId="8" borderId="3" xfId="0" applyNumberFormat="1" applyFont="1" applyFill="1" applyBorder="1"/>
    <xf numFmtId="10" fontId="27" fillId="6" borderId="19" xfId="0" applyNumberFormat="1" applyFont="1" applyFill="1" applyBorder="1" applyAlignment="1">
      <alignment horizontal="center" vertical="center"/>
    </xf>
    <xf numFmtId="10" fontId="27" fillId="6" borderId="21" xfId="0" applyNumberFormat="1" applyFont="1" applyFill="1" applyBorder="1" applyAlignment="1">
      <alignment horizontal="center" vertical="center"/>
    </xf>
    <xf numFmtId="10" fontId="27" fillId="6" borderId="17" xfId="0" applyNumberFormat="1" applyFont="1" applyFill="1" applyBorder="1" applyAlignment="1">
      <alignment horizontal="center" vertical="center"/>
    </xf>
    <xf numFmtId="0" fontId="7" fillId="32" borderId="1" xfId="0" applyFont="1" applyFill="1" applyBorder="1"/>
    <xf numFmtId="164" fontId="7" fillId="32" borderId="1" xfId="0" applyNumberFormat="1" applyFont="1" applyFill="1" applyBorder="1"/>
    <xf numFmtId="0" fontId="7" fillId="8" borderId="1" xfId="0" quotePrefix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164" fontId="41" fillId="8" borderId="1" xfId="0" applyNumberFormat="1" applyFont="1" applyFill="1" applyBorder="1"/>
    <xf numFmtId="164" fontId="9" fillId="10" borderId="1" xfId="0" quotePrefix="1" applyNumberFormat="1" applyFont="1" applyFill="1" applyBorder="1" applyAlignment="1">
      <alignment horizontal="center"/>
    </xf>
    <xf numFmtId="0" fontId="9" fillId="5" borderId="1" xfId="0" applyFont="1" applyFill="1" applyBorder="1"/>
    <xf numFmtId="164" fontId="9" fillId="5" borderId="1" xfId="0" applyNumberFormat="1" applyFont="1" applyFill="1" applyBorder="1"/>
    <xf numFmtId="0" fontId="7" fillId="5" borderId="1" xfId="0" applyFont="1" applyFill="1" applyBorder="1"/>
    <xf numFmtId="0" fontId="4" fillId="15" borderId="7" xfId="0" applyFont="1" applyFill="1" applyBorder="1" applyAlignment="1">
      <alignment vertical="center" wrapText="1"/>
    </xf>
    <xf numFmtId="164" fontId="4" fillId="15" borderId="3" xfId="0" applyNumberFormat="1" applyFont="1" applyFill="1" applyBorder="1" applyAlignment="1">
      <alignment vertical="center" wrapText="1"/>
    </xf>
    <xf numFmtId="164" fontId="32" fillId="15" borderId="2" xfId="0" applyNumberFormat="1" applyFont="1" applyFill="1" applyBorder="1" applyAlignment="1">
      <alignment vertical="center"/>
    </xf>
    <xf numFmtId="164" fontId="4" fillId="15" borderId="11" xfId="0" applyNumberFormat="1" applyFont="1" applyFill="1" applyBorder="1" applyAlignment="1">
      <alignment vertical="center" wrapText="1"/>
    </xf>
    <xf numFmtId="164" fontId="32" fillId="15" borderId="6" xfId="0" applyNumberFormat="1" applyFont="1" applyFill="1" applyBorder="1" applyAlignment="1">
      <alignment vertical="center"/>
    </xf>
    <xf numFmtId="164" fontId="7" fillId="5" borderId="1" xfId="0" applyNumberFormat="1" applyFont="1" applyFill="1" applyBorder="1"/>
    <xf numFmtId="0" fontId="9" fillId="22" borderId="1" xfId="0" applyFont="1" applyFill="1" applyBorder="1"/>
    <xf numFmtId="164" fontId="7" fillId="22" borderId="1" xfId="0" applyNumberFormat="1" applyFont="1" applyFill="1" applyBorder="1"/>
    <xf numFmtId="164" fontId="7" fillId="24" borderId="1" xfId="0" applyNumberFormat="1" applyFont="1" applyFill="1" applyBorder="1"/>
    <xf numFmtId="164" fontId="6" fillId="25" borderId="1" xfId="0" applyNumberFormat="1" applyFont="1" applyFill="1" applyBorder="1"/>
    <xf numFmtId="0" fontId="6" fillId="12" borderId="1" xfId="0" applyFont="1" applyFill="1" applyBorder="1" applyAlignment="1">
      <alignment horizontal="center"/>
    </xf>
    <xf numFmtId="0" fontId="22" fillId="6" borderId="0" xfId="0" applyFont="1" applyFill="1" applyAlignment="1">
      <alignment horizontal="center"/>
    </xf>
    <xf numFmtId="0" fontId="22" fillId="7" borderId="0" xfId="0" applyFont="1" applyFill="1" applyAlignment="1">
      <alignment horizontal="center"/>
    </xf>
    <xf numFmtId="164" fontId="4" fillId="12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164" fontId="4" fillId="29" borderId="1" xfId="0" applyNumberFormat="1" applyFont="1" applyFill="1" applyBorder="1" applyAlignment="1">
      <alignment horizontal="center"/>
    </xf>
    <xf numFmtId="164" fontId="6" fillId="14" borderId="1" xfId="0" applyNumberFormat="1" applyFont="1" applyFill="1" applyBorder="1" applyAlignment="1">
      <alignment horizontal="center"/>
    </xf>
    <xf numFmtId="0" fontId="6" fillId="10" borderId="7" xfId="0" quotePrefix="1" applyFont="1" applyFill="1" applyBorder="1" applyAlignment="1">
      <alignment horizontal="center"/>
    </xf>
    <xf numFmtId="0" fontId="4" fillId="29" borderId="7" xfId="0" applyFont="1" applyFill="1" applyBorder="1"/>
    <xf numFmtId="164" fontId="4" fillId="29" borderId="1" xfId="0" applyNumberFormat="1" applyFont="1" applyFill="1" applyBorder="1"/>
    <xf numFmtId="164" fontId="4" fillId="29" borderId="7" xfId="0" applyNumberFormat="1" applyFont="1" applyFill="1" applyBorder="1"/>
    <xf numFmtId="0" fontId="6" fillId="31" borderId="23" xfId="0" applyFont="1" applyFill="1" applyBorder="1" applyAlignment="1">
      <alignment horizontal="center" vertical="center"/>
    </xf>
    <xf numFmtId="0" fontId="6" fillId="31" borderId="15" xfId="0" applyFont="1" applyFill="1" applyBorder="1" applyAlignment="1">
      <alignment horizontal="center" vertical="center"/>
    </xf>
    <xf numFmtId="0" fontId="6" fillId="31" borderId="1" xfId="0" applyFont="1" applyFill="1" applyBorder="1" applyAlignment="1">
      <alignment horizontal="center" vertical="center"/>
    </xf>
    <xf numFmtId="0" fontId="44" fillId="6" borderId="0" xfId="0" applyFont="1" applyFill="1"/>
    <xf numFmtId="168" fontId="4" fillId="6" borderId="0" xfId="0" applyNumberFormat="1" applyFont="1" applyFill="1"/>
    <xf numFmtId="168" fontId="45" fillId="6" borderId="0" xfId="0" applyNumberFormat="1" applyFont="1" applyFill="1"/>
    <xf numFmtId="164" fontId="7" fillId="8" borderId="1" xfId="0" quotePrefix="1" applyNumberFormat="1" applyFont="1" applyFill="1" applyBorder="1"/>
    <xf numFmtId="0" fontId="7" fillId="32" borderId="2" xfId="0" applyFont="1" applyFill="1" applyBorder="1"/>
    <xf numFmtId="164" fontId="7" fillId="32" borderId="2" xfId="0" applyNumberFormat="1" applyFont="1" applyFill="1" applyBorder="1"/>
    <xf numFmtId="0" fontId="33" fillId="25" borderId="1" xfId="0" applyFont="1" applyFill="1" applyBorder="1"/>
    <xf numFmtId="0" fontId="7" fillId="24" borderId="2" xfId="0" applyFont="1" applyFill="1" applyBorder="1"/>
    <xf numFmtId="168" fontId="30" fillId="6" borderId="0" xfId="0" quotePrefix="1" applyNumberFormat="1" applyFont="1" applyFill="1"/>
    <xf numFmtId="164" fontId="8" fillId="30" borderId="1" xfId="0" applyNumberFormat="1" applyFont="1" applyFill="1" applyBorder="1"/>
    <xf numFmtId="0" fontId="42" fillId="5" borderId="1" xfId="0" applyFont="1" applyFill="1" applyBorder="1"/>
    <xf numFmtId="164" fontId="42" fillId="5" borderId="1" xfId="0" applyNumberFormat="1" applyFont="1" applyFill="1" applyBorder="1"/>
    <xf numFmtId="0" fontId="42" fillId="31" borderId="1" xfId="0" applyFont="1" applyFill="1" applyBorder="1"/>
    <xf numFmtId="164" fontId="42" fillId="31" borderId="1" xfId="0" applyNumberFormat="1" applyFont="1" applyFill="1" applyBorder="1"/>
    <xf numFmtId="0" fontId="8" fillId="11" borderId="1" xfId="0" applyFont="1" applyFill="1" applyBorder="1"/>
    <xf numFmtId="164" fontId="8" fillId="11" borderId="1" xfId="0" applyNumberFormat="1" applyFont="1" applyFill="1" applyBorder="1"/>
    <xf numFmtId="14" fontId="7" fillId="8" borderId="1" xfId="0" applyNumberFormat="1" applyFont="1" applyFill="1" applyBorder="1"/>
    <xf numFmtId="14" fontId="7" fillId="8" borderId="1" xfId="0" applyNumberFormat="1" applyFont="1" applyFill="1" applyBorder="1" applyAlignment="1">
      <alignment horizontal="center" vertical="top"/>
    </xf>
    <xf numFmtId="164" fontId="8" fillId="8" borderId="1" xfId="0" quotePrefix="1" applyNumberFormat="1" applyFont="1" applyFill="1" applyBorder="1"/>
    <xf numFmtId="0" fontId="42" fillId="8" borderId="1" xfId="0" applyFont="1" applyFill="1" applyBorder="1"/>
    <xf numFmtId="0" fontId="42" fillId="10" borderId="2" xfId="0" applyFont="1" applyFill="1" applyBorder="1"/>
    <xf numFmtId="0" fontId="46" fillId="8" borderId="1" xfId="0" applyFont="1" applyFill="1" applyBorder="1"/>
    <xf numFmtId="0" fontId="8" fillId="8" borderId="1" xfId="0" applyFont="1" applyFill="1" applyBorder="1" applyAlignment="1">
      <alignment horizontal="center"/>
    </xf>
    <xf numFmtId="164" fontId="40" fillId="2" borderId="7" xfId="0" applyNumberFormat="1" applyFont="1" applyFill="1" applyBorder="1"/>
    <xf numFmtId="0" fontId="9" fillId="13" borderId="1" xfId="0" applyFont="1" applyFill="1" applyBorder="1"/>
    <xf numFmtId="164" fontId="9" fillId="13" borderId="1" xfId="0" applyNumberFormat="1" applyFont="1" applyFill="1" applyBorder="1"/>
    <xf numFmtId="164" fontId="8" fillId="2" borderId="1" xfId="0" applyNumberFormat="1" applyFont="1" applyFill="1" applyBorder="1"/>
    <xf numFmtId="0" fontId="14" fillId="34" borderId="2" xfId="0" applyFont="1" applyFill="1" applyBorder="1" applyAlignment="1">
      <alignment horizontal="center" vertical="center"/>
    </xf>
    <xf numFmtId="164" fontId="16" fillId="34" borderId="2" xfId="0" applyNumberFormat="1" applyFont="1" applyFill="1" applyBorder="1"/>
    <xf numFmtId="164" fontId="15" fillId="34" borderId="0" xfId="0" applyNumberFormat="1" applyFont="1" applyFill="1"/>
    <xf numFmtId="10" fontId="18" fillId="34" borderId="2" xfId="0" applyNumberFormat="1" applyFont="1" applyFill="1" applyBorder="1"/>
    <xf numFmtId="0" fontId="7" fillId="36" borderId="1" xfId="0" applyFont="1" applyFill="1" applyBorder="1" applyAlignment="1">
      <alignment horizontal="center"/>
    </xf>
    <xf numFmtId="10" fontId="28" fillId="6" borderId="18" xfId="0" applyNumberFormat="1" applyFont="1" applyFill="1" applyBorder="1" applyAlignment="1">
      <alignment horizontal="left" vertical="center"/>
    </xf>
    <xf numFmtId="10" fontId="28" fillId="6" borderId="20" xfId="0" applyNumberFormat="1" applyFont="1" applyFill="1" applyBorder="1" applyAlignment="1">
      <alignment horizontal="left" vertical="center"/>
    </xf>
    <xf numFmtId="10" fontId="28" fillId="6" borderId="22" xfId="0" applyNumberFormat="1" applyFont="1" applyFill="1" applyBorder="1" applyAlignment="1">
      <alignment horizontal="left" vertical="center"/>
    </xf>
    <xf numFmtId="0" fontId="6" fillId="17" borderId="17" xfId="0" applyFont="1" applyFill="1" applyBorder="1" applyAlignment="1">
      <alignment vertical="center"/>
    </xf>
    <xf numFmtId="0" fontId="6" fillId="17" borderId="13" xfId="0" applyFont="1" applyFill="1" applyBorder="1" applyAlignment="1">
      <alignment vertical="center"/>
    </xf>
    <xf numFmtId="14" fontId="4" fillId="8" borderId="2" xfId="0" applyNumberFormat="1" applyFont="1" applyFill="1" applyBorder="1"/>
    <xf numFmtId="14" fontId="4" fillId="8" borderId="2" xfId="0" applyNumberFormat="1" applyFont="1" applyFill="1" applyBorder="1" applyAlignment="1">
      <alignment horizontal="center" vertical="top"/>
    </xf>
    <xf numFmtId="0" fontId="7" fillId="19" borderId="2" xfId="0" applyFont="1" applyFill="1" applyBorder="1"/>
    <xf numFmtId="0" fontId="9" fillId="10" borderId="1" xfId="0" applyFont="1" applyFill="1" applyBorder="1"/>
    <xf numFmtId="0" fontId="7" fillId="23" borderId="2" xfId="0" applyFont="1" applyFill="1" applyBorder="1"/>
    <xf numFmtId="0" fontId="4" fillId="10" borderId="2" xfId="0" applyFont="1" applyFill="1" applyBorder="1"/>
    <xf numFmtId="0" fontId="8" fillId="19" borderId="1" xfId="0" applyFont="1" applyFill="1" applyBorder="1"/>
    <xf numFmtId="164" fontId="7" fillId="19" borderId="2" xfId="0" applyNumberFormat="1" applyFont="1" applyFill="1" applyBorder="1"/>
    <xf numFmtId="164" fontId="8" fillId="16" borderId="2" xfId="0" applyNumberFormat="1" applyFont="1" applyFill="1" applyBorder="1"/>
    <xf numFmtId="164" fontId="7" fillId="23" borderId="2" xfId="0" applyNumberFormat="1" applyFont="1" applyFill="1" applyBorder="1"/>
    <xf numFmtId="164" fontId="9" fillId="19" borderId="1" xfId="0" applyNumberFormat="1" applyFont="1" applyFill="1" applyBorder="1"/>
    <xf numFmtId="0" fontId="7" fillId="24" borderId="1" xfId="0" applyFont="1" applyFill="1" applyBorder="1"/>
    <xf numFmtId="0" fontId="42" fillId="10" borderId="1" xfId="0" applyFont="1" applyFill="1" applyBorder="1"/>
    <xf numFmtId="0" fontId="46" fillId="8" borderId="2" xfId="0" applyFont="1" applyFill="1" applyBorder="1"/>
    <xf numFmtId="0" fontId="7" fillId="30" borderId="2" xfId="0" applyFont="1" applyFill="1" applyBorder="1"/>
    <xf numFmtId="164" fontId="9" fillId="25" borderId="2" xfId="0" applyNumberFormat="1" applyFont="1" applyFill="1" applyBorder="1"/>
    <xf numFmtId="169" fontId="31" fillId="6" borderId="0" xfId="0" applyNumberFormat="1" applyFont="1" applyFill="1" applyAlignment="1">
      <alignment horizontal="center" vertical="center" wrapText="1"/>
    </xf>
    <xf numFmtId="169" fontId="11" fillId="6" borderId="0" xfId="0" applyNumberFormat="1" applyFont="1" applyFill="1" applyAlignment="1">
      <alignment horizontal="center"/>
    </xf>
    <xf numFmtId="164" fontId="52" fillId="8" borderId="7" xfId="0" applyNumberFormat="1" applyFont="1" applyFill="1" applyBorder="1"/>
    <xf numFmtId="10" fontId="53" fillId="20" borderId="0" xfId="0" applyNumberFormat="1" applyFont="1" applyFill="1" applyAlignment="1">
      <alignment horizontal="center"/>
    </xf>
    <xf numFmtId="0" fontId="7" fillId="23" borderId="1" xfId="0" applyFont="1" applyFill="1" applyBorder="1"/>
    <xf numFmtId="164" fontId="8" fillId="23" borderId="1" xfId="0" applyNumberFormat="1" applyFont="1" applyFill="1" applyBorder="1"/>
    <xf numFmtId="164" fontId="7" fillId="37" borderId="1" xfId="0" applyNumberFormat="1" applyFont="1" applyFill="1" applyBorder="1"/>
    <xf numFmtId="14" fontId="7" fillId="8" borderId="1" xfId="0" applyNumberFormat="1" applyFont="1" applyFill="1" applyBorder="1" applyAlignment="1">
      <alignment vertical="center"/>
    </xf>
    <xf numFmtId="14" fontId="7" fillId="8" borderId="1" xfId="0" applyNumberFormat="1" applyFont="1" applyFill="1" applyBorder="1" applyAlignment="1">
      <alignment horizontal="center" vertical="center"/>
    </xf>
    <xf numFmtId="0" fontId="7" fillId="36" borderId="1" xfId="0" applyFont="1" applyFill="1" applyBorder="1" applyAlignment="1">
      <alignment horizontal="center" vertical="center"/>
    </xf>
    <xf numFmtId="0" fontId="46" fillId="8" borderId="1" xfId="0" applyFont="1" applyFill="1" applyBorder="1" applyAlignment="1">
      <alignment vertical="center" wrapText="1"/>
    </xf>
    <xf numFmtId="164" fontId="9" fillId="25" borderId="1" xfId="0" applyNumberFormat="1" applyFont="1" applyFill="1" applyBorder="1" applyAlignment="1">
      <alignment vertical="center"/>
    </xf>
    <xf numFmtId="0" fontId="4" fillId="6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7" fillId="8" borderId="1" xfId="0" applyFont="1" applyFill="1" applyBorder="1" applyAlignment="1">
      <alignment vertical="center" wrapText="1"/>
    </xf>
    <xf numFmtId="16" fontId="7" fillId="38" borderId="1" xfId="0" applyNumberFormat="1" applyFont="1" applyFill="1" applyBorder="1"/>
    <xf numFmtId="0" fontId="55" fillId="4" borderId="1" xfId="0" applyFont="1" applyFill="1" applyBorder="1"/>
    <xf numFmtId="0" fontId="7" fillId="36" borderId="2" xfId="0" applyFont="1" applyFill="1" applyBorder="1" applyAlignment="1">
      <alignment horizontal="center"/>
    </xf>
    <xf numFmtId="164" fontId="8" fillId="38" borderId="1" xfId="0" applyNumberFormat="1" applyFont="1" applyFill="1" applyBorder="1"/>
    <xf numFmtId="164" fontId="8" fillId="4" borderId="1" xfId="0" applyNumberFormat="1" applyFont="1" applyFill="1" applyBorder="1"/>
    <xf numFmtId="0" fontId="38" fillId="6" borderId="0" xfId="0" quotePrefix="1" applyFont="1" applyFill="1" applyAlignment="1">
      <alignment horizontal="center"/>
    </xf>
    <xf numFmtId="0" fontId="34" fillId="6" borderId="0" xfId="0" applyFont="1" applyFill="1"/>
    <xf numFmtId="169" fontId="34" fillId="6" borderId="0" xfId="0" applyNumberFormat="1" applyFont="1" applyFill="1"/>
    <xf numFmtId="164" fontId="8" fillId="39" borderId="1" xfId="0" applyNumberFormat="1" applyFont="1" applyFill="1" applyBorder="1"/>
    <xf numFmtId="0" fontId="8" fillId="15" borderId="1" xfId="0" applyFont="1" applyFill="1" applyBorder="1"/>
    <xf numFmtId="0" fontId="8" fillId="30" borderId="1" xfId="0" applyFont="1" applyFill="1" applyBorder="1"/>
    <xf numFmtId="0" fontId="42" fillId="5" borderId="2" xfId="0" applyFont="1" applyFill="1" applyBorder="1"/>
    <xf numFmtId="164" fontId="9" fillId="10" borderId="2" xfId="0" quotePrefix="1" applyNumberFormat="1" applyFont="1" applyFill="1" applyBorder="1" applyAlignment="1">
      <alignment horizontal="center"/>
    </xf>
    <xf numFmtId="164" fontId="9" fillId="10" borderId="2" xfId="0" applyNumberFormat="1" applyFont="1" applyFill="1" applyBorder="1" applyAlignment="1">
      <alignment horizontal="center"/>
    </xf>
    <xf numFmtId="164" fontId="8" fillId="15" borderId="1" xfId="0" applyNumberFormat="1" applyFont="1" applyFill="1" applyBorder="1"/>
    <xf numFmtId="164" fontId="7" fillId="25" borderId="2" xfId="0" applyNumberFormat="1" applyFont="1" applyFill="1" applyBorder="1"/>
    <xf numFmtId="0" fontId="7" fillId="15" borderId="2" xfId="0" applyFont="1" applyFill="1" applyBorder="1"/>
    <xf numFmtId="164" fontId="7" fillId="15" borderId="2" xfId="0" applyNumberFormat="1" applyFont="1" applyFill="1" applyBorder="1"/>
    <xf numFmtId="14" fontId="7" fillId="8" borderId="2" xfId="0" applyNumberFormat="1" applyFont="1" applyFill="1" applyBorder="1" applyAlignment="1">
      <alignment horizontal="center" vertical="center"/>
    </xf>
    <xf numFmtId="0" fontId="33" fillId="8" borderId="2" xfId="0" applyFont="1" applyFill="1" applyBorder="1"/>
    <xf numFmtId="0" fontId="8" fillId="13" borderId="1" xfId="0" applyFont="1" applyFill="1" applyBorder="1" applyAlignment="1">
      <alignment wrapText="1"/>
    </xf>
    <xf numFmtId="164" fontId="8" fillId="20" borderId="2" xfId="0" applyNumberFormat="1" applyFont="1" applyFill="1" applyBorder="1"/>
    <xf numFmtId="0" fontId="8" fillId="32" borderId="2" xfId="0" applyFont="1" applyFill="1" applyBorder="1"/>
    <xf numFmtId="164" fontId="8" fillId="32" borderId="2" xfId="0" applyNumberFormat="1" applyFont="1" applyFill="1" applyBorder="1"/>
    <xf numFmtId="0" fontId="9" fillId="13" borderId="2" xfId="0" applyFont="1" applyFill="1" applyBorder="1"/>
    <xf numFmtId="0" fontId="7" fillId="21" borderId="1" xfId="0" applyFont="1" applyFill="1" applyBorder="1"/>
    <xf numFmtId="0" fontId="42" fillId="8" borderId="2" xfId="0" applyFont="1" applyFill="1" applyBorder="1"/>
    <xf numFmtId="0" fontId="7" fillId="39" borderId="1" xfId="0" applyFont="1" applyFill="1" applyBorder="1"/>
    <xf numFmtId="16" fontId="7" fillId="21" borderId="1" xfId="0" applyNumberFormat="1" applyFont="1" applyFill="1" applyBorder="1"/>
    <xf numFmtId="0" fontId="7" fillId="37" borderId="2" xfId="0" applyFont="1" applyFill="1" applyBorder="1"/>
    <xf numFmtId="0" fontId="7" fillId="38" borderId="1" xfId="0" applyFont="1" applyFill="1" applyBorder="1"/>
    <xf numFmtId="164" fontId="7" fillId="39" borderId="1" xfId="0" applyNumberFormat="1" applyFont="1" applyFill="1" applyBorder="1"/>
    <xf numFmtId="164" fontId="57" fillId="2" borderId="1" xfId="0" applyNumberFormat="1" applyFont="1" applyFill="1" applyBorder="1"/>
    <xf numFmtId="164" fontId="57" fillId="8" borderId="1" xfId="0" applyNumberFormat="1" applyFont="1" applyFill="1" applyBorder="1"/>
    <xf numFmtId="16" fontId="38" fillId="6" borderId="0" xfId="0" applyNumberFormat="1" applyFont="1" applyFill="1"/>
    <xf numFmtId="0" fontId="38" fillId="6" borderId="0" xfId="0" applyFont="1" applyFill="1" applyAlignment="1">
      <alignment horizontal="center"/>
    </xf>
    <xf numFmtId="0" fontId="54" fillId="6" borderId="0" xfId="0" applyFont="1" applyFill="1" applyAlignment="1">
      <alignment horizontal="center"/>
    </xf>
    <xf numFmtId="164" fontId="58" fillId="38" borderId="1" xfId="0" applyNumberFormat="1" applyFont="1" applyFill="1" applyBorder="1"/>
    <xf numFmtId="164" fontId="58" fillId="10" borderId="2" xfId="0" applyNumberFormat="1" applyFont="1" applyFill="1" applyBorder="1"/>
    <xf numFmtId="164" fontId="58" fillId="21" borderId="1" xfId="0" applyNumberFormat="1" applyFont="1" applyFill="1" applyBorder="1"/>
    <xf numFmtId="0" fontId="59" fillId="8" borderId="1" xfId="0" applyFont="1" applyFill="1" applyBorder="1"/>
    <xf numFmtId="14" fontId="59" fillId="8" borderId="1" xfId="0" applyNumberFormat="1" applyFont="1" applyFill="1" applyBorder="1"/>
    <xf numFmtId="14" fontId="59" fillId="8" borderId="1" xfId="0" applyNumberFormat="1" applyFont="1" applyFill="1" applyBorder="1" applyAlignment="1">
      <alignment horizontal="center" vertical="top"/>
    </xf>
    <xf numFmtId="0" fontId="59" fillId="36" borderId="1" xfId="0" applyFont="1" applyFill="1" applyBorder="1" applyAlignment="1">
      <alignment horizontal="center"/>
    </xf>
    <xf numFmtId="164" fontId="59" fillId="8" borderId="1" xfId="0" applyNumberFormat="1" applyFont="1" applyFill="1" applyBorder="1"/>
    <xf numFmtId="0" fontId="59" fillId="4" borderId="1" xfId="0" applyFont="1" applyFill="1" applyBorder="1"/>
    <xf numFmtId="164" fontId="60" fillId="4" borderId="1" xfId="0" applyNumberFormat="1" applyFont="1" applyFill="1" applyBorder="1"/>
    <xf numFmtId="164" fontId="58" fillId="38" borderId="7" xfId="0" applyNumberFormat="1" applyFont="1" applyFill="1" applyBorder="1"/>
    <xf numFmtId="0" fontId="68" fillId="41" borderId="0" xfId="0" applyFont="1" applyFill="1"/>
    <xf numFmtId="0" fontId="68" fillId="0" borderId="0" xfId="0" applyFont="1" applyAlignment="1">
      <alignment horizontal="center" vertical="center"/>
    </xf>
    <xf numFmtId="0" fontId="68" fillId="0" borderId="0" xfId="0" applyFont="1" applyAlignment="1">
      <alignment horizontal="center"/>
    </xf>
    <xf numFmtId="0" fontId="69" fillId="0" borderId="26" xfId="0" applyFont="1" applyBorder="1" applyAlignment="1">
      <alignment horizontal="center" vertical="center"/>
    </xf>
    <xf numFmtId="0" fontId="69" fillId="0" borderId="26" xfId="0" applyFont="1" applyBorder="1" applyAlignment="1">
      <alignment horizontal="center"/>
    </xf>
    <xf numFmtId="0" fontId="68" fillId="0" borderId="0" xfId="0" applyFont="1"/>
    <xf numFmtId="0" fontId="68" fillId="0" borderId="25" xfId="0" applyFont="1" applyBorder="1" applyAlignment="1">
      <alignment horizontal="center" vertical="center"/>
    </xf>
    <xf numFmtId="0" fontId="68" fillId="0" borderId="25" xfId="0" applyFont="1" applyBorder="1"/>
    <xf numFmtId="0" fontId="68" fillId="41" borderId="0" xfId="0" applyFont="1" applyFill="1" applyAlignment="1">
      <alignment horizontal="center" vertical="center"/>
    </xf>
    <xf numFmtId="0" fontId="0" fillId="41" borderId="0" xfId="0" applyFill="1"/>
    <xf numFmtId="0" fontId="0" fillId="41" borderId="0" xfId="0" applyFill="1" applyAlignment="1">
      <alignment horizontal="center" vertical="center"/>
    </xf>
    <xf numFmtId="0" fontId="65" fillId="41" borderId="0" xfId="0" applyFont="1" applyFill="1"/>
    <xf numFmtId="0" fontId="65" fillId="41" borderId="0" xfId="0" applyFont="1" applyFill="1" applyAlignment="1">
      <alignment horizontal="center" vertical="top"/>
    </xf>
    <xf numFmtId="0" fontId="63" fillId="41" borderId="0" xfId="0" applyFont="1" applyFill="1"/>
    <xf numFmtId="0" fontId="63" fillId="41" borderId="0" xfId="0" applyFont="1" applyFill="1" applyAlignment="1">
      <alignment horizontal="center" vertical="top"/>
    </xf>
    <xf numFmtId="0" fontId="74" fillId="41" borderId="0" xfId="0" applyFont="1" applyFill="1" applyAlignment="1">
      <alignment horizontal="center" vertical="center"/>
    </xf>
    <xf numFmtId="0" fontId="74" fillId="41" borderId="0" xfId="0" applyFont="1" applyFill="1"/>
    <xf numFmtId="0" fontId="71" fillId="41" borderId="0" xfId="0" applyFont="1" applyFill="1"/>
    <xf numFmtId="0" fontId="73" fillId="0" borderId="0" xfId="0" applyFont="1" applyAlignment="1">
      <alignment horizontal="center" vertical="center"/>
    </xf>
    <xf numFmtId="0" fontId="66" fillId="41" borderId="0" xfId="0" applyFont="1" applyFill="1"/>
    <xf numFmtId="168" fontId="63" fillId="41" borderId="0" xfId="0" applyNumberFormat="1" applyFont="1" applyFill="1"/>
    <xf numFmtId="0" fontId="67" fillId="41" borderId="0" xfId="0" applyFont="1" applyFill="1"/>
    <xf numFmtId="164" fontId="63" fillId="41" borderId="0" xfId="0" applyNumberFormat="1" applyFont="1" applyFill="1"/>
    <xf numFmtId="0" fontId="64" fillId="41" borderId="0" xfId="0" applyFont="1" applyFill="1"/>
    <xf numFmtId="10" fontId="77" fillId="41" borderId="0" xfId="0" applyNumberFormat="1" applyFont="1" applyFill="1"/>
    <xf numFmtId="164" fontId="0" fillId="41" borderId="0" xfId="0" applyNumberFormat="1" applyFill="1"/>
    <xf numFmtId="164" fontId="62" fillId="41" borderId="0" xfId="0" applyNumberFormat="1" applyFont="1" applyFill="1" applyAlignment="1">
      <alignment horizontal="center"/>
    </xf>
    <xf numFmtId="0" fontId="72" fillId="9" borderId="6" xfId="0" applyFont="1" applyFill="1" applyBorder="1" applyAlignment="1">
      <alignment horizontal="center" vertical="center"/>
    </xf>
    <xf numFmtId="0" fontId="72" fillId="9" borderId="11" xfId="0" applyFont="1" applyFill="1" applyBorder="1" applyAlignment="1">
      <alignment horizontal="center" vertical="center"/>
    </xf>
    <xf numFmtId="0" fontId="72" fillId="9" borderId="5" xfId="0" applyFont="1" applyFill="1" applyBorder="1" applyAlignment="1">
      <alignment horizontal="center" vertical="center"/>
    </xf>
    <xf numFmtId="0" fontId="72" fillId="41" borderId="0" xfId="0" applyFont="1" applyFill="1" applyAlignment="1">
      <alignment horizontal="center" vertical="center"/>
    </xf>
    <xf numFmtId="10" fontId="79" fillId="41" borderId="0" xfId="0" applyNumberFormat="1" applyFont="1" applyFill="1"/>
    <xf numFmtId="0" fontId="0" fillId="40" borderId="0" xfId="0" applyFill="1"/>
    <xf numFmtId="0" fontId="0" fillId="5" borderId="0" xfId="0" applyFill="1"/>
    <xf numFmtId="0" fontId="0" fillId="4" borderId="0" xfId="0" applyFill="1"/>
    <xf numFmtId="0" fontId="0" fillId="2" borderId="0" xfId="0" applyFill="1"/>
    <xf numFmtId="0" fontId="39" fillId="40" borderId="0" xfId="1" applyFill="1"/>
    <xf numFmtId="14" fontId="63" fillId="25" borderId="1" xfId="0" applyNumberFormat="1" applyFont="1" applyFill="1" applyBorder="1" applyAlignment="1">
      <alignment horizontal="center" vertical="top"/>
    </xf>
    <xf numFmtId="0" fontId="63" fillId="25" borderId="1" xfId="0" applyFont="1" applyFill="1" applyBorder="1" applyAlignment="1">
      <alignment horizontal="center"/>
    </xf>
    <xf numFmtId="14" fontId="63" fillId="25" borderId="2" xfId="0" applyNumberFormat="1" applyFont="1" applyFill="1" applyBorder="1" applyAlignment="1">
      <alignment horizontal="center" vertical="top"/>
    </xf>
    <xf numFmtId="14" fontId="63" fillId="25" borderId="7" xfId="0" applyNumberFormat="1" applyFont="1" applyFill="1" applyBorder="1" applyAlignment="1">
      <alignment horizontal="center" vertical="top"/>
    </xf>
    <xf numFmtId="0" fontId="63" fillId="25" borderId="2" xfId="0" applyFont="1" applyFill="1" applyBorder="1" applyAlignment="1">
      <alignment horizontal="center"/>
    </xf>
    <xf numFmtId="0" fontId="63" fillId="25" borderId="1" xfId="0" applyFont="1" applyFill="1" applyBorder="1"/>
    <xf numFmtId="0" fontId="63" fillId="25" borderId="24" xfId="0" applyFont="1" applyFill="1" applyBorder="1"/>
    <xf numFmtId="0" fontId="63" fillId="25" borderId="2" xfId="0" applyFont="1" applyFill="1" applyBorder="1"/>
    <xf numFmtId="9" fontId="63" fillId="25" borderId="2" xfId="0" applyNumberFormat="1" applyFont="1" applyFill="1" applyBorder="1"/>
    <xf numFmtId="9" fontId="63" fillId="25" borderId="1" xfId="0" applyNumberFormat="1" applyFont="1" applyFill="1" applyBorder="1"/>
    <xf numFmtId="0" fontId="63" fillId="25" borderId="1" xfId="0" quotePrefix="1" applyFont="1" applyFill="1" applyBorder="1" applyAlignment="1">
      <alignment horizontal="center"/>
    </xf>
    <xf numFmtId="164" fontId="63" fillId="25" borderId="2" xfId="0" applyNumberFormat="1" applyFont="1" applyFill="1" applyBorder="1"/>
    <xf numFmtId="164" fontId="63" fillId="25" borderId="1" xfId="0" applyNumberFormat="1" applyFont="1" applyFill="1" applyBorder="1"/>
    <xf numFmtId="0" fontId="63" fillId="25" borderId="1" xfId="0" applyFont="1" applyFill="1" applyBorder="1" applyAlignment="1">
      <alignment wrapText="1"/>
    </xf>
    <xf numFmtId="14" fontId="64" fillId="25" borderId="8" xfId="0" applyNumberFormat="1" applyFont="1" applyFill="1" applyBorder="1"/>
    <xf numFmtId="164" fontId="64" fillId="25" borderId="7" xfId="0" applyNumberFormat="1" applyFont="1" applyFill="1" applyBorder="1"/>
    <xf numFmtId="44" fontId="64" fillId="25" borderId="3" xfId="0" applyNumberFormat="1" applyFont="1" applyFill="1" applyBorder="1"/>
    <xf numFmtId="44" fontId="64" fillId="25" borderId="3" xfId="2" applyFont="1" applyFill="1" applyBorder="1"/>
    <xf numFmtId="164" fontId="64" fillId="25" borderId="7" xfId="2" applyNumberFormat="1" applyFont="1" applyFill="1" applyBorder="1"/>
    <xf numFmtId="44" fontId="64" fillId="25" borderId="7" xfId="2" applyFont="1" applyFill="1" applyBorder="1"/>
    <xf numFmtId="44" fontId="64" fillId="25" borderId="7" xfId="2" quotePrefix="1" applyFont="1" applyFill="1" applyBorder="1"/>
    <xf numFmtId="0" fontId="70" fillId="0" borderId="8" xfId="0" applyFont="1" applyBorder="1"/>
    <xf numFmtId="0" fontId="70" fillId="0" borderId="4" xfId="0" applyFont="1" applyBorder="1"/>
    <xf numFmtId="164" fontId="82" fillId="0" borderId="1" xfId="0" applyNumberFormat="1" applyFont="1" applyBorder="1"/>
    <xf numFmtId="164" fontId="81" fillId="0" borderId="7" xfId="0" applyNumberFormat="1" applyFont="1" applyBorder="1"/>
    <xf numFmtId="164" fontId="81" fillId="0" borderId="3" xfId="0" applyNumberFormat="1" applyFont="1" applyBorder="1"/>
    <xf numFmtId="164" fontId="83" fillId="0" borderId="1" xfId="0" applyNumberFormat="1" applyFont="1" applyBorder="1"/>
    <xf numFmtId="0" fontId="70" fillId="0" borderId="0" xfId="0" applyFont="1" applyAlignment="1">
      <alignment horizontal="center"/>
    </xf>
    <xf numFmtId="0" fontId="68" fillId="21" borderId="27" xfId="0" applyFont="1" applyFill="1" applyBorder="1" applyAlignment="1">
      <alignment horizontal="center"/>
    </xf>
    <xf numFmtId="0" fontId="68" fillId="28" borderId="27" xfId="0" applyFont="1" applyFill="1" applyBorder="1" applyAlignment="1">
      <alignment horizontal="center"/>
    </xf>
    <xf numFmtId="0" fontId="68" fillId="14" borderId="27" xfId="0" applyFont="1" applyFill="1" applyBorder="1" applyAlignment="1">
      <alignment horizontal="center"/>
    </xf>
    <xf numFmtId="0" fontId="68" fillId="38" borderId="27" xfId="0" applyFont="1" applyFill="1" applyBorder="1" applyAlignment="1">
      <alignment horizontal="center"/>
    </xf>
    <xf numFmtId="0" fontId="68" fillId="43" borderId="27" xfId="0" applyFont="1" applyFill="1" applyBorder="1" applyAlignment="1">
      <alignment horizontal="center"/>
    </xf>
    <xf numFmtId="0" fontId="68" fillId="24" borderId="27" xfId="0" applyFont="1" applyFill="1" applyBorder="1" applyAlignment="1">
      <alignment horizontal="center"/>
    </xf>
    <xf numFmtId="0" fontId="68" fillId="26" borderId="27" xfId="0" applyFont="1" applyFill="1" applyBorder="1" applyAlignment="1">
      <alignment horizontal="center"/>
    </xf>
    <xf numFmtId="0" fontId="68" fillId="4" borderId="27" xfId="0" applyFont="1" applyFill="1" applyBorder="1" applyAlignment="1">
      <alignment horizontal="center"/>
    </xf>
    <xf numFmtId="0" fontId="68" fillId="35" borderId="27" xfId="0" applyFont="1" applyFill="1" applyBorder="1" applyAlignment="1">
      <alignment horizontal="center"/>
    </xf>
    <xf numFmtId="0" fontId="78" fillId="44" borderId="27" xfId="0" applyFont="1" applyFill="1" applyBorder="1" applyAlignment="1">
      <alignment horizontal="center"/>
    </xf>
    <xf numFmtId="0" fontId="68" fillId="45" borderId="27" xfId="0" applyFont="1" applyFill="1" applyBorder="1" applyAlignment="1">
      <alignment horizontal="center"/>
    </xf>
    <xf numFmtId="0" fontId="68" fillId="42" borderId="32" xfId="0" applyFont="1" applyFill="1" applyBorder="1" applyAlignment="1">
      <alignment horizontal="center"/>
    </xf>
    <xf numFmtId="0" fontId="86" fillId="0" borderId="0" xfId="0" applyFont="1" applyAlignment="1">
      <alignment vertical="center" wrapText="1"/>
    </xf>
    <xf numFmtId="0" fontId="62" fillId="0" borderId="0" xfId="0" applyFont="1"/>
    <xf numFmtId="10" fontId="88" fillId="0" borderId="0" xfId="0" applyNumberFormat="1" applyFont="1" applyAlignment="1">
      <alignment horizontal="center" vertical="center" wrapText="1"/>
    </xf>
    <xf numFmtId="0" fontId="84" fillId="23" borderId="34" xfId="0" applyFont="1" applyFill="1" applyBorder="1" applyAlignment="1">
      <alignment horizontal="center" vertical="center" wrapText="1"/>
    </xf>
    <xf numFmtId="0" fontId="84" fillId="23" borderId="17" xfId="0" applyFont="1" applyFill="1" applyBorder="1" applyAlignment="1">
      <alignment horizontal="center" vertical="center" wrapText="1"/>
    </xf>
    <xf numFmtId="0" fontId="84" fillId="23" borderId="35" xfId="0" applyFont="1" applyFill="1" applyBorder="1" applyAlignment="1">
      <alignment horizontal="center" vertical="center" wrapText="1"/>
    </xf>
    <xf numFmtId="10" fontId="85" fillId="0" borderId="33" xfId="0" applyNumberFormat="1" applyFont="1" applyBorder="1" applyAlignment="1">
      <alignment horizontal="center" vertical="center" wrapText="1"/>
    </xf>
    <xf numFmtId="10" fontId="85" fillId="0" borderId="22" xfId="0" applyNumberFormat="1" applyFont="1" applyBorder="1" applyAlignment="1">
      <alignment horizontal="center" vertical="center" wrapText="1"/>
    </xf>
    <xf numFmtId="164" fontId="6" fillId="15" borderId="2" xfId="0" applyNumberFormat="1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right" vertical="center"/>
    </xf>
    <xf numFmtId="0" fontId="11" fillId="6" borderId="0" xfId="0" applyFont="1" applyFill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89" fillId="50" borderId="38" xfId="0" applyFont="1" applyFill="1" applyBorder="1" applyAlignment="1">
      <alignment horizontal="center" vertical="center" wrapText="1"/>
    </xf>
    <xf numFmtId="0" fontId="84" fillId="9" borderId="39" xfId="0" applyFont="1" applyFill="1" applyBorder="1" applyAlignment="1">
      <alignment horizontal="center" vertical="center" wrapText="1"/>
    </xf>
    <xf numFmtId="0" fontId="84" fillId="9" borderId="40" xfId="0" applyFont="1" applyFill="1" applyBorder="1" applyAlignment="1">
      <alignment horizontal="center" vertical="center" wrapText="1"/>
    </xf>
    <xf numFmtId="0" fontId="84" fillId="9" borderId="41" xfId="0" applyFont="1" applyFill="1" applyBorder="1" applyAlignment="1">
      <alignment horizontal="center" vertical="center" wrapText="1"/>
    </xf>
    <xf numFmtId="0" fontId="84" fillId="9" borderId="42" xfId="0" applyFont="1" applyFill="1" applyBorder="1" applyAlignment="1">
      <alignment horizontal="center" vertical="center" wrapText="1"/>
    </xf>
    <xf numFmtId="10" fontId="86" fillId="46" borderId="43" xfId="0" applyNumberFormat="1" applyFont="1" applyFill="1" applyBorder="1" applyAlignment="1">
      <alignment horizontal="center" vertical="center" wrapText="1"/>
    </xf>
    <xf numFmtId="8" fontId="86" fillId="46" borderId="44" xfId="0" applyNumberFormat="1" applyFont="1" applyFill="1" applyBorder="1" applyAlignment="1">
      <alignment horizontal="center" vertical="center" wrapText="1"/>
    </xf>
    <xf numFmtId="0" fontId="86" fillId="47" borderId="45" xfId="0" applyFont="1" applyFill="1" applyBorder="1" applyAlignment="1">
      <alignment horizontal="center" vertical="center" wrapText="1"/>
    </xf>
    <xf numFmtId="10" fontId="86" fillId="48" borderId="46" xfId="0" applyNumberFormat="1" applyFont="1" applyFill="1" applyBorder="1" applyAlignment="1">
      <alignment horizontal="center" vertical="center" wrapText="1"/>
    </xf>
    <xf numFmtId="10" fontId="85" fillId="50" borderId="31" xfId="0" applyNumberFormat="1" applyFont="1" applyFill="1" applyBorder="1" applyAlignment="1">
      <alignment horizontal="center" vertical="center" wrapText="1"/>
    </xf>
    <xf numFmtId="8" fontId="87" fillId="49" borderId="47" xfId="0" applyNumberFormat="1" applyFont="1" applyFill="1" applyBorder="1" applyAlignment="1">
      <alignment horizontal="center" vertical="center" wrapText="1"/>
    </xf>
    <xf numFmtId="0" fontId="89" fillId="50" borderId="48" xfId="0" applyFont="1" applyFill="1" applyBorder="1" applyAlignment="1">
      <alignment horizontal="center" vertical="center" wrapText="1"/>
    </xf>
    <xf numFmtId="0" fontId="89" fillId="50" borderId="49" xfId="0" applyFont="1" applyFill="1" applyBorder="1" applyAlignment="1">
      <alignment horizontal="center" vertical="center" wrapText="1"/>
    </xf>
    <xf numFmtId="0" fontId="89" fillId="50" borderId="50" xfId="0" applyFont="1" applyFill="1" applyBorder="1" applyAlignment="1">
      <alignment horizontal="center" vertical="center" wrapText="1"/>
    </xf>
    <xf numFmtId="0" fontId="89" fillId="50" borderId="51" xfId="0" applyFont="1" applyFill="1" applyBorder="1" applyAlignment="1">
      <alignment horizontal="center" vertical="center" wrapText="1"/>
    </xf>
    <xf numFmtId="169" fontId="85" fillId="50" borderId="52" xfId="0" applyNumberFormat="1" applyFont="1" applyFill="1" applyBorder="1" applyAlignment="1">
      <alignment horizontal="center" vertical="center" wrapText="1"/>
    </xf>
    <xf numFmtId="169" fontId="90" fillId="50" borderId="53" xfId="0" applyNumberFormat="1" applyFont="1" applyFill="1" applyBorder="1" applyAlignment="1">
      <alignment horizontal="center" vertical="center" wrapText="1"/>
    </xf>
    <xf numFmtId="0" fontId="88" fillId="0" borderId="0" xfId="0" applyFont="1" applyAlignment="1">
      <alignment vertical="center" wrapText="1"/>
    </xf>
    <xf numFmtId="10" fontId="85" fillId="50" borderId="30" xfId="0" applyNumberFormat="1" applyFont="1" applyFill="1" applyBorder="1" applyAlignment="1">
      <alignment horizontal="center" vertical="center" wrapText="1"/>
    </xf>
    <xf numFmtId="14" fontId="63" fillId="25" borderId="8" xfId="0" applyNumberFormat="1" applyFont="1" applyFill="1" applyBorder="1" applyAlignment="1">
      <alignment horizontal="center" vertical="top"/>
    </xf>
    <xf numFmtId="0" fontId="63" fillId="25" borderId="7" xfId="0" applyFont="1" applyFill="1" applyBorder="1" applyAlignment="1">
      <alignment horizontal="center"/>
    </xf>
    <xf numFmtId="0" fontId="63" fillId="25" borderId="7" xfId="0" applyFont="1" applyFill="1" applyBorder="1"/>
    <xf numFmtId="164" fontId="64" fillId="25" borderId="9" xfId="2" applyNumberFormat="1" applyFont="1" applyFill="1" applyBorder="1"/>
    <xf numFmtId="164" fontId="64" fillId="25" borderId="7" xfId="0" quotePrefix="1" applyNumberFormat="1" applyFont="1" applyFill="1" applyBorder="1" applyAlignment="1">
      <alignment horizontal="center"/>
    </xf>
    <xf numFmtId="44" fontId="64" fillId="25" borderId="7" xfId="2" quotePrefix="1" applyFont="1" applyFill="1" applyBorder="1" applyAlignment="1">
      <alignment horizontal="center"/>
    </xf>
    <xf numFmtId="44" fontId="64" fillId="25" borderId="3" xfId="2" applyFont="1" applyFill="1" applyBorder="1" applyAlignment="1">
      <alignment horizontal="center"/>
    </xf>
    <xf numFmtId="6" fontId="64" fillId="25" borderId="3" xfId="2" applyNumberFormat="1" applyFont="1" applyFill="1" applyBorder="1"/>
    <xf numFmtId="6" fontId="64" fillId="25" borderId="7" xfId="2" applyNumberFormat="1" applyFont="1" applyFill="1" applyBorder="1"/>
    <xf numFmtId="164" fontId="64" fillId="25" borderId="9" xfId="0" applyNumberFormat="1" applyFont="1" applyFill="1" applyBorder="1"/>
    <xf numFmtId="0" fontId="80" fillId="3" borderId="0" xfId="0" applyFont="1" applyFill="1" applyAlignment="1">
      <alignment horizontal="center" vertical="center"/>
    </xf>
    <xf numFmtId="0" fontId="6" fillId="17" borderId="7" xfId="0" applyFont="1" applyFill="1" applyBorder="1" applyAlignment="1">
      <alignment horizontal="center"/>
    </xf>
    <xf numFmtId="0" fontId="6" fillId="17" borderId="9" xfId="0" applyFont="1" applyFill="1" applyBorder="1" applyAlignment="1">
      <alignment horizontal="center"/>
    </xf>
    <xf numFmtId="0" fontId="6" fillId="17" borderId="12" xfId="0" applyFont="1" applyFill="1" applyBorder="1" applyAlignment="1">
      <alignment horizontal="center"/>
    </xf>
    <xf numFmtId="0" fontId="6" fillId="17" borderId="4" xfId="0" applyFont="1" applyFill="1" applyBorder="1" applyAlignment="1">
      <alignment horizontal="center"/>
    </xf>
    <xf numFmtId="0" fontId="19" fillId="17" borderId="5" xfId="0" applyFont="1" applyFill="1" applyBorder="1" applyAlignment="1">
      <alignment horizontal="left" vertical="center"/>
    </xf>
    <xf numFmtId="0" fontId="19" fillId="17" borderId="10" xfId="0" applyFont="1" applyFill="1" applyBorder="1" applyAlignment="1">
      <alignment horizontal="left" vertical="center"/>
    </xf>
    <xf numFmtId="0" fontId="19" fillId="17" borderId="6" xfId="0" applyFont="1" applyFill="1" applyBorder="1" applyAlignment="1">
      <alignment horizontal="left" vertical="center"/>
    </xf>
    <xf numFmtId="0" fontId="23" fillId="6" borderId="12" xfId="0" applyFont="1" applyFill="1" applyBorder="1" applyAlignment="1">
      <alignment horizontal="center"/>
    </xf>
    <xf numFmtId="0" fontId="34" fillId="6" borderId="0" xfId="0" applyFont="1" applyFill="1" applyAlignment="1">
      <alignment horizontal="right"/>
    </xf>
    <xf numFmtId="0" fontId="10" fillId="6" borderId="1" xfId="0" applyFont="1" applyFill="1" applyBorder="1" applyAlignment="1">
      <alignment horizontal="right" vertical="center"/>
    </xf>
    <xf numFmtId="0" fontId="6" fillId="17" borderId="8" xfId="0" applyFont="1" applyFill="1" applyBorder="1" applyAlignment="1">
      <alignment horizontal="center"/>
    </xf>
    <xf numFmtId="0" fontId="10" fillId="6" borderId="9" xfId="0" applyFont="1" applyFill="1" applyBorder="1" applyAlignment="1">
      <alignment horizontal="right" vertical="center"/>
    </xf>
    <xf numFmtId="0" fontId="11" fillId="6" borderId="0" xfId="0" applyFont="1" applyFill="1" applyAlignment="1">
      <alignment horizontal="center"/>
    </xf>
    <xf numFmtId="0" fontId="6" fillId="18" borderId="3" xfId="0" applyFont="1" applyFill="1" applyBorder="1" applyAlignment="1">
      <alignment horizontal="center"/>
    </xf>
    <xf numFmtId="0" fontId="6" fillId="18" borderId="4" xfId="0" applyFont="1" applyFill="1" applyBorder="1" applyAlignment="1">
      <alignment horizontal="center"/>
    </xf>
    <xf numFmtId="0" fontId="6" fillId="15" borderId="2" xfId="0" applyFont="1" applyFill="1" applyBorder="1" applyAlignment="1">
      <alignment horizontal="center" vertical="center" wrapText="1"/>
    </xf>
    <xf numFmtId="0" fontId="19" fillId="16" borderId="5" xfId="0" applyFont="1" applyFill="1" applyBorder="1" applyAlignment="1">
      <alignment horizontal="left" vertical="center"/>
    </xf>
    <xf numFmtId="0" fontId="19" fillId="16" borderId="10" xfId="0" applyFont="1" applyFill="1" applyBorder="1" applyAlignment="1">
      <alignment horizontal="left" vertical="center"/>
    </xf>
    <xf numFmtId="0" fontId="19" fillId="16" borderId="6" xfId="0" applyFont="1" applyFill="1" applyBorder="1" applyAlignment="1">
      <alignment horizontal="left" vertical="center"/>
    </xf>
    <xf numFmtId="0" fontId="6" fillId="18" borderId="7" xfId="0" applyFont="1" applyFill="1" applyBorder="1" applyAlignment="1">
      <alignment horizontal="center" vertical="center"/>
    </xf>
    <xf numFmtId="0" fontId="6" fillId="18" borderId="8" xfId="0" applyFont="1" applyFill="1" applyBorder="1" applyAlignment="1">
      <alignment horizontal="center" vertical="center"/>
    </xf>
    <xf numFmtId="164" fontId="6" fillId="15" borderId="7" xfId="0" applyNumberFormat="1" applyFont="1" applyFill="1" applyBorder="1" applyAlignment="1">
      <alignment horizontal="center" vertical="center"/>
    </xf>
    <xf numFmtId="164" fontId="6" fillId="15" borderId="8" xfId="0" applyNumberFormat="1" applyFont="1" applyFill="1" applyBorder="1" applyAlignment="1">
      <alignment horizontal="center" vertical="center"/>
    </xf>
    <xf numFmtId="164" fontId="6" fillId="15" borderId="3" xfId="0" applyNumberFormat="1" applyFont="1" applyFill="1" applyBorder="1" applyAlignment="1">
      <alignment horizontal="center" vertical="center"/>
    </xf>
    <xf numFmtId="164" fontId="6" fillId="15" borderId="4" xfId="0" applyNumberFormat="1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 wrapText="1"/>
    </xf>
    <xf numFmtId="0" fontId="6" fillId="14" borderId="7" xfId="0" applyFont="1" applyFill="1" applyBorder="1" applyAlignment="1">
      <alignment horizontal="center"/>
    </xf>
    <xf numFmtId="0" fontId="6" fillId="14" borderId="9" xfId="0" applyFont="1" applyFill="1" applyBorder="1" applyAlignment="1">
      <alignment horizontal="center"/>
    </xf>
    <xf numFmtId="0" fontId="6" fillId="14" borderId="8" xfId="0" applyFont="1" applyFill="1" applyBorder="1" applyAlignment="1">
      <alignment horizontal="center"/>
    </xf>
    <xf numFmtId="0" fontId="6" fillId="10" borderId="7" xfId="0" applyFont="1" applyFill="1" applyBorder="1" applyAlignment="1">
      <alignment horizontal="center"/>
    </xf>
    <xf numFmtId="0" fontId="6" fillId="10" borderId="8" xfId="0" applyFont="1" applyFill="1" applyBorder="1" applyAlignment="1">
      <alignment horizontal="center"/>
    </xf>
    <xf numFmtId="0" fontId="4" fillId="15" borderId="3" xfId="0" applyFont="1" applyFill="1" applyBorder="1" applyAlignment="1">
      <alignment horizontal="center" vertical="center" wrapText="1"/>
    </xf>
    <xf numFmtId="0" fontId="4" fillId="15" borderId="4" xfId="0" applyFont="1" applyFill="1" applyBorder="1" applyAlignment="1">
      <alignment horizontal="center" vertical="center" wrapText="1"/>
    </xf>
    <xf numFmtId="0" fontId="12" fillId="10" borderId="7" xfId="0" applyFont="1" applyFill="1" applyBorder="1" applyAlignment="1">
      <alignment horizontal="left" vertical="center"/>
    </xf>
    <xf numFmtId="0" fontId="12" fillId="10" borderId="9" xfId="0" applyFont="1" applyFill="1" applyBorder="1" applyAlignment="1">
      <alignment horizontal="left" vertical="center"/>
    </xf>
    <xf numFmtId="0" fontId="12" fillId="10" borderId="8" xfId="0" applyFont="1" applyFill="1" applyBorder="1" applyAlignment="1">
      <alignment horizontal="left" vertical="center"/>
    </xf>
    <xf numFmtId="0" fontId="14" fillId="6" borderId="0" xfId="0" applyFont="1" applyFill="1" applyAlignment="1">
      <alignment horizontal="right"/>
    </xf>
    <xf numFmtId="164" fontId="6" fillId="15" borderId="2" xfId="0" applyNumberFormat="1" applyFont="1" applyFill="1" applyBorder="1" applyAlignment="1">
      <alignment horizontal="center" vertical="center"/>
    </xf>
    <xf numFmtId="0" fontId="6" fillId="15" borderId="7" xfId="0" applyFont="1" applyFill="1" applyBorder="1" applyAlignment="1">
      <alignment horizontal="center" vertical="center" wrapText="1"/>
    </xf>
    <xf numFmtId="0" fontId="6" fillId="15" borderId="8" xfId="0" applyFont="1" applyFill="1" applyBorder="1" applyAlignment="1">
      <alignment horizontal="center" vertical="center" wrapText="1"/>
    </xf>
    <xf numFmtId="0" fontId="6" fillId="29" borderId="3" xfId="0" applyFont="1" applyFill="1" applyBorder="1" applyAlignment="1">
      <alignment horizontal="center"/>
    </xf>
    <xf numFmtId="0" fontId="6" fillId="29" borderId="12" xfId="0" applyFont="1" applyFill="1" applyBorder="1" applyAlignment="1">
      <alignment horizontal="center"/>
    </xf>
    <xf numFmtId="0" fontId="6" fillId="29" borderId="4" xfId="0" applyFont="1" applyFill="1" applyBorder="1" applyAlignment="1">
      <alignment horizontal="center"/>
    </xf>
    <xf numFmtId="0" fontId="10" fillId="6" borderId="12" xfId="0" applyFont="1" applyFill="1" applyBorder="1" applyAlignment="1">
      <alignment horizontal="right" vertical="center"/>
    </xf>
    <xf numFmtId="14" fontId="6" fillId="27" borderId="14" xfId="0" applyNumberFormat="1" applyFont="1" applyFill="1" applyBorder="1" applyAlignment="1">
      <alignment horizontal="right"/>
    </xf>
    <xf numFmtId="14" fontId="6" fillId="27" borderId="14" xfId="0" applyNumberFormat="1" applyFont="1" applyFill="1" applyBorder="1" applyAlignment="1">
      <alignment horizontal="left"/>
    </xf>
    <xf numFmtId="0" fontId="6" fillId="26" borderId="11" xfId="0" applyFont="1" applyFill="1" applyBorder="1" applyAlignment="1">
      <alignment horizontal="center"/>
    </xf>
    <xf numFmtId="0" fontId="33" fillId="26" borderId="1" xfId="0" applyFont="1" applyFill="1" applyBorder="1" applyAlignment="1">
      <alignment horizontal="center"/>
    </xf>
    <xf numFmtId="164" fontId="47" fillId="26" borderId="11" xfId="0" applyNumberFormat="1" applyFont="1" applyFill="1" applyBorder="1" applyAlignment="1">
      <alignment horizontal="center"/>
    </xf>
    <xf numFmtId="164" fontId="48" fillId="26" borderId="1" xfId="0" applyNumberFormat="1" applyFont="1" applyFill="1" applyBorder="1" applyAlignment="1">
      <alignment horizontal="center"/>
    </xf>
    <xf numFmtId="164" fontId="32" fillId="26" borderId="1" xfId="0" applyNumberFormat="1" applyFont="1" applyFill="1" applyBorder="1" applyAlignment="1">
      <alignment horizontal="center"/>
    </xf>
    <xf numFmtId="164" fontId="49" fillId="26" borderId="1" xfId="0" applyNumberFormat="1" applyFont="1" applyFill="1" applyBorder="1" applyAlignment="1">
      <alignment horizontal="center"/>
    </xf>
    <xf numFmtId="0" fontId="43" fillId="26" borderId="1" xfId="0" applyFont="1" applyFill="1" applyBorder="1" applyAlignment="1">
      <alignment horizontal="center"/>
    </xf>
    <xf numFmtId="0" fontId="4" fillId="26" borderId="1" xfId="0" applyFont="1" applyFill="1" applyBorder="1" applyAlignment="1">
      <alignment horizontal="center"/>
    </xf>
    <xf numFmtId="0" fontId="43" fillId="26" borderId="2" xfId="0" applyFont="1" applyFill="1" applyBorder="1" applyAlignment="1">
      <alignment horizontal="center"/>
    </xf>
    <xf numFmtId="164" fontId="50" fillId="26" borderId="2" xfId="0" applyNumberFormat="1" applyFont="1" applyFill="1" applyBorder="1" applyAlignment="1">
      <alignment horizontal="center"/>
    </xf>
    <xf numFmtId="0" fontId="6" fillId="28" borderId="1" xfId="0" quotePrefix="1" applyFont="1" applyFill="1" applyBorder="1" applyAlignment="1">
      <alignment horizontal="center"/>
    </xf>
    <xf numFmtId="164" fontId="51" fillId="35" borderId="1" xfId="0" applyNumberFormat="1" applyFont="1" applyFill="1" applyBorder="1" applyAlignment="1">
      <alignment horizontal="center"/>
    </xf>
    <xf numFmtId="0" fontId="6" fillId="24" borderId="1" xfId="0" applyFont="1" applyFill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6" fillId="14" borderId="2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6" fillId="33" borderId="7" xfId="0" applyFont="1" applyFill="1" applyBorder="1" applyAlignment="1">
      <alignment horizontal="center"/>
    </xf>
    <xf numFmtId="0" fontId="6" fillId="33" borderId="9" xfId="0" applyFont="1" applyFill="1" applyBorder="1" applyAlignment="1">
      <alignment horizontal="center"/>
    </xf>
    <xf numFmtId="0" fontId="76" fillId="9" borderId="28" xfId="0" applyFont="1" applyFill="1" applyBorder="1" applyAlignment="1">
      <alignment horizontal="center" vertical="center"/>
    </xf>
    <xf numFmtId="0" fontId="76" fillId="9" borderId="29" xfId="0" applyFont="1" applyFill="1" applyBorder="1" applyAlignment="1">
      <alignment horizontal="center" vertical="center"/>
    </xf>
    <xf numFmtId="0" fontId="76" fillId="9" borderId="30" xfId="0" applyFont="1" applyFill="1" applyBorder="1" applyAlignment="1">
      <alignment horizontal="center" vertical="center"/>
    </xf>
    <xf numFmtId="0" fontId="75" fillId="9" borderId="28" xfId="0" applyFont="1" applyFill="1" applyBorder="1" applyAlignment="1">
      <alignment horizontal="center" vertical="center"/>
    </xf>
    <xf numFmtId="0" fontId="75" fillId="9" borderId="29" xfId="0" applyFont="1" applyFill="1" applyBorder="1" applyAlignment="1">
      <alignment horizontal="center" vertical="center"/>
    </xf>
    <xf numFmtId="0" fontId="75" fillId="9" borderId="30" xfId="0" applyFont="1" applyFill="1" applyBorder="1" applyAlignment="1">
      <alignment horizontal="center" vertical="center"/>
    </xf>
    <xf numFmtId="0" fontId="75" fillId="9" borderId="0" xfId="0" applyFont="1" applyFill="1" applyAlignment="1">
      <alignment horizontal="center" vertical="center"/>
    </xf>
    <xf numFmtId="0" fontId="75" fillId="9" borderId="31" xfId="0" applyFont="1" applyFill="1" applyBorder="1" applyAlignment="1">
      <alignment horizontal="center" vertical="center"/>
    </xf>
    <xf numFmtId="0" fontId="89" fillId="28" borderId="36" xfId="0" applyFont="1" applyFill="1" applyBorder="1" applyAlignment="1">
      <alignment horizontal="center" vertical="center" wrapText="1"/>
    </xf>
    <xf numFmtId="0" fontId="89" fillId="28" borderId="37" xfId="0" applyFont="1" applyFill="1" applyBorder="1" applyAlignment="1">
      <alignment horizontal="center" vertical="center" wrapText="1"/>
    </xf>
  </cellXfs>
  <cellStyles count="3">
    <cellStyle name="Hyperlink" xfId="1" xr:uid="{00000000-000B-0000-0000-000008000000}"/>
    <cellStyle name="Moeda" xfId="2" builtinId="4"/>
    <cellStyle name="Normal" xfId="0" builtinId="0"/>
  </cellStyles>
  <dxfs count="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 style="thin">
          <color rgb="FF505050"/>
        </bottom>
      </border>
    </dxf>
    <dxf>
      <fill>
        <patternFill>
          <bgColor theme="5" tint="0.39994506668294322"/>
        </patternFill>
      </fill>
    </dxf>
    <dxf>
      <fill>
        <patternFill>
          <bgColor rgb="FFFFCCCC"/>
        </patternFill>
      </fill>
    </dxf>
    <dxf>
      <fill>
        <patternFill>
          <bgColor rgb="FF99FF66"/>
        </patternFill>
      </fill>
    </dxf>
    <dxf>
      <fill>
        <patternFill>
          <bgColor rgb="FF99CCFF"/>
        </patternFill>
      </fill>
    </dxf>
    <dxf>
      <fill>
        <patternFill>
          <bgColor rgb="FF8EA9DB"/>
        </patternFill>
      </fill>
    </dxf>
    <dxf>
      <fill>
        <patternFill>
          <bgColor rgb="FFA9D08E"/>
        </patternFill>
      </fill>
    </dxf>
    <dxf>
      <fill>
        <patternFill>
          <bgColor rgb="FFD9E1F2"/>
        </patternFill>
      </fill>
    </dxf>
    <dxf>
      <fill>
        <patternFill>
          <bgColor rgb="FFCC66FF"/>
        </patternFill>
      </fill>
    </dxf>
    <dxf>
      <fill>
        <patternFill>
          <bgColor rgb="FFF8CBAD"/>
        </patternFill>
      </fill>
    </dxf>
    <dxf>
      <fill>
        <patternFill>
          <bgColor rgb="FF70AD47"/>
        </patternFill>
      </fill>
    </dxf>
    <dxf>
      <fill>
        <patternFill>
          <bgColor rgb="FFBFBFBF"/>
        </patternFill>
      </fill>
    </dxf>
    <dxf>
      <fill>
        <patternFill>
          <bgColor rgb="FFFFD966"/>
        </patternFill>
      </fill>
    </dxf>
    <dxf>
      <fill>
        <patternFill>
          <bgColor rgb="FF00B050"/>
        </patternFill>
      </fill>
    </dxf>
    <dxf>
      <fill>
        <patternFill>
          <bgColor rgb="FFFFFF66"/>
        </patternFill>
      </fill>
    </dxf>
    <dxf>
      <fill>
        <patternFill>
          <bgColor rgb="FFFF9966"/>
        </patternFill>
      </fill>
    </dxf>
    <dxf>
      <fill>
        <patternFill>
          <bgColor rgb="FF99CC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_-[$R$-416]* #,##0.00_-;\-[$R$-416]* #,##0.00_-;_-[$R$-416]* &quot;-&quot;??_-;_-@_-"/>
      <fill>
        <patternFill patternType="solid">
          <fgColor indexed="64"/>
          <bgColor theme="5" tint="0.79998168889431442"/>
        </patternFill>
      </fill>
      <border diagonalUp="0" diagonalDown="0" outline="0">
        <left/>
        <right/>
        <top style="thin">
          <color rgb="FF505050"/>
        </top>
        <bottom style="thin">
          <color rgb="FF50505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rgb="FF505050"/>
        </left>
        <right/>
        <top style="thin">
          <color rgb="FF505050"/>
        </top>
        <bottom style="thin">
          <color rgb="FF50505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/>
      <border diagonalUp="0" diagonalDown="0"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theme="5" tint="0.79998168889431442"/>
        </patternFill>
      </fill>
      <alignment horizontal="center" vertical="top" textRotation="0" wrapText="0" indent="0" justifyLastLine="0" shrinkToFit="0" readingOrder="0"/>
      <border diagonalUp="0" diagonalDown="0" outline="0">
        <left/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theme="5" tint="0.79998168889431442"/>
        </patternFill>
      </fill>
      <alignment horizontal="center" vertical="top"/>
      <border diagonalUp="0" diagonalDown="0" outline="0">
        <left/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theme="5" tint="0.79998168889431442"/>
        </patternFill>
      </fill>
      <border diagonalUp="0" diagonalDown="0" outline="0">
        <left/>
        <right/>
        <top style="thin">
          <color rgb="FF505050"/>
        </top>
        <bottom style="thin">
          <color rgb="FF505050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6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3300"/>
        <name val="Calibri"/>
        <family val="2"/>
        <scheme val="minor"/>
      </font>
      <numFmt numFmtId="164" formatCode="_-[$R$-416]* #,##0.00_-;\-[$R$-416]* #,##0.00_-;_-[$R$-416]* &quot;-&quot;??_-;_-@_-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505050"/>
        </top>
        <bottom style="thin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numFmt numFmtId="164" formatCode="_-[$R$-416]* #,##0.00_-;\-[$R$-416]* #,##0.00_-;_-[$R$-416]* &quot;-&quot;??_-;_-@_-"/>
      <fill>
        <patternFill patternType="none">
          <fgColor indexed="64"/>
          <bgColor auto="1"/>
        </patternFill>
      </fill>
      <border diagonalUp="0" diagonalDown="0" outline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4" tint="-0.499984740745262"/>
        <name val="Calibri"/>
        <family val="2"/>
        <scheme val="minor"/>
      </font>
      <numFmt numFmtId="164" formatCode="_-[$R$-416]* #,##0.00_-;\-[$R$-416]* #,##0.00_-;_-[$R$-416]* &quot;-&quot;??_-;_-@_-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rgb="FF505050"/>
        </top>
        <bottom style="thin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rgb="FF505050"/>
        </right>
        <top style="thin">
          <color rgb="FF505050"/>
        </top>
        <bottom style="thin">
          <color rgb="FF505050"/>
        </bottom>
      </border>
    </dxf>
    <dxf>
      <border outline="0">
        <top style="thin">
          <color rgb="FF505050"/>
        </top>
      </border>
    </dxf>
    <dxf>
      <border outline="0">
        <left style="thin">
          <color rgb="FF505050"/>
        </left>
        <right style="medium">
          <color rgb="FF505050"/>
        </right>
        <top style="thin">
          <color rgb="FF505050"/>
        </top>
        <bottom style="thin">
          <color rgb="FF505050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rgb="FF505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505050"/>
        </left>
        <right style="thin">
          <color rgb="FF50505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Latha"/>
        <scheme val="none"/>
      </font>
      <numFmt numFmtId="164" formatCode="_-[$R$-416]* #,##0.00_-;\-[$R$-416]* #,##0.00_-;_-[$R$-416]* &quot;-&quot;??_-;_-@_-"/>
      <fill>
        <patternFill patternType="solid">
          <fgColor indexed="64"/>
          <bgColor theme="0" tint="-9.9978637043366805E-2"/>
        </patternFill>
      </fill>
      <border diagonalUp="0" diagonalDown="0" outline="0">
        <left style="thin">
          <color rgb="FF505050"/>
        </left>
        <right style="thin">
          <color rgb="FF505050"/>
        </right>
        <top style="thin">
          <color rgb="FF50505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Latha"/>
        <scheme val="none"/>
      </font>
      <numFmt numFmtId="164" formatCode="_-[$R$-416]* #,##0.00_-;\-[$R$-416]* #,##0.00_-;_-[$R$-416]* &quot;-&quot;??_-;_-@_-"/>
      <fill>
        <patternFill patternType="solid">
          <fgColor indexed="64"/>
          <bgColor theme="0" tint="-9.9978637043366805E-2"/>
        </patternFill>
      </fill>
      <border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Latha"/>
        <scheme val="none"/>
      </font>
      <fill>
        <patternFill patternType="solid">
          <fgColor indexed="64"/>
          <bgColor theme="0" tint="-9.9978637043366805E-2"/>
        </patternFill>
      </fill>
      <border diagonalUp="0" diagonalDown="0" outline="0">
        <left style="thin">
          <color rgb="FF505050"/>
        </left>
        <right style="thin">
          <color rgb="FF505050"/>
        </right>
        <top style="thin">
          <color rgb="FF50505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Latha"/>
        <scheme val="none"/>
      </font>
      <fill>
        <patternFill patternType="solid">
          <fgColor indexed="64"/>
          <bgColor theme="0" tint="-9.9978637043366805E-2"/>
        </patternFill>
      </fill>
      <border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Latha"/>
        <scheme val="none"/>
      </font>
      <fill>
        <patternFill patternType="solid">
          <fgColor theme="0" tint="-9.9978637043366805E-2"/>
          <bgColor indexed="64"/>
        </patternFill>
      </fill>
      <alignment horizontal="center"/>
      <border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Latha"/>
        <scheme val="none"/>
      </font>
      <numFmt numFmtId="19" formatCode="dd/mm/yyyy"/>
      <fill>
        <patternFill patternType="solid">
          <fgColor indexed="64"/>
          <bgColor theme="0" tint="-9.9978637043366805E-2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505050"/>
        </left>
        <right style="thin">
          <color rgb="FF505050"/>
        </right>
        <top style="thin">
          <color rgb="FF50505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Latha"/>
        <scheme val="none"/>
      </font>
      <numFmt numFmtId="19" formatCode="dd/mm/yyyy"/>
      <fill>
        <patternFill patternType="solid">
          <fgColor indexed="64"/>
          <bgColor theme="0" tint="-9.9978637043366805E-2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Latha"/>
        <scheme val="none"/>
      </font>
      <numFmt numFmtId="19" formatCode="dd/mm/yyyy"/>
      <fill>
        <patternFill patternType="solid">
          <fgColor indexed="64"/>
          <bgColor theme="0" tint="-9.9978637043366805E-2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505050"/>
        </left>
        <right style="thin">
          <color rgb="FF505050"/>
        </right>
        <top style="thin">
          <color rgb="FF50505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Latha"/>
        <scheme val="none"/>
      </font>
      <numFmt numFmtId="19" formatCode="dd/mm/yyyy"/>
      <fill>
        <patternFill patternType="solid">
          <fgColor indexed="64"/>
          <bgColor theme="0" tint="-9.9978637043366805E-2"/>
        </patternFill>
      </fill>
      <alignment horizontal="center" vertical="top"/>
      <border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Latha"/>
        <scheme val="none"/>
      </font>
      <numFmt numFmtId="19" formatCode="dd/mm/yyyy"/>
      <fill>
        <patternFill patternType="solid">
          <fgColor indexed="64"/>
          <bgColor theme="0" tint="-9.9978637043366805E-2"/>
        </patternFill>
      </fill>
      <border diagonalUp="0" diagonalDown="0" outline="0">
        <left style="thin">
          <color rgb="FF505050"/>
        </left>
        <right style="thin">
          <color rgb="FF505050"/>
        </right>
        <top style="thin">
          <color rgb="FF50505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Latha"/>
        <scheme val="none"/>
      </font>
      <numFmt numFmtId="19" formatCode="dd/mm/yyyy"/>
      <fill>
        <patternFill patternType="solid">
          <fgColor indexed="64"/>
          <bgColor theme="0" tint="-9.9978637043366805E-2"/>
        </patternFill>
      </fill>
      <border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font>
        <sz val="16"/>
      </font>
      <fill>
        <patternFill patternType="solid">
          <fgColor indexed="64"/>
          <bgColor theme="0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Latha"/>
        <scheme val="none"/>
      </font>
      <alignment horizontal="center"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Latha"/>
        <scheme val="none"/>
      </font>
      <numFmt numFmtId="164" formatCode="_-[$R$-416]* #,##0.00_-;\-[$R$-416]* #,##0.00_-;_-[$R$-416]* &quot;-&quot;??_-;_-@_-"/>
      <fill>
        <patternFill patternType="solid">
          <fgColor indexed="64"/>
          <bgColor theme="0" tint="-9.9978637043366805E-2"/>
        </patternFill>
      </fill>
      <border diagonalUp="0" diagonalDown="0" outline="0">
        <left style="thin">
          <color rgb="FF505050"/>
        </left>
        <right style="thin">
          <color rgb="FF505050"/>
        </right>
        <top style="thin">
          <color rgb="FF50505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Latha"/>
        <scheme val="none"/>
      </font>
      <numFmt numFmtId="164" formatCode="_-[$R$-416]* #,##0.00_-;\-[$R$-416]* #,##0.00_-;_-[$R$-416]* &quot;-&quot;??_-;_-@_-"/>
      <fill>
        <patternFill patternType="solid">
          <fgColor indexed="64"/>
          <bgColor theme="0" tint="-9.9978637043366805E-2"/>
        </patternFill>
      </fill>
      <border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Latha"/>
        <scheme val="none"/>
      </font>
      <fill>
        <patternFill patternType="solid">
          <fgColor indexed="64"/>
          <bgColor theme="0" tint="-9.9978637043366805E-2"/>
        </patternFill>
      </fill>
      <border diagonalUp="0" diagonalDown="0" outline="0">
        <left style="thin">
          <color rgb="FF505050"/>
        </left>
        <right style="thin">
          <color rgb="FF505050"/>
        </right>
        <top style="thin">
          <color rgb="FF50505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Latha"/>
        <scheme val="none"/>
      </font>
      <fill>
        <patternFill patternType="solid">
          <fgColor indexed="64"/>
          <bgColor theme="0" tint="-9.9978637043366805E-2"/>
        </patternFill>
      </fill>
      <border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Latha"/>
        <scheme val="none"/>
      </font>
      <fill>
        <patternFill patternType="solid">
          <fgColor indexed="64"/>
          <bgColor theme="0" tint="-9.9978637043366805E-2"/>
        </patternFill>
      </fill>
      <border diagonalUp="0" diagonalDown="0" outline="0">
        <left style="thin">
          <color rgb="FF505050"/>
        </left>
        <right style="thin">
          <color rgb="FF505050"/>
        </right>
        <top style="thin">
          <color rgb="FF50505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Latha"/>
        <scheme val="none"/>
      </font>
      <fill>
        <patternFill patternType="solid">
          <fgColor indexed="64"/>
          <bgColor theme="0" tint="-9.9978637043366805E-2"/>
        </patternFill>
      </fill>
      <border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Latha"/>
        <scheme val="none"/>
      </font>
      <numFmt numFmtId="19" formatCode="dd/mm/yyyy"/>
      <fill>
        <patternFill patternType="solid">
          <fgColor indexed="64"/>
          <bgColor theme="0" tint="-9.9978637043366805E-2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rgb="FF505050"/>
        </left>
        <right style="thin">
          <color rgb="FF505050"/>
        </right>
        <top style="thin">
          <color rgb="FF50505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Latha"/>
        <scheme val="none"/>
      </font>
      <numFmt numFmtId="19" formatCode="dd/mm/yyyy"/>
      <fill>
        <patternFill patternType="solid">
          <fgColor indexed="64"/>
          <bgColor theme="0" tint="-9.9978637043366805E-2"/>
        </patternFill>
      </fill>
      <alignment horizontal="center" vertical="top"/>
      <border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Latha"/>
        <scheme val="none"/>
      </font>
      <numFmt numFmtId="19" formatCode="dd/mm/yyyy"/>
      <fill>
        <patternFill patternType="solid">
          <fgColor indexed="64"/>
          <bgColor theme="0" tint="-9.9978637043366805E-2"/>
        </patternFill>
      </fill>
      <border diagonalUp="0" diagonalDown="0" outline="0">
        <left style="thin">
          <color rgb="FF505050"/>
        </left>
        <right style="thin">
          <color rgb="FF505050"/>
        </right>
        <top style="thin">
          <color rgb="FF50505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Latha"/>
        <scheme val="none"/>
      </font>
      <numFmt numFmtId="19" formatCode="dd/mm/yyyy"/>
      <fill>
        <patternFill patternType="solid">
          <fgColor indexed="64"/>
          <bgColor theme="0" tint="-9.9978637043366805E-2"/>
        </patternFill>
      </fill>
      <border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font>
        <sz val="16"/>
      </font>
      <fill>
        <patternFill patternType="solid">
          <fgColor indexed="64"/>
          <bgColor theme="0" tint="-9.9978637043366805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Latha"/>
        <scheme val="none"/>
      </font>
      <alignment horizontal="center" vertical="center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colors>
    <mruColors>
      <color rgb="FF99CCFF"/>
      <color rgb="FF009999"/>
      <color rgb="FFFF9966"/>
      <color rgb="FFFFFF66"/>
      <color rgb="FF00B050"/>
      <color rgb="FF33CCCC"/>
      <color rgb="FF00FFFF"/>
      <color rgb="FFFFFF00"/>
      <color rgb="FFFFD966"/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20/07/relationships/rdRichValueWebImage" Target="richData/rdRichValueWebImag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'FINANÇAS 2023'!$B$4</c:f>
              <c:strCache>
                <c:ptCount val="1"/>
                <c:pt idx="0">
                  <c:v>ENTRADA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'FINANÇAS 2023'!$A$5:$A$15</c:f>
              <c:strCache>
                <c:ptCount val="11"/>
                <c:pt idx="0">
                  <c:v>FEV</c:v>
                </c:pt>
                <c:pt idx="1">
                  <c:v>MAR</c:v>
                </c:pt>
                <c:pt idx="2">
                  <c:v>ABR</c:v>
                </c:pt>
                <c:pt idx="3">
                  <c:v>MAI</c:v>
                </c:pt>
                <c:pt idx="4">
                  <c:v>JUN</c:v>
                </c:pt>
                <c:pt idx="5">
                  <c:v>JUL</c:v>
                </c:pt>
                <c:pt idx="6">
                  <c:v>AGO</c:v>
                </c:pt>
                <c:pt idx="7">
                  <c:v>SET</c:v>
                </c:pt>
                <c:pt idx="8">
                  <c:v>OUT</c:v>
                </c:pt>
                <c:pt idx="9">
                  <c:v>NOV</c:v>
                </c:pt>
                <c:pt idx="10">
                  <c:v>DEZ</c:v>
                </c:pt>
              </c:strCache>
            </c:strRef>
          </c:cat>
          <c:val>
            <c:numRef>
              <c:f>'FINANÇAS 2023'!$B$5:$B$15</c:f>
              <c:numCache>
                <c:formatCode>_-[$R$-416]* #,##0.00_-;\-[$R$-416]* #,##0.00_-;_-[$R$-416]* "-"??_-;_-@_-</c:formatCode>
                <c:ptCount val="11"/>
                <c:pt idx="0">
                  <c:v>1564</c:v>
                </c:pt>
                <c:pt idx="1">
                  <c:v>1948</c:v>
                </c:pt>
                <c:pt idx="2">
                  <c:v>2022</c:v>
                </c:pt>
                <c:pt idx="3">
                  <c:v>2216</c:v>
                </c:pt>
                <c:pt idx="4">
                  <c:v>2084</c:v>
                </c:pt>
                <c:pt idx="5">
                  <c:v>1976</c:v>
                </c:pt>
                <c:pt idx="6">
                  <c:v>2250</c:v>
                </c:pt>
                <c:pt idx="7">
                  <c:v>1936</c:v>
                </c:pt>
                <c:pt idx="8">
                  <c:v>3206</c:v>
                </c:pt>
                <c:pt idx="9">
                  <c:v>3651</c:v>
                </c:pt>
                <c:pt idx="10">
                  <c:v>4103.0169999999998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E9-9340-A778-0EFA4A76C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32914304"/>
        <c:axId val="932916096"/>
        <c:axId val="0"/>
      </c:bar3DChart>
      <c:catAx>
        <c:axId val="93291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2916096"/>
        <c:crosses val="autoZero"/>
        <c:auto val="1"/>
        <c:lblAlgn val="ctr"/>
        <c:lblOffset val="100"/>
        <c:noMultiLvlLbl val="0"/>
      </c:catAx>
      <c:valAx>
        <c:axId val="93291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_-[$R$-416]* #,##0.00_-;\-[$R$-416]* #,##0.00_-;_-[$R$-416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291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'FINANÇAS 2023'!$C$4</c:f>
              <c:strCache>
                <c:ptCount val="1"/>
                <c:pt idx="0">
                  <c:v>SAÍDA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'FINANÇAS 2023'!$A$5:$A$15</c:f>
              <c:strCache>
                <c:ptCount val="11"/>
                <c:pt idx="0">
                  <c:v>FEV</c:v>
                </c:pt>
                <c:pt idx="1">
                  <c:v>MAR</c:v>
                </c:pt>
                <c:pt idx="2">
                  <c:v>ABR</c:v>
                </c:pt>
                <c:pt idx="3">
                  <c:v>MAI</c:v>
                </c:pt>
                <c:pt idx="4">
                  <c:v>JUN</c:v>
                </c:pt>
                <c:pt idx="5">
                  <c:v>JUL</c:v>
                </c:pt>
                <c:pt idx="6">
                  <c:v>AGO</c:v>
                </c:pt>
                <c:pt idx="7">
                  <c:v>SET</c:v>
                </c:pt>
                <c:pt idx="8">
                  <c:v>OUT</c:v>
                </c:pt>
                <c:pt idx="9">
                  <c:v>NOV</c:v>
                </c:pt>
                <c:pt idx="10">
                  <c:v>DEZ</c:v>
                </c:pt>
              </c:strCache>
            </c:strRef>
          </c:cat>
          <c:val>
            <c:numRef>
              <c:f>'FINANÇAS 2023'!$C$5:$C$15</c:f>
              <c:numCache>
                <c:formatCode>_-[$R$-416]* #,##0.00_-;\-[$R$-416]* #,##0.00_-;_-[$R$-416]* "-"??_-;_-@_-</c:formatCode>
                <c:ptCount val="11"/>
                <c:pt idx="0">
                  <c:v>1170.6699999999998</c:v>
                </c:pt>
                <c:pt idx="1">
                  <c:v>1675.8799999999999</c:v>
                </c:pt>
                <c:pt idx="2">
                  <c:v>1245.3900000000001</c:v>
                </c:pt>
                <c:pt idx="3">
                  <c:v>1706.66</c:v>
                </c:pt>
                <c:pt idx="4">
                  <c:v>1634.2200000000003</c:v>
                </c:pt>
                <c:pt idx="5">
                  <c:v>1997.9800000000002</c:v>
                </c:pt>
                <c:pt idx="6">
                  <c:v>1856.6700000000005</c:v>
                </c:pt>
                <c:pt idx="7">
                  <c:v>1886.6600000000003</c:v>
                </c:pt>
                <c:pt idx="8">
                  <c:v>2714.4866666666676</c:v>
                </c:pt>
                <c:pt idx="9">
                  <c:v>3159.5766666666664</c:v>
                </c:pt>
                <c:pt idx="10">
                  <c:v>3716.5183333333339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C3-6F45-B833-137BDA6EE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22878399"/>
        <c:axId val="222880191"/>
        <c:axId val="0"/>
      </c:bar3DChart>
      <c:catAx>
        <c:axId val="22287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2880191"/>
        <c:crosses val="autoZero"/>
        <c:auto val="1"/>
        <c:lblAlgn val="ctr"/>
        <c:lblOffset val="100"/>
        <c:noMultiLvlLbl val="0"/>
      </c:catAx>
      <c:valAx>
        <c:axId val="22288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_-[$R$-416]* #,##0.00_-;\-[$R$-416]* #,##0.00_-;_-[$R$-416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287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ENTRADA x SAÍDA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'FINANÇAS 2023'!$B$4</c:f>
              <c:strCache>
                <c:ptCount val="1"/>
                <c:pt idx="0">
                  <c:v>ENTRADA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'FINANÇAS 2023'!$A$5:$A$15</c:f>
              <c:strCache>
                <c:ptCount val="11"/>
                <c:pt idx="0">
                  <c:v>FEV</c:v>
                </c:pt>
                <c:pt idx="1">
                  <c:v>MAR</c:v>
                </c:pt>
                <c:pt idx="2">
                  <c:v>ABR</c:v>
                </c:pt>
                <c:pt idx="3">
                  <c:v>MAI</c:v>
                </c:pt>
                <c:pt idx="4">
                  <c:v>JUN</c:v>
                </c:pt>
                <c:pt idx="5">
                  <c:v>JUL</c:v>
                </c:pt>
                <c:pt idx="6">
                  <c:v>AGO</c:v>
                </c:pt>
                <c:pt idx="7">
                  <c:v>SET</c:v>
                </c:pt>
                <c:pt idx="8">
                  <c:v>OUT</c:v>
                </c:pt>
                <c:pt idx="9">
                  <c:v>NOV</c:v>
                </c:pt>
                <c:pt idx="10">
                  <c:v>DEZ</c:v>
                </c:pt>
              </c:strCache>
            </c:strRef>
          </c:cat>
          <c:val>
            <c:numRef>
              <c:f>'FINANÇAS 2023'!$B$5:$B$15</c:f>
              <c:numCache>
                <c:formatCode>_-[$R$-416]* #,##0.00_-;\-[$R$-416]* #,##0.00_-;_-[$R$-416]* "-"??_-;_-@_-</c:formatCode>
                <c:ptCount val="11"/>
                <c:pt idx="0">
                  <c:v>1564</c:v>
                </c:pt>
                <c:pt idx="1">
                  <c:v>1948</c:v>
                </c:pt>
                <c:pt idx="2">
                  <c:v>2022</c:v>
                </c:pt>
                <c:pt idx="3">
                  <c:v>2216</c:v>
                </c:pt>
                <c:pt idx="4">
                  <c:v>2084</c:v>
                </c:pt>
                <c:pt idx="5">
                  <c:v>1976</c:v>
                </c:pt>
                <c:pt idx="6">
                  <c:v>2250</c:v>
                </c:pt>
                <c:pt idx="7">
                  <c:v>1936</c:v>
                </c:pt>
                <c:pt idx="8">
                  <c:v>3206</c:v>
                </c:pt>
                <c:pt idx="9">
                  <c:v>3651</c:v>
                </c:pt>
                <c:pt idx="10">
                  <c:v>4103.0169999999998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64-FB4B-8941-51BAE7117E77}"/>
            </c:ext>
          </c:extLst>
        </c:ser>
        <c:ser>
          <c:idx val="1"/>
          <c:order val="1"/>
          <c:tx>
            <c:strRef>
              <c:f>'FINANÇAS 2023'!$C$4</c:f>
              <c:strCache>
                <c:ptCount val="1"/>
                <c:pt idx="0">
                  <c:v>SAÍDA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'FINANÇAS 2023'!$A$5:$A$15</c:f>
              <c:strCache>
                <c:ptCount val="11"/>
                <c:pt idx="0">
                  <c:v>FEV</c:v>
                </c:pt>
                <c:pt idx="1">
                  <c:v>MAR</c:v>
                </c:pt>
                <c:pt idx="2">
                  <c:v>ABR</c:v>
                </c:pt>
                <c:pt idx="3">
                  <c:v>MAI</c:v>
                </c:pt>
                <c:pt idx="4">
                  <c:v>JUN</c:v>
                </c:pt>
                <c:pt idx="5">
                  <c:v>JUL</c:v>
                </c:pt>
                <c:pt idx="6">
                  <c:v>AGO</c:v>
                </c:pt>
                <c:pt idx="7">
                  <c:v>SET</c:v>
                </c:pt>
                <c:pt idx="8">
                  <c:v>OUT</c:v>
                </c:pt>
                <c:pt idx="9">
                  <c:v>NOV</c:v>
                </c:pt>
                <c:pt idx="10">
                  <c:v>DEZ</c:v>
                </c:pt>
              </c:strCache>
            </c:strRef>
          </c:cat>
          <c:val>
            <c:numRef>
              <c:f>'FINANÇAS 2023'!$C$5:$C$15</c:f>
              <c:numCache>
                <c:formatCode>_-[$R$-416]* #,##0.00_-;\-[$R$-416]* #,##0.00_-;_-[$R$-416]* "-"??_-;_-@_-</c:formatCode>
                <c:ptCount val="11"/>
                <c:pt idx="0">
                  <c:v>1170.6699999999998</c:v>
                </c:pt>
                <c:pt idx="1">
                  <c:v>1675.8799999999999</c:v>
                </c:pt>
                <c:pt idx="2">
                  <c:v>1245.3900000000001</c:v>
                </c:pt>
                <c:pt idx="3">
                  <c:v>1706.66</c:v>
                </c:pt>
                <c:pt idx="4">
                  <c:v>1634.2200000000003</c:v>
                </c:pt>
                <c:pt idx="5">
                  <c:v>1997.9800000000002</c:v>
                </c:pt>
                <c:pt idx="6">
                  <c:v>1856.6700000000005</c:v>
                </c:pt>
                <c:pt idx="7">
                  <c:v>1886.6600000000003</c:v>
                </c:pt>
                <c:pt idx="8">
                  <c:v>2714.4866666666676</c:v>
                </c:pt>
                <c:pt idx="9">
                  <c:v>3159.5766666666664</c:v>
                </c:pt>
                <c:pt idx="10">
                  <c:v>3716.5183333333339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64-FB4B-8941-51BAE7117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46889983"/>
        <c:axId val="246891775"/>
        <c:axId val="0"/>
      </c:bar3DChart>
      <c:catAx>
        <c:axId val="246889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6891775"/>
        <c:crosses val="autoZero"/>
        <c:auto val="1"/>
        <c:lblAlgn val="ctr"/>
        <c:lblOffset val="100"/>
        <c:noMultiLvlLbl val="0"/>
      </c:catAx>
      <c:valAx>
        <c:axId val="24689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_-[$R$-416]* #,##0.00_-;\-[$R$-416]* #,##0.00_-;_-[$R$-416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46889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'FINANÇAS 2023'!$D$4</c:f>
              <c:strCache>
                <c:ptCount val="1"/>
                <c:pt idx="0">
                  <c:v>SALDO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'FINANÇAS 2023'!$A$5:$A$15</c:f>
              <c:strCache>
                <c:ptCount val="11"/>
                <c:pt idx="0">
                  <c:v>FEV</c:v>
                </c:pt>
                <c:pt idx="1">
                  <c:v>MAR</c:v>
                </c:pt>
                <c:pt idx="2">
                  <c:v>ABR</c:v>
                </c:pt>
                <c:pt idx="3">
                  <c:v>MAI</c:v>
                </c:pt>
                <c:pt idx="4">
                  <c:v>JUN</c:v>
                </c:pt>
                <c:pt idx="5">
                  <c:v>JUL</c:v>
                </c:pt>
                <c:pt idx="6">
                  <c:v>AGO</c:v>
                </c:pt>
                <c:pt idx="7">
                  <c:v>SET</c:v>
                </c:pt>
                <c:pt idx="8">
                  <c:v>OUT</c:v>
                </c:pt>
                <c:pt idx="9">
                  <c:v>NOV</c:v>
                </c:pt>
                <c:pt idx="10">
                  <c:v>DEZ</c:v>
                </c:pt>
              </c:strCache>
            </c:strRef>
          </c:cat>
          <c:val>
            <c:numRef>
              <c:f>'FINANÇAS 2023'!$D$5:$D$15</c:f>
              <c:numCache>
                <c:formatCode>_-[$R$-416]* #,##0.00_-;\-[$R$-416]* #,##0.00_-;_-[$R$-416]* "-"??_-;_-@_-</c:formatCode>
                <c:ptCount val="11"/>
                <c:pt idx="0">
                  <c:v>393.33000000000015</c:v>
                </c:pt>
                <c:pt idx="1">
                  <c:v>272.12000000000012</c:v>
                </c:pt>
                <c:pt idx="2">
                  <c:v>776.6099999999999</c:v>
                </c:pt>
                <c:pt idx="3">
                  <c:v>509.33999999999992</c:v>
                </c:pt>
                <c:pt idx="4">
                  <c:v>449.77999999999975</c:v>
                </c:pt>
                <c:pt idx="5">
                  <c:v>-21.980000000000246</c:v>
                </c:pt>
                <c:pt idx="6">
                  <c:v>393.32999999999947</c:v>
                </c:pt>
                <c:pt idx="7">
                  <c:v>49.339999999999691</c:v>
                </c:pt>
                <c:pt idx="8">
                  <c:v>491.51333333333241</c:v>
                </c:pt>
                <c:pt idx="9">
                  <c:v>491.42333333333363</c:v>
                </c:pt>
                <c:pt idx="10">
                  <c:v>386.49866666666594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F3-CF47-8138-00CA3FBA6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227380863"/>
        <c:axId val="227382655"/>
        <c:axId val="0"/>
      </c:bar3DChart>
      <c:catAx>
        <c:axId val="227380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7382655"/>
        <c:crosses val="autoZero"/>
        <c:auto val="1"/>
        <c:lblAlgn val="ctr"/>
        <c:lblOffset val="100"/>
        <c:noMultiLvlLbl val="0"/>
      </c:catAx>
      <c:valAx>
        <c:axId val="22738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_-[$R$-416]* #,##0.00_-;\-[$R$-416]* #,##0.00_-;_-[$R$-416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7380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'FINANÇAS 2024'!$B$4</c:f>
              <c:strCache>
                <c:ptCount val="1"/>
                <c:pt idx="0">
                  <c:v>ENTRADA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4472C4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'FINANÇAS 2024'!$A$5:$A$16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'FINANÇAS 2024'!$B$5:$B$16</c:f>
              <c:numCache>
                <c:formatCode>_-[$R$-416]* #,##0.00_-;\-[$R$-416]* #,##0.00_-;_-[$R$-416]* "-"??_-;_-@_-</c:formatCode>
                <c:ptCount val="12"/>
                <c:pt idx="0">
                  <c:v>2646.22</c:v>
                </c:pt>
                <c:pt idx="1">
                  <c:v>2027.3999999999999</c:v>
                </c:pt>
                <c:pt idx="2">
                  <c:v>2168</c:v>
                </c:pt>
                <c:pt idx="3">
                  <c:v>2415</c:v>
                </c:pt>
                <c:pt idx="4">
                  <c:v>2248</c:v>
                </c:pt>
                <c:pt idx="5">
                  <c:v>2485</c:v>
                </c:pt>
                <c:pt idx="6">
                  <c:v>2680</c:v>
                </c:pt>
                <c:pt idx="7">
                  <c:v>2998.49</c:v>
                </c:pt>
                <c:pt idx="8">
                  <c:v>2831</c:v>
                </c:pt>
                <c:pt idx="9">
                  <c:v>2504</c:v>
                </c:pt>
                <c:pt idx="10">
                  <c:v>3879</c:v>
                </c:pt>
                <c:pt idx="11">
                  <c:v>3658.72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CD06-7645-BF50-F5A6446F909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shape val="box"/>
        <c:axId val="1501849728"/>
        <c:axId val="1501851520"/>
        <c:axId val="0"/>
      </c:bar3DChart>
      <c:catAx>
        <c:axId val="150184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1851520"/>
        <c:crosses val="autoZero"/>
        <c:auto val="1"/>
        <c:lblAlgn val="ctr"/>
        <c:lblOffset val="100"/>
        <c:noMultiLvlLbl val="0"/>
      </c:catAx>
      <c:valAx>
        <c:axId val="1501851520"/>
        <c:scaling>
          <c:orientation val="minMax"/>
        </c:scaling>
        <c:delete val="0"/>
        <c:axPos val="l"/>
        <c:numFmt formatCode="_-[$R$-416]* #,##0.00_-;\-[$R$-416]* #,##0.00_-;_-[$R$-416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1849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'FINANÇAS 2024'!$C$4</c:f>
              <c:strCache>
                <c:ptCount val="1"/>
                <c:pt idx="0">
                  <c:v>SAÍDA</c:v>
                </c:pt>
              </c:strCache>
            </c:strRef>
          </c:tx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2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'FINANÇAS 2024'!$A$5:$A$16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'FINANÇAS 2024'!$C$5:$C$16</c:f>
              <c:numCache>
                <c:formatCode>_-[$R$-416]* #,##0.00_-;\-[$R$-416]* #,##0.00_-;_-[$R$-416]* "-"??_-;_-@_-</c:formatCode>
                <c:ptCount val="12"/>
                <c:pt idx="0">
                  <c:v>1526.5433333333333</c:v>
                </c:pt>
                <c:pt idx="1">
                  <c:v>1462.9549999999999</c:v>
                </c:pt>
                <c:pt idx="2">
                  <c:v>2135.4399999999991</c:v>
                </c:pt>
                <c:pt idx="3">
                  <c:v>2124.5600000000004</c:v>
                </c:pt>
                <c:pt idx="4">
                  <c:v>2053.7950000000005</c:v>
                </c:pt>
                <c:pt idx="5">
                  <c:v>1997.2633333333333</c:v>
                </c:pt>
                <c:pt idx="6">
                  <c:v>2612.4899999999998</c:v>
                </c:pt>
                <c:pt idx="7">
                  <c:v>2249.4699999999998</c:v>
                </c:pt>
                <c:pt idx="8">
                  <c:v>1763.3666666666668</c:v>
                </c:pt>
                <c:pt idx="9">
                  <c:v>1635.6600000000003</c:v>
                </c:pt>
                <c:pt idx="10">
                  <c:v>4874.5199999999986</c:v>
                </c:pt>
                <c:pt idx="11">
                  <c:v>4366.8766666666661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03-934B-9600-6B0F50A28DF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shape val="box"/>
        <c:axId val="2092498687"/>
        <c:axId val="2092500479"/>
        <c:axId val="0"/>
      </c:bar3DChart>
      <c:catAx>
        <c:axId val="2092498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2500479"/>
        <c:crosses val="autoZero"/>
        <c:auto val="1"/>
        <c:lblAlgn val="ctr"/>
        <c:lblOffset val="100"/>
        <c:noMultiLvlLbl val="0"/>
      </c:catAx>
      <c:valAx>
        <c:axId val="2092500479"/>
        <c:scaling>
          <c:orientation val="minMax"/>
        </c:scaling>
        <c:delete val="0"/>
        <c:axPos val="l"/>
        <c:numFmt formatCode="_-[$R$-416]* #,##0.00_-;\-[$R$-416]* #,##0.00_-;_-[$R$-416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2498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'FINANÇAS 2024'!$D$4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6">
                <a:alpha val="88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6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6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'FINANÇAS 2024'!$A$5:$A$16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'FINANÇAS 2024'!$D$5:$D$16</c:f>
              <c:numCache>
                <c:formatCode>_-[$R$-416]* #,##0.00_-;\-[$R$-416]* #,##0.00_-;_-[$R$-416]* "-"??_-;_-@_-</c:formatCode>
                <c:ptCount val="12"/>
                <c:pt idx="0">
                  <c:v>1119.6766666666665</c:v>
                </c:pt>
                <c:pt idx="1">
                  <c:v>564.44499999999994</c:v>
                </c:pt>
                <c:pt idx="2">
                  <c:v>32.560000000000855</c:v>
                </c:pt>
                <c:pt idx="3">
                  <c:v>290.4399999999996</c:v>
                </c:pt>
                <c:pt idx="4">
                  <c:v>194.20499999999947</c:v>
                </c:pt>
                <c:pt idx="5">
                  <c:v>487.73666666666668</c:v>
                </c:pt>
                <c:pt idx="6">
                  <c:v>67.510000000000218</c:v>
                </c:pt>
                <c:pt idx="7">
                  <c:v>749.02</c:v>
                </c:pt>
                <c:pt idx="8">
                  <c:v>1067.6333333333332</c:v>
                </c:pt>
                <c:pt idx="9">
                  <c:v>868.33999999999969</c:v>
                </c:pt>
                <c:pt idx="10">
                  <c:v>-995.51999999999862</c:v>
                </c:pt>
                <c:pt idx="11">
                  <c:v>-708.1566666666663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04-9044-AC11-3ACBADD0070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620985024"/>
        <c:axId val="1620989504"/>
        <c:axId val="0"/>
      </c:bar3DChart>
      <c:catAx>
        <c:axId val="162098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0989504"/>
        <c:crosses val="autoZero"/>
        <c:auto val="1"/>
        <c:lblAlgn val="ctr"/>
        <c:lblOffset val="100"/>
        <c:noMultiLvlLbl val="0"/>
      </c:catAx>
      <c:valAx>
        <c:axId val="1620989504"/>
        <c:scaling>
          <c:orientation val="minMax"/>
        </c:scaling>
        <c:delete val="1"/>
        <c:axPos val="l"/>
        <c:numFmt formatCode="_-[$R$-416]* #,##0.00_-;\-[$R$-416]* #,##0.00_-;_-[$R$-416]* &quot;-&quot;??_-;_-@_-" sourceLinked="1"/>
        <c:majorTickMark val="out"/>
        <c:minorTickMark val="none"/>
        <c:tickLblPos val="nextTo"/>
        <c:crossAx val="162098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'FINANÇAS 2024'!$B$4</c:f>
              <c:strCache>
                <c:ptCount val="1"/>
                <c:pt idx="0">
                  <c:v>ENTRADA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cat>
            <c:strRef>
              <c:f>'FINANÇAS 2024'!$A$5:$A$16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'FINANÇAS 2024'!$B$5:$B$16</c:f>
              <c:numCache>
                <c:formatCode>_-[$R$-416]* #,##0.00_-;\-[$R$-416]* #,##0.00_-;_-[$R$-416]* "-"??_-;_-@_-</c:formatCode>
                <c:ptCount val="12"/>
                <c:pt idx="0">
                  <c:v>2646.22</c:v>
                </c:pt>
                <c:pt idx="1">
                  <c:v>2027.3999999999999</c:v>
                </c:pt>
                <c:pt idx="2">
                  <c:v>2168</c:v>
                </c:pt>
                <c:pt idx="3">
                  <c:v>2415</c:v>
                </c:pt>
                <c:pt idx="4">
                  <c:v>2248</c:v>
                </c:pt>
                <c:pt idx="5">
                  <c:v>2485</c:v>
                </c:pt>
                <c:pt idx="6">
                  <c:v>2680</c:v>
                </c:pt>
                <c:pt idx="7">
                  <c:v>2998.49</c:v>
                </c:pt>
                <c:pt idx="8">
                  <c:v>2831</c:v>
                </c:pt>
                <c:pt idx="9">
                  <c:v>2504</c:v>
                </c:pt>
                <c:pt idx="10">
                  <c:v>3879</c:v>
                </c:pt>
                <c:pt idx="11">
                  <c:v>3658.72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45-B646-9F14-267735E446E9}"/>
            </c:ext>
          </c:extLst>
        </c:ser>
        <c:ser>
          <c:idx val="1"/>
          <c:order val="1"/>
          <c:tx>
            <c:strRef>
              <c:f>'FINANÇAS 2024'!$C$4</c:f>
              <c:strCache>
                <c:ptCount val="1"/>
                <c:pt idx="0">
                  <c:v>SAÍDA</c:v>
                </c:pt>
              </c:strCache>
            </c:strRef>
          </c:tx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cat>
            <c:strRef>
              <c:f>'FINANÇAS 2024'!$A$5:$A$16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'FINANÇAS 2024'!$C$5:$C$16</c:f>
              <c:numCache>
                <c:formatCode>_-[$R$-416]* #,##0.00_-;\-[$R$-416]* #,##0.00_-;_-[$R$-416]* "-"??_-;_-@_-</c:formatCode>
                <c:ptCount val="12"/>
                <c:pt idx="0">
                  <c:v>1526.5433333333333</c:v>
                </c:pt>
                <c:pt idx="1">
                  <c:v>1462.9549999999999</c:v>
                </c:pt>
                <c:pt idx="2">
                  <c:v>2135.4399999999991</c:v>
                </c:pt>
                <c:pt idx="3">
                  <c:v>2124.5600000000004</c:v>
                </c:pt>
                <c:pt idx="4">
                  <c:v>2053.7950000000005</c:v>
                </c:pt>
                <c:pt idx="5">
                  <c:v>1997.2633333333333</c:v>
                </c:pt>
                <c:pt idx="6">
                  <c:v>2612.4899999999998</c:v>
                </c:pt>
                <c:pt idx="7">
                  <c:v>2249.4699999999998</c:v>
                </c:pt>
                <c:pt idx="8">
                  <c:v>1763.3666666666668</c:v>
                </c:pt>
                <c:pt idx="9">
                  <c:v>1635.6600000000003</c:v>
                </c:pt>
                <c:pt idx="10">
                  <c:v>4874.5199999999986</c:v>
                </c:pt>
                <c:pt idx="11">
                  <c:v>4366.8766666666661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45-B646-9F14-267735E44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1032088191"/>
        <c:axId val="1032097151"/>
        <c:axId val="0"/>
      </c:bar3DChart>
      <c:catAx>
        <c:axId val="103208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2097151"/>
        <c:crosses val="autoZero"/>
        <c:auto val="1"/>
        <c:lblAlgn val="ctr"/>
        <c:lblOffset val="100"/>
        <c:noMultiLvlLbl val="0"/>
      </c:catAx>
      <c:valAx>
        <c:axId val="1032097151"/>
        <c:scaling>
          <c:orientation val="minMax"/>
        </c:scaling>
        <c:delete val="0"/>
        <c:axPos val="l"/>
        <c:numFmt formatCode="_-[$R$-416]* #,##0.00_-;\-[$R$-416]* #,##0.00_-;_-[$R$-416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2088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'FINANÇAS 2025'!$B$4</c:f>
              <c:strCache>
                <c:ptCount val="1"/>
                <c:pt idx="0">
                  <c:v>ENTRADA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'FINANÇAS 2025'!$A$5:$A$16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'FINANÇAS 2025'!$B$5:$B$16</c:f>
              <c:numCache>
                <c:formatCode>_-[$R$-416]* #,##0.00_-;\-[$R$-416]* #,##0.00_-;_-[$R$-416]* "-"??_-;_-@_-</c:formatCode>
                <c:ptCount val="12"/>
                <c:pt idx="0">
                  <c:v>2500</c:v>
                </c:pt>
                <c:pt idx="1">
                  <c:v>1950</c:v>
                </c:pt>
                <c:pt idx="2">
                  <c:v>2500</c:v>
                </c:pt>
                <c:pt idx="3">
                  <c:v>2500</c:v>
                </c:pt>
                <c:pt idx="4">
                  <c:v>2350</c:v>
                </c:pt>
                <c:pt idx="5">
                  <c:v>2300</c:v>
                </c:pt>
                <c:pt idx="6">
                  <c:v>2400</c:v>
                </c:pt>
                <c:pt idx="7">
                  <c:v>2600</c:v>
                </c:pt>
                <c:pt idx="8">
                  <c:v>1950</c:v>
                </c:pt>
                <c:pt idx="9">
                  <c:v>1950</c:v>
                </c:pt>
                <c:pt idx="10">
                  <c:v>2300</c:v>
                </c:pt>
                <c:pt idx="11">
                  <c:v>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97-4387-8BE7-D89603AC06B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shape val="box"/>
        <c:axId val="1501849728"/>
        <c:axId val="1501851520"/>
        <c:axId val="0"/>
      </c:bar3DChart>
      <c:catAx>
        <c:axId val="150184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1851520"/>
        <c:crosses val="autoZero"/>
        <c:auto val="1"/>
        <c:lblAlgn val="ctr"/>
        <c:lblOffset val="100"/>
        <c:noMultiLvlLbl val="0"/>
      </c:catAx>
      <c:valAx>
        <c:axId val="1501851520"/>
        <c:scaling>
          <c:orientation val="minMax"/>
        </c:scaling>
        <c:delete val="0"/>
        <c:axPos val="l"/>
        <c:numFmt formatCode="_-[$R$-416]* #,##0.00_-;\-[$R$-416]* #,##0.00_-;_-[$R$-416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1849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'FINANÇAS 2025'!$C$4</c:f>
              <c:strCache>
                <c:ptCount val="1"/>
                <c:pt idx="0">
                  <c:v>SAÍDA</c:v>
                </c:pt>
              </c:strCache>
            </c:strRef>
          </c:tx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2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'FINANÇAS 2025'!$A$5:$A$16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'FINANÇAS 2025'!$C$5:$C$16</c:f>
              <c:numCache>
                <c:formatCode>_-[$R$-416]* #,##0.00_-;\-[$R$-416]* #,##0.00_-;_-[$R$-416]* "-"??_-;_-@_-</c:formatCode>
                <c:ptCount val="12"/>
                <c:pt idx="0">
                  <c:v>2250</c:v>
                </c:pt>
                <c:pt idx="1">
                  <c:v>1750</c:v>
                </c:pt>
                <c:pt idx="2">
                  <c:v>2550</c:v>
                </c:pt>
                <c:pt idx="3">
                  <c:v>1830</c:v>
                </c:pt>
                <c:pt idx="4">
                  <c:v>1940</c:v>
                </c:pt>
                <c:pt idx="5">
                  <c:v>1940</c:v>
                </c:pt>
                <c:pt idx="6">
                  <c:v>1150</c:v>
                </c:pt>
                <c:pt idx="7">
                  <c:v>1900</c:v>
                </c:pt>
                <c:pt idx="8">
                  <c:v>1780</c:v>
                </c:pt>
                <c:pt idx="9">
                  <c:v>700</c:v>
                </c:pt>
                <c:pt idx="10">
                  <c:v>1910</c:v>
                </c:pt>
                <c:pt idx="11">
                  <c:v>1920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E2-4768-8A6E-CE488C91D56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shape val="box"/>
        <c:axId val="2092498687"/>
        <c:axId val="2092500479"/>
        <c:axId val="0"/>
      </c:bar3DChart>
      <c:catAx>
        <c:axId val="2092498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2500479"/>
        <c:crosses val="autoZero"/>
        <c:auto val="1"/>
        <c:lblAlgn val="ctr"/>
        <c:lblOffset val="100"/>
        <c:noMultiLvlLbl val="0"/>
      </c:catAx>
      <c:valAx>
        <c:axId val="2092500479"/>
        <c:scaling>
          <c:orientation val="minMax"/>
        </c:scaling>
        <c:delete val="0"/>
        <c:axPos val="l"/>
        <c:numFmt formatCode="_-[$R$-416]* #,##0.00_-;\-[$R$-416]* #,##0.00_-;_-[$R$-416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92498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'FINANÇAS 2025'!$D$4</c:f>
              <c:strCache>
                <c:ptCount val="1"/>
                <c:pt idx="0">
                  <c:v>SALDO</c:v>
                </c:pt>
              </c:strCache>
            </c:strRef>
          </c:tx>
          <c:spPr>
            <a:solidFill>
              <a:schemeClr val="accent6">
                <a:alpha val="88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6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6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'FINANÇAS 2025'!$A$5:$A$16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'FINANÇAS 2025'!$D$5:$D$16</c:f>
              <c:numCache>
                <c:formatCode>_-[$R$-416]* #,##0.00_-;\-[$R$-416]* #,##0.00_-;_-[$R$-416]* "-"??_-;_-@_-</c:formatCode>
                <c:ptCount val="12"/>
                <c:pt idx="0">
                  <c:v>250</c:v>
                </c:pt>
                <c:pt idx="1">
                  <c:v>200</c:v>
                </c:pt>
                <c:pt idx="2">
                  <c:v>-50</c:v>
                </c:pt>
                <c:pt idx="3">
                  <c:v>670</c:v>
                </c:pt>
                <c:pt idx="4">
                  <c:v>410</c:v>
                </c:pt>
                <c:pt idx="5">
                  <c:v>360</c:v>
                </c:pt>
                <c:pt idx="6">
                  <c:v>1250</c:v>
                </c:pt>
                <c:pt idx="7">
                  <c:v>700</c:v>
                </c:pt>
                <c:pt idx="8">
                  <c:v>170</c:v>
                </c:pt>
                <c:pt idx="9">
                  <c:v>1250</c:v>
                </c:pt>
                <c:pt idx="10">
                  <c:v>390</c:v>
                </c:pt>
                <c:pt idx="11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78-4A4D-8F65-2DBA2810793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620985024"/>
        <c:axId val="1620989504"/>
        <c:axId val="0"/>
      </c:bar3DChart>
      <c:catAx>
        <c:axId val="162098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0989504"/>
        <c:crosses val="autoZero"/>
        <c:auto val="1"/>
        <c:lblAlgn val="ctr"/>
        <c:lblOffset val="100"/>
        <c:noMultiLvlLbl val="0"/>
      </c:catAx>
      <c:valAx>
        <c:axId val="1620989504"/>
        <c:scaling>
          <c:orientation val="minMax"/>
        </c:scaling>
        <c:delete val="1"/>
        <c:axPos val="l"/>
        <c:numFmt formatCode="_-[$R$-416]* #,##0.00_-;\-[$R$-416]* #,##0.00_-;_-[$R$-416]* &quot;-&quot;??_-;_-@_-" sourceLinked="1"/>
        <c:majorTickMark val="out"/>
        <c:minorTickMark val="none"/>
        <c:tickLblPos val="nextTo"/>
        <c:crossAx val="162098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'FINANÇAS 2025'!$B$4</c:f>
              <c:strCache>
                <c:ptCount val="1"/>
                <c:pt idx="0">
                  <c:v>ENTRADA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cat>
            <c:strRef>
              <c:f>'FINANÇAS 2025'!$A$5:$A$16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'FINANÇAS 2025'!$B$5:$B$16</c:f>
              <c:numCache>
                <c:formatCode>_-[$R$-416]* #,##0.00_-;\-[$R$-416]* #,##0.00_-;_-[$R$-416]* "-"??_-;_-@_-</c:formatCode>
                <c:ptCount val="12"/>
                <c:pt idx="0">
                  <c:v>2500</c:v>
                </c:pt>
                <c:pt idx="1">
                  <c:v>1950</c:v>
                </c:pt>
                <c:pt idx="2">
                  <c:v>2500</c:v>
                </c:pt>
                <c:pt idx="3">
                  <c:v>2500</c:v>
                </c:pt>
                <c:pt idx="4">
                  <c:v>2350</c:v>
                </c:pt>
                <c:pt idx="5">
                  <c:v>2300</c:v>
                </c:pt>
                <c:pt idx="6">
                  <c:v>2400</c:v>
                </c:pt>
                <c:pt idx="7">
                  <c:v>2600</c:v>
                </c:pt>
                <c:pt idx="8">
                  <c:v>1950</c:v>
                </c:pt>
                <c:pt idx="9">
                  <c:v>1950</c:v>
                </c:pt>
                <c:pt idx="10">
                  <c:v>2300</c:v>
                </c:pt>
                <c:pt idx="11">
                  <c:v>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D0-4253-94C8-ED4F09CD17A7}"/>
            </c:ext>
          </c:extLst>
        </c:ser>
        <c:ser>
          <c:idx val="1"/>
          <c:order val="1"/>
          <c:tx>
            <c:strRef>
              <c:f>'FINANÇAS 2025'!$C$4</c:f>
              <c:strCache>
                <c:ptCount val="1"/>
                <c:pt idx="0">
                  <c:v>SAÍDA</c:v>
                </c:pt>
              </c:strCache>
            </c:strRef>
          </c:tx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cat>
            <c:strRef>
              <c:f>'FINANÇAS 2025'!$A$5:$A$16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'FINANÇAS 2025'!$C$5:$C$16</c:f>
              <c:numCache>
                <c:formatCode>_-[$R$-416]* #,##0.00_-;\-[$R$-416]* #,##0.00_-;_-[$R$-416]* "-"??_-;_-@_-</c:formatCode>
                <c:ptCount val="12"/>
                <c:pt idx="0">
                  <c:v>2250</c:v>
                </c:pt>
                <c:pt idx="1">
                  <c:v>1750</c:v>
                </c:pt>
                <c:pt idx="2">
                  <c:v>2550</c:v>
                </c:pt>
                <c:pt idx="3">
                  <c:v>1830</c:v>
                </c:pt>
                <c:pt idx="4">
                  <c:v>1940</c:v>
                </c:pt>
                <c:pt idx="5">
                  <c:v>1940</c:v>
                </c:pt>
                <c:pt idx="6">
                  <c:v>1150</c:v>
                </c:pt>
                <c:pt idx="7">
                  <c:v>1900</c:v>
                </c:pt>
                <c:pt idx="8">
                  <c:v>1780</c:v>
                </c:pt>
                <c:pt idx="9">
                  <c:v>700</c:v>
                </c:pt>
                <c:pt idx="10">
                  <c:v>1910</c:v>
                </c:pt>
                <c:pt idx="11">
                  <c:v>1920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D0-4253-94C8-ED4F09CD1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shape val="box"/>
        <c:axId val="1032088191"/>
        <c:axId val="1032097151"/>
        <c:axId val="0"/>
      </c:bar3DChart>
      <c:catAx>
        <c:axId val="103208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2097151"/>
        <c:crosses val="autoZero"/>
        <c:auto val="1"/>
        <c:lblAlgn val="ctr"/>
        <c:lblOffset val="100"/>
        <c:noMultiLvlLbl val="0"/>
      </c:catAx>
      <c:valAx>
        <c:axId val="1032097151"/>
        <c:scaling>
          <c:orientation val="minMax"/>
        </c:scaling>
        <c:delete val="0"/>
        <c:axPos val="l"/>
        <c:numFmt formatCode="_-[$R$-416]* #,##0.00_-;\-[$R$-416]* #,##0.00_-;_-[$R$-416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2088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1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FINAN&#199;AS 2025'!A1"/><Relationship Id="rId2" Type="http://schemas.openxmlformats.org/officeDocument/2006/relationships/hyperlink" Target="#'LAN&#199;AMENTOS 2025'!A1"/><Relationship Id="rId1" Type="http://schemas.openxmlformats.org/officeDocument/2006/relationships/image" Target="../media/image2.jpeg"/><Relationship Id="rId4" Type="http://schemas.openxmlformats.org/officeDocument/2006/relationships/hyperlink" Target="#'RELAT&#211;RIO 2025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image" Target="../media/image8.svg"/><Relationship Id="rId5" Type="http://schemas.openxmlformats.org/officeDocument/2006/relationships/image" Target="../media/image7.png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3919</xdr:rowOff>
    </xdr:from>
    <xdr:to>
      <xdr:col>11</xdr:col>
      <xdr:colOff>0</xdr:colOff>
      <xdr:row>30</xdr:row>
      <xdr:rowOff>105833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B148F36-DB14-B164-D640-11D5C2C1E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44823"/>
          <a:ext cx="6447183" cy="47401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74995</xdr:rowOff>
    </xdr:from>
    <xdr:to>
      <xdr:col>2</xdr:col>
      <xdr:colOff>599723</xdr:colOff>
      <xdr:row>13</xdr:row>
      <xdr:rowOff>135231</xdr:rowOff>
    </xdr:to>
    <xdr:sp macro="" textlink="">
      <xdr:nvSpPr>
        <xdr:cNvPr id="5" name="Fluxograma: Terminação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553A08B-7A35-26EB-5847-ECD7D8C4DB77}"/>
            </a:ext>
            <a:ext uri="{147F2762-F138-4A5C-976F-8EAC2B608ADB}">
              <a16:predDERef xmlns:a16="http://schemas.microsoft.com/office/drawing/2014/main" pred="{81C13129-7AA0-E07A-55CE-09D2CF869B83}"/>
            </a:ext>
          </a:extLst>
        </xdr:cNvPr>
        <xdr:cNvSpPr/>
      </xdr:nvSpPr>
      <xdr:spPr>
        <a:xfrm>
          <a:off x="0" y="2015273"/>
          <a:ext cx="1822685" cy="642320"/>
        </a:xfrm>
        <a:prstGeom prst="flowChartTerminator">
          <a:avLst/>
        </a:prstGeom>
        <a:solidFill>
          <a:schemeClr val="bg1">
            <a:lumMod val="10000"/>
          </a:schemeClr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>
              <a:latin typeface="Arial Black" panose="020B0604020202020204" pitchFamily="34" charset="0"/>
              <a:cs typeface="Arial Black" panose="020B0604020202020204" pitchFamily="34" charset="0"/>
            </a:rPr>
            <a:t>LANÇAMENTOS</a:t>
          </a:r>
        </a:p>
      </xdr:txBody>
    </xdr:sp>
    <xdr:clientData/>
  </xdr:twoCellAnchor>
  <xdr:twoCellAnchor>
    <xdr:from>
      <xdr:col>1</xdr:col>
      <xdr:colOff>189658</xdr:colOff>
      <xdr:row>0</xdr:row>
      <xdr:rowOff>172054</xdr:rowOff>
    </xdr:from>
    <xdr:to>
      <xdr:col>1</xdr:col>
      <xdr:colOff>483190</xdr:colOff>
      <xdr:row>2</xdr:row>
      <xdr:rowOff>158335</xdr:rowOff>
    </xdr:to>
    <xdr:sp macro="" textlink="">
      <xdr:nvSpPr>
        <xdr:cNvPr id="10" name="Seta: para Cima 9">
          <a:extLst>
            <a:ext uri="{FF2B5EF4-FFF2-40B4-BE49-F238E27FC236}">
              <a16:creationId xmlns:a16="http://schemas.microsoft.com/office/drawing/2014/main" id="{927272AB-DA96-4A3F-F1E2-439E3C247317}"/>
            </a:ext>
            <a:ext uri="{147F2762-F138-4A5C-976F-8EAC2B608ADB}">
              <a16:predDERef xmlns:a16="http://schemas.microsoft.com/office/drawing/2014/main" pred="{6553A08B-7A35-26EB-5847-ECD7D8C4DB77}"/>
            </a:ext>
          </a:extLst>
        </xdr:cNvPr>
        <xdr:cNvSpPr/>
      </xdr:nvSpPr>
      <xdr:spPr>
        <a:xfrm>
          <a:off x="799258" y="172054"/>
          <a:ext cx="293532" cy="357342"/>
        </a:xfrm>
        <a:prstGeom prst="upArrow">
          <a:avLst>
            <a:gd name="adj1" fmla="val 27812"/>
            <a:gd name="adj2" fmla="val 50000"/>
          </a:avLst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/>
        </a:p>
      </xdr:txBody>
    </xdr:sp>
    <xdr:clientData/>
  </xdr:twoCellAnchor>
  <xdr:twoCellAnchor>
    <xdr:from>
      <xdr:col>0</xdr:col>
      <xdr:colOff>0</xdr:colOff>
      <xdr:row>16</xdr:row>
      <xdr:rowOff>82316</xdr:rowOff>
    </xdr:from>
    <xdr:to>
      <xdr:col>2</xdr:col>
      <xdr:colOff>599723</xdr:colOff>
      <xdr:row>19</xdr:row>
      <xdr:rowOff>142552</xdr:rowOff>
    </xdr:to>
    <xdr:sp macro="" textlink="">
      <xdr:nvSpPr>
        <xdr:cNvPr id="2" name="Fluxograma: Terminação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7A4B6B5-E29B-DC4B-9F10-76128C16B479}"/>
            </a:ext>
            <a:ext uri="{147F2762-F138-4A5C-976F-8EAC2B608ADB}">
              <a16:predDERef xmlns:a16="http://schemas.microsoft.com/office/drawing/2014/main" pred="{927272AB-DA96-4A3F-F1E2-439E3C247317}"/>
            </a:ext>
          </a:extLst>
        </xdr:cNvPr>
        <xdr:cNvSpPr/>
      </xdr:nvSpPr>
      <xdr:spPr>
        <a:xfrm>
          <a:off x="0" y="3186760"/>
          <a:ext cx="1822685" cy="642320"/>
        </a:xfrm>
        <a:prstGeom prst="flowChartTerminator">
          <a:avLst/>
        </a:prstGeom>
        <a:solidFill>
          <a:schemeClr val="bg1">
            <a:lumMod val="10000"/>
          </a:schemeClr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>
              <a:latin typeface="Arial Black" panose="020B0604020202020204" pitchFamily="34" charset="0"/>
              <a:cs typeface="Arial Black" panose="020B0604020202020204" pitchFamily="34" charset="0"/>
            </a:rPr>
            <a:t>FINANÇAS</a:t>
          </a:r>
        </a:p>
      </xdr:txBody>
    </xdr:sp>
    <xdr:clientData/>
  </xdr:twoCellAnchor>
  <xdr:twoCellAnchor>
    <xdr:from>
      <xdr:col>0</xdr:col>
      <xdr:colOff>0</xdr:colOff>
      <xdr:row>22</xdr:row>
      <xdr:rowOff>88195</xdr:rowOff>
    </xdr:from>
    <xdr:to>
      <xdr:col>2</xdr:col>
      <xdr:colOff>599723</xdr:colOff>
      <xdr:row>25</xdr:row>
      <xdr:rowOff>148431</xdr:rowOff>
    </xdr:to>
    <xdr:sp macro="" textlink="">
      <xdr:nvSpPr>
        <xdr:cNvPr id="8" name="Fluxograma: Terminação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2235412-57F3-1F4B-8FBD-4F9B37B7D5DE}"/>
            </a:ext>
            <a:ext uri="{147F2762-F138-4A5C-976F-8EAC2B608ADB}">
              <a16:predDERef xmlns:a16="http://schemas.microsoft.com/office/drawing/2014/main" pred="{E7A4B6B5-E29B-DC4B-9F10-76128C16B479}"/>
            </a:ext>
          </a:extLst>
        </xdr:cNvPr>
        <xdr:cNvSpPr/>
      </xdr:nvSpPr>
      <xdr:spPr>
        <a:xfrm>
          <a:off x="0" y="4356805"/>
          <a:ext cx="1822685" cy="642320"/>
        </a:xfrm>
        <a:prstGeom prst="flowChartTerminator">
          <a:avLst/>
        </a:prstGeom>
        <a:solidFill>
          <a:schemeClr val="bg1">
            <a:lumMod val="10000"/>
          </a:schemeClr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>
              <a:latin typeface="Arial Black" panose="020B0604020202020204" pitchFamily="34" charset="0"/>
              <a:cs typeface="Arial Black" panose="020B0604020202020204" pitchFamily="34" charset="0"/>
            </a:rPr>
            <a:t>RELATÓRIO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669478</xdr:colOff>
      <xdr:row>0</xdr:row>
      <xdr:rowOff>258704</xdr:rowOff>
    </xdr:from>
    <xdr:to>
      <xdr:col>4</xdr:col>
      <xdr:colOff>1105370</xdr:colOff>
      <xdr:row>2</xdr:row>
      <xdr:rowOff>191087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3BAC3C1D-C5CE-4027-0A0F-07C1A3B00D30}"/>
            </a:ext>
          </a:extLst>
        </xdr:cNvPr>
        <xdr:cNvSpPr txBox="1"/>
      </xdr:nvSpPr>
      <xdr:spPr>
        <a:xfrm>
          <a:off x="669478" y="258704"/>
          <a:ext cx="4948507" cy="615891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pt-BR" sz="2000" b="1" u="sng">
              <a:solidFill>
                <a:schemeClr val="bg1"/>
              </a:solidFill>
              <a:latin typeface="Latha" panose="020B0604020202020204" pitchFamily="34" charset="0"/>
              <a:cs typeface="Latha" panose="020B0604020202020204" pitchFamily="34" charset="0"/>
            </a:rPr>
            <a:t>CONTROLE DE ENTRADA E SAÍDA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205191</xdr:colOff>
      <xdr:row>1</xdr:row>
      <xdr:rowOff>27458</xdr:rowOff>
    </xdr:from>
    <xdr:to>
      <xdr:col>3</xdr:col>
      <xdr:colOff>252825</xdr:colOff>
      <xdr:row>2</xdr:row>
      <xdr:rowOff>246944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3FCF0C68-745B-A18C-B9A9-C56F7150A491}"/>
            </a:ext>
          </a:extLst>
        </xdr:cNvPr>
        <xdr:cNvSpPr txBox="1"/>
      </xdr:nvSpPr>
      <xdr:spPr>
        <a:xfrm>
          <a:off x="1557505" y="315560"/>
          <a:ext cx="2946292" cy="642820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pt-BR" sz="2000" b="1" u="sng">
              <a:solidFill>
                <a:schemeClr val="bg1"/>
              </a:solidFill>
              <a:latin typeface="Latha" panose="020B0604020202020204" pitchFamily="34" charset="0"/>
              <a:cs typeface="Latha" panose="020B0604020202020204" pitchFamily="34" charset="0"/>
            </a:rPr>
            <a:t>MINHAS FINANÇAS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123473</xdr:colOff>
      <xdr:row>5</xdr:row>
      <xdr:rowOff>21327</xdr:rowOff>
    </xdr:from>
    <xdr:to>
      <xdr:col>9</xdr:col>
      <xdr:colOff>199907</xdr:colOff>
      <xdr:row>16</xdr:row>
      <xdr:rowOff>41260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769E14A-F9B2-DF4C-8A85-F589D1F24B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135231</xdr:colOff>
      <xdr:row>17</xdr:row>
      <xdr:rowOff>161357</xdr:rowOff>
    </xdr:from>
    <xdr:to>
      <xdr:col>9</xdr:col>
      <xdr:colOff>217545</xdr:colOff>
      <xdr:row>28</xdr:row>
      <xdr:rowOff>176886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35B700E-41B3-044E-8857-59743BE6882A}"/>
            </a:ext>
            <a:ext uri="{147F2762-F138-4A5C-976F-8EAC2B608ADB}">
              <a16:predDERef xmlns:a16="http://schemas.microsoft.com/office/drawing/2014/main" pred="{A769E14A-F9B2-DF4C-8A85-F589D1F24B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146991</xdr:colOff>
      <xdr:row>30</xdr:row>
      <xdr:rowOff>146990</xdr:rowOff>
    </xdr:from>
    <xdr:to>
      <xdr:col>9</xdr:col>
      <xdr:colOff>241064</xdr:colOff>
      <xdr:row>41</xdr:row>
      <xdr:rowOff>138420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8F786F0-9E6D-B247-B949-5C38BB08530B}"/>
            </a:ext>
            <a:ext uri="{147F2762-F138-4A5C-976F-8EAC2B608ADB}">
              <a16:predDERef xmlns:a16="http://schemas.microsoft.com/office/drawing/2014/main" pred="{E35B700E-41B3-044E-8857-59743BE688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158750</xdr:colOff>
      <xdr:row>43</xdr:row>
      <xdr:rowOff>148832</xdr:rowOff>
    </xdr:from>
    <xdr:to>
      <xdr:col>9</xdr:col>
      <xdr:colOff>264583</xdr:colOff>
      <xdr:row>54</xdr:row>
      <xdr:rowOff>186352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536598E-AF35-2B44-9B6B-DFF3A17C5315}"/>
            </a:ext>
            <a:ext uri="{147F2762-F138-4A5C-976F-8EAC2B608ADB}">
              <a16:predDERef xmlns:a16="http://schemas.microsoft.com/office/drawing/2014/main" pred="{08F786F0-9E6D-B247-B949-5C38BB0853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353398</xdr:colOff>
      <xdr:row>1</xdr:row>
      <xdr:rowOff>146991</xdr:rowOff>
    </xdr:from>
    <xdr:to>
      <xdr:col>7</xdr:col>
      <xdr:colOff>224522</xdr:colOff>
      <xdr:row>3</xdr:row>
      <xdr:rowOff>97462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B7F60EFE-481C-BF11-42FA-FBD2A9037FE6}"/>
            </a:ext>
            <a:ext uri="{147F2762-F138-4A5C-976F-8EAC2B608ADB}">
              <a16:predDERef xmlns:a16="http://schemas.microsoft.com/office/drawing/2014/main" pred="{3536598E-AF35-2B44-9B6B-DFF3A17C5315}"/>
            </a:ext>
          </a:extLst>
        </xdr:cNvPr>
        <xdr:cNvSpPr txBox="1"/>
      </xdr:nvSpPr>
      <xdr:spPr>
        <a:xfrm>
          <a:off x="1576360" y="341019"/>
          <a:ext cx="2928532" cy="338527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pt-BR" sz="1600" b="1" i="0" u="sng">
              <a:solidFill>
                <a:schemeClr val="bg1"/>
              </a:solidFill>
              <a:latin typeface="Latha" panose="020B0604020202020204" pitchFamily="34" charset="0"/>
              <a:cs typeface="Latha" panose="020B0604020202020204" pitchFamily="34" charset="0"/>
            </a:rPr>
            <a:t>RELATÓRIO FINANCEIRO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669478</xdr:colOff>
      <xdr:row>0</xdr:row>
      <xdr:rowOff>258704</xdr:rowOff>
    </xdr:from>
    <xdr:to>
      <xdr:col>5</xdr:col>
      <xdr:colOff>1105370</xdr:colOff>
      <xdr:row>2</xdr:row>
      <xdr:rowOff>191087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83D98853-874C-4D46-B09E-E637C77AE0FF}"/>
            </a:ext>
          </a:extLst>
        </xdr:cNvPr>
        <xdr:cNvSpPr txBox="1"/>
      </xdr:nvSpPr>
      <xdr:spPr>
        <a:xfrm>
          <a:off x="669478" y="258704"/>
          <a:ext cx="4898530" cy="620299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pt-BR" sz="2000" b="1" u="sng">
              <a:solidFill>
                <a:schemeClr val="bg1"/>
              </a:solidFill>
              <a:latin typeface="Latha" panose="020B0604020202020204" pitchFamily="34" charset="0"/>
              <a:cs typeface="Latha" panose="020B0604020202020204" pitchFamily="34" charset="0"/>
            </a:rPr>
            <a:t>CONTROLE DE ENTRADA E SAÍDA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205191</xdr:colOff>
      <xdr:row>1</xdr:row>
      <xdr:rowOff>27458</xdr:rowOff>
    </xdr:from>
    <xdr:to>
      <xdr:col>3</xdr:col>
      <xdr:colOff>252825</xdr:colOff>
      <xdr:row>2</xdr:row>
      <xdr:rowOff>246944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62B8541C-ECB1-C348-911D-FF41D5627D9B}"/>
            </a:ext>
          </a:extLst>
        </xdr:cNvPr>
        <xdr:cNvSpPr txBox="1"/>
      </xdr:nvSpPr>
      <xdr:spPr>
        <a:xfrm>
          <a:off x="1561163" y="314407"/>
          <a:ext cx="3057780" cy="641469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pt-BR" sz="2000" b="1" u="sng">
              <a:solidFill>
                <a:schemeClr val="bg1"/>
              </a:solidFill>
              <a:latin typeface="Latha" panose="020B0604020202020204" pitchFamily="34" charset="0"/>
              <a:cs typeface="Latha" panose="020B0604020202020204" pitchFamily="34" charset="0"/>
            </a:rPr>
            <a:t>MINHAS FINANÇAS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620</xdr:colOff>
      <xdr:row>2</xdr:row>
      <xdr:rowOff>0</xdr:rowOff>
    </xdr:from>
    <xdr:to>
      <xdr:col>8</xdr:col>
      <xdr:colOff>270463</xdr:colOff>
      <xdr:row>3</xdr:row>
      <xdr:rowOff>129351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B530738F-1913-754E-80FA-D4518AAF0BCA}"/>
            </a:ext>
            <a:ext uri="{147F2762-F138-4A5C-976F-8EAC2B608ADB}">
              <a16:predDERef xmlns:a16="http://schemas.microsoft.com/office/drawing/2014/main" pred="{3536598E-AF35-2B44-9B6B-DFF3A17C5315}"/>
            </a:ext>
          </a:extLst>
        </xdr:cNvPr>
        <xdr:cNvSpPr txBox="1"/>
      </xdr:nvSpPr>
      <xdr:spPr>
        <a:xfrm>
          <a:off x="1835064" y="388056"/>
          <a:ext cx="3327251" cy="323379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rtlCol="0"/>
        <a:lstStyle/>
        <a:p>
          <a:pPr algn="l"/>
          <a:r>
            <a:rPr lang="pt-BR" sz="1600" b="1" i="0" u="sng">
              <a:solidFill>
                <a:schemeClr val="bg1"/>
              </a:solidFill>
              <a:latin typeface="Latha" panose="020B0604020202020204" pitchFamily="34" charset="0"/>
              <a:cs typeface="Latha" panose="020B0604020202020204" pitchFamily="34" charset="0"/>
            </a:rPr>
            <a:t>RELATÓRIO FINANCEIRO</a:t>
          </a:r>
        </a:p>
      </xdr:txBody>
    </xdr:sp>
    <xdr:clientData/>
  </xdr:twoCellAnchor>
  <xdr:twoCellAnchor>
    <xdr:from>
      <xdr:col>0</xdr:col>
      <xdr:colOff>217547</xdr:colOff>
      <xdr:row>4</xdr:row>
      <xdr:rowOff>158748</xdr:rowOff>
    </xdr:from>
    <xdr:to>
      <xdr:col>9</xdr:col>
      <xdr:colOff>423333</xdr:colOff>
      <xdr:row>16</xdr:row>
      <xdr:rowOff>29399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A04E359-E0E5-6A41-9BEE-5E2CE6F79C58}"/>
            </a:ext>
            <a:ext uri="{147F2762-F138-4A5C-976F-8EAC2B608ADB}">
              <a16:predDERef xmlns:a16="http://schemas.microsoft.com/office/drawing/2014/main" pred="{B530738F-1913-754E-80FA-D4518AAF0B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241066</xdr:colOff>
      <xdr:row>17</xdr:row>
      <xdr:rowOff>76435</xdr:rowOff>
    </xdr:from>
    <xdr:to>
      <xdr:col>9</xdr:col>
      <xdr:colOff>429212</xdr:colOff>
      <xdr:row>29</xdr:row>
      <xdr:rowOff>17638</xdr:rowOff>
    </xdr:to>
    <xdr:graphicFrame macro="">
      <xdr:nvGraphicFramePr>
        <xdr:cNvPr id="2" name="Gráfico 7">
          <a:extLst>
            <a:ext uri="{FF2B5EF4-FFF2-40B4-BE49-F238E27FC236}">
              <a16:creationId xmlns:a16="http://schemas.microsoft.com/office/drawing/2014/main" id="{D1930786-E119-A44C-8748-81E2B411FBF5}"/>
            </a:ext>
            <a:ext uri="{147F2762-F138-4A5C-976F-8EAC2B608ADB}">
              <a16:predDERef xmlns:a16="http://schemas.microsoft.com/office/drawing/2014/main" pred="{0A04E359-E0E5-6A41-9BEE-5E2CE6F79C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258704</xdr:colOff>
      <xdr:row>44</xdr:row>
      <xdr:rowOff>158752</xdr:rowOff>
    </xdr:from>
    <xdr:to>
      <xdr:col>9</xdr:col>
      <xdr:colOff>470370</xdr:colOff>
      <xdr:row>57</xdr:row>
      <xdr:rowOff>99954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91390AEF-00F1-8F44-90E8-9236F5B12645}"/>
            </a:ext>
            <a:ext uri="{147F2762-F138-4A5C-976F-8EAC2B608ADB}">
              <a16:predDERef xmlns:a16="http://schemas.microsoft.com/office/drawing/2014/main" pred="{D1930786-E119-A44C-8748-81E2B411FB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246944</xdr:colOff>
      <xdr:row>29</xdr:row>
      <xdr:rowOff>170509</xdr:rowOff>
    </xdr:from>
    <xdr:to>
      <xdr:col>9</xdr:col>
      <xdr:colOff>458609</xdr:colOff>
      <xdr:row>44</xdr:row>
      <xdr:rowOff>3293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4D2414AA-A0C0-7C45-A341-1F1BBFA6B490}"/>
            </a:ext>
            <a:ext uri="{147F2762-F138-4A5C-976F-8EAC2B608ADB}">
              <a16:predDERef xmlns:a16="http://schemas.microsoft.com/office/drawing/2014/main" pred="{91390AEF-00F1-8F44-90E8-9236F5B126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1197429</xdr:colOff>
      <xdr:row>0</xdr:row>
      <xdr:rowOff>195942</xdr:rowOff>
    </xdr:from>
    <xdr:to>
      <xdr:col>2</xdr:col>
      <xdr:colOff>1807028</xdr:colOff>
      <xdr:row>1</xdr:row>
      <xdr:rowOff>566055</xdr:rowOff>
    </xdr:to>
    <xdr:pic>
      <xdr:nvPicPr>
        <xdr:cNvPr id="4" name="Gráfico 3" descr="Banco com preenchimento sólido">
          <a:extLst>
            <a:ext uri="{FF2B5EF4-FFF2-40B4-BE49-F238E27FC236}">
              <a16:creationId xmlns:a16="http://schemas.microsoft.com/office/drawing/2014/main" id="{3C063F69-97D7-8B2C-3B29-288CF5D4F5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287486" y="195942"/>
          <a:ext cx="609599" cy="60959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53789</xdr:colOff>
      <xdr:row>1</xdr:row>
      <xdr:rowOff>0</xdr:rowOff>
    </xdr:from>
    <xdr:to>
      <xdr:col>1</xdr:col>
      <xdr:colOff>457200</xdr:colOff>
      <xdr:row>1</xdr:row>
      <xdr:rowOff>403411</xdr:rowOff>
    </xdr:to>
    <xdr:pic>
      <xdr:nvPicPr>
        <xdr:cNvPr id="4" name="Gráfico 3" descr="Moedas com preenchimento sólido">
          <a:extLst>
            <a:ext uri="{FF2B5EF4-FFF2-40B4-BE49-F238E27FC236}">
              <a16:creationId xmlns:a16="http://schemas.microsoft.com/office/drawing/2014/main" id="{79E5DF48-B5B4-81F2-4D1E-C1549433B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62636" y="277906"/>
          <a:ext cx="403411" cy="40341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151128</xdr:rowOff>
    </xdr:from>
    <xdr:to>
      <xdr:col>9</xdr:col>
      <xdr:colOff>0</xdr:colOff>
      <xdr:row>17</xdr:row>
      <xdr:rowOff>21779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CB90A2A-6A04-40AA-AE4C-6C9DE2CA67D5}"/>
            </a:ext>
            <a:ext uri="{147F2762-F138-4A5C-976F-8EAC2B608ADB}">
              <a16:predDERef xmlns:a16="http://schemas.microsoft.com/office/drawing/2014/main" pred="{B530738F-1913-754E-80FA-D4518AAF0B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106915</xdr:rowOff>
    </xdr:from>
    <xdr:to>
      <xdr:col>9</xdr:col>
      <xdr:colOff>0</xdr:colOff>
      <xdr:row>29</xdr:row>
      <xdr:rowOff>48118</xdr:rowOff>
    </xdr:to>
    <xdr:graphicFrame macro="">
      <xdr:nvGraphicFramePr>
        <xdr:cNvPr id="4" name="Gráfico 7">
          <a:extLst>
            <a:ext uri="{FF2B5EF4-FFF2-40B4-BE49-F238E27FC236}">
              <a16:creationId xmlns:a16="http://schemas.microsoft.com/office/drawing/2014/main" id="{EACEC74D-3C3E-4B44-A30F-EE99F48F9CC8}"/>
            </a:ext>
            <a:ext uri="{147F2762-F138-4A5C-976F-8EAC2B608ADB}">
              <a16:predDERef xmlns:a16="http://schemas.microsoft.com/office/drawing/2014/main" pred="{0A04E359-E0E5-6A41-9BEE-5E2CE6F79C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44</xdr:row>
      <xdr:rowOff>67312</xdr:rowOff>
    </xdr:from>
    <xdr:to>
      <xdr:col>9</xdr:col>
      <xdr:colOff>7620</xdr:colOff>
      <xdr:row>57</xdr:row>
      <xdr:rowOff>8514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29BD7B4-1243-421B-9072-A2E9E3E57311}"/>
            </a:ext>
            <a:ext uri="{147F2762-F138-4A5C-976F-8EAC2B608ADB}">
              <a16:predDERef xmlns:a16="http://schemas.microsoft.com/office/drawing/2014/main" pred="{D1930786-E119-A44C-8748-81E2B411FB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29</xdr:row>
      <xdr:rowOff>147649</xdr:rowOff>
    </xdr:from>
    <xdr:to>
      <xdr:col>9</xdr:col>
      <xdr:colOff>7620</xdr:colOff>
      <xdr:row>43</xdr:row>
      <xdr:rowOff>163313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23B3360-5B7D-4DBD-985B-324800E3F1D6}"/>
            </a:ext>
            <a:ext uri="{147F2762-F138-4A5C-976F-8EAC2B608ADB}">
              <a16:predDERef xmlns:a16="http://schemas.microsoft.com/office/drawing/2014/main" pred="{91390AEF-00F1-8F44-90E8-9236F5B126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236220</xdr:colOff>
      <xdr:row>1</xdr:row>
      <xdr:rowOff>160020</xdr:rowOff>
    </xdr:from>
    <xdr:to>
      <xdr:col>2</xdr:col>
      <xdr:colOff>30480</xdr:colOff>
      <xdr:row>3</xdr:row>
      <xdr:rowOff>175260</xdr:rowOff>
    </xdr:to>
    <xdr:pic>
      <xdr:nvPicPr>
        <xdr:cNvPr id="10" name="Gráfico 9" descr="Sinal com preenchimento sólido">
          <a:extLst>
            <a:ext uri="{FF2B5EF4-FFF2-40B4-BE49-F238E27FC236}">
              <a16:creationId xmlns:a16="http://schemas.microsoft.com/office/drawing/2014/main" id="{150C72B8-B014-D765-8B68-7D4B70D68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22960" y="342900"/>
          <a:ext cx="381000" cy="381000"/>
        </a:xfrm>
        <a:prstGeom prst="rect">
          <a:avLst/>
        </a:prstGeom>
      </xdr:spPr>
    </xdr:pic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Exibição 1" id="{1435A36D-7EC9-0F4F-B7A3-3E39324E2D4E}"/>
  <namedSheetView name="Exibição 2" id="{E6AEED13-5A9D-CB43-BE2D-1ABC10FD0588}"/>
</namedSheetViews>
</file>

<file path=xl/namedSheetViews/namedSheetView2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Exibição 1" id="{7FBB9B1A-5B70-43AE-B8DA-439570472514}"/>
  <namedSheetView name="Exibição 2" id="{3430432A-39FD-464F-8B40-FE0BCFBDDCB1}"/>
</namedSheetViews>
</file>

<file path=xl/richData/_rels/rdRichValueWebImage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encrypted-tbn0.gstatic.com/images?q=tbn:ANd9GcT_2Ys7k90OT1hINDMX4NrFHc-HfucmmtJEpw&amp;usqp=CAU" TargetMode="Externa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blip r:id="rId2"/>
  </webImageSrd>
</webImagesSrd>
</file>

<file path=xl/richData/rdrichvalue.xml><?xml version="1.0" encoding="utf-8"?>
<rvData xmlns="http://schemas.microsoft.com/office/spreadsheetml/2017/richdata" count="2">
  <rv s="0">
    <v>0</v>
    <v>1</v>
    <v>0</v>
    <v>0</v>
    <v>10000</v>
  </rv>
  <rv s="1">
    <v>2</v>
    <v>10</v>
  </rv>
</rvData>
</file>

<file path=xl/richData/rdrichvaluestructure.xml><?xml version="1.0" encoding="utf-8"?>
<rvStructures xmlns="http://schemas.microsoft.com/office/spreadsheetml/2017/richdata" count="2">
  <s t="_webimage">
    <k n="WebImageIdentifier" t="i"/>
    <k n="CalcOrigin" t="i"/>
    <k n="ComputedImage" t="b"/>
    <k n="ImageSizing" t="i"/>
    <k n="Text" t="s"/>
  </s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7A1018-8F57-4023-9EC0-7EADD8C45C4C}" name="DESPESAS" displayName="DESPESAS" ref="B2:D10" totalsRowShown="0" headerRowDxfId="83" dataDxfId="82" tableBorderDxfId="81">
  <autoFilter ref="B2:D10" xr:uid="{6C7A1018-8F57-4023-9EC0-7EADD8C45C4C}"/>
  <tableColumns count="3">
    <tableColumn id="1" xr3:uid="{22C169D5-7EFE-43EA-9647-0C9C6D80997E}" name="NÚMERO" dataDxfId="80"/>
    <tableColumn id="2" xr3:uid="{67A13485-1542-4D1F-A7CE-FC6FCF4FE643}" name="DESPESAS" dataDxfId="79"/>
    <tableColumn id="3" xr3:uid="{F3681FCE-65A0-4795-A752-620D10A53087}" name="Exemplo" dataDxfId="7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45826F-F435-44A1-ACF1-D646D639DF0D}" name="FORMAS_PGMTO" displayName="FORMAS_PGMTO" ref="B14:C20" totalsRowShown="0" headerRowDxfId="77" dataDxfId="76" tableBorderDxfId="75">
  <autoFilter ref="B14:C20" xr:uid="{1E45826F-F435-44A1-ACF1-D646D639DF0D}"/>
  <tableColumns count="2">
    <tableColumn id="1" xr3:uid="{B4BDACCB-3262-444E-B288-B18F929D5F8C}" name="NÚMERO" dataDxfId="74"/>
    <tableColumn id="2" xr3:uid="{576BDC61-7011-47F7-85C1-F94A1DDA00BF}" name="FORMAS DE PAGAMENTO" dataDxfId="73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5ECDAAF-EC6A-46E7-B327-89F6612EEE9C}" name="ENTRADAS" displayName="ENTRADAS" ref="F2:G4" totalsRowShown="0" headerRowDxfId="72" dataDxfId="70" headerRowBorderDxfId="71" tableBorderDxfId="69" totalsRowBorderDxfId="68">
  <autoFilter ref="F2:G4" xr:uid="{85ECDAAF-EC6A-46E7-B327-89F6612EEE9C}"/>
  <tableColumns count="2">
    <tableColumn id="1" xr3:uid="{27340688-EE80-4FC3-8051-BC07DA26461F}" name="NÚMERO" dataDxfId="67"/>
    <tableColumn id="2" xr3:uid="{B4292116-CF01-4B1D-B00C-607225EABE0F}" name="ENTRADAS" dataDxfId="66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71998D0-0C74-45E7-B604-14BA0FAABD92}" name="Tabela7" displayName="Tabela7" ref="I2:I14" totalsRowShown="0" headerRowDxfId="65" dataDxfId="63" headerRowBorderDxfId="64" tableBorderDxfId="62">
  <autoFilter ref="I2:I14" xr:uid="{971998D0-0C74-45E7-B604-14BA0FAABD92}"/>
  <tableColumns count="1">
    <tableColumn id="1" xr3:uid="{3B4D57AB-07E9-4C3B-9C81-A75E5159413C}" name="VALIDAÇÃO DE DADOS" dataDxfId="61"/>
  </tableColumns>
  <tableStyleInfo name="TableStyleDark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06113E-09DE-834F-8703-9DBF67000A33}" name="Tabela1" displayName="Tabela1" ref="A4:E295" totalsRowCount="1" headerRowDxfId="60" dataDxfId="59">
  <autoFilter ref="A4:E294" xr:uid="{5406113E-09DE-834F-8703-9DBF67000A33}">
    <filterColumn colId="2">
      <filters>
        <filter val="SAÍDA"/>
      </filters>
    </filterColumn>
    <filterColumn colId="3">
      <customFilters>
        <customFilter val="*gi*"/>
      </customFilters>
    </filterColumn>
  </autoFilter>
  <sortState xmlns:xlrd2="http://schemas.microsoft.com/office/spreadsheetml/2017/richdata2" ref="A5:E294">
    <sortCondition descending="1" ref="E4:E294"/>
  </sortState>
  <tableColumns count="5">
    <tableColumn id="1" xr3:uid="{BFECC556-0EF0-9D47-9CD2-F44817718925}" name="DATA" dataDxfId="58" totalsRowDxfId="57"/>
    <tableColumn id="5" xr3:uid="{57FC905C-FC8D-274C-8BB8-2DB857E6E76F}" name="MÊS" dataDxfId="56" totalsRowDxfId="55">
      <calculatedColumnFormula>UPPER(TEXT(Tabela1[[#This Row],[DATA]],"MMM"))</calculatedColumnFormula>
    </tableColumn>
    <tableColumn id="2" xr3:uid="{CB60243E-3911-BE42-A938-63CD95777582}" name="TIPO" dataDxfId="54" totalsRowDxfId="53"/>
    <tableColumn id="3" xr3:uid="{5831B032-C5D7-1A47-9120-5C8D31943D6F}" name="DESCRIÇÃO " totalsRowLabel="total =" dataDxfId="52" totalsRowDxfId="51"/>
    <tableColumn id="4" xr3:uid="{5FF911F5-04F6-5745-B673-C880BD0582B3}" name="VALOR" totalsRowFunction="custom" dataDxfId="50" totalsRowDxfId="49">
      <totalsRowFormula>SUM(E292:E294,)</totalsRowFormula>
    </tableColumn>
  </tableColumns>
  <tableStyleInfo name="TableStyleMedium15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0F78AF-BE12-D24C-9134-E85293B83656}" name="Tabela14" displayName="Tabela14" ref="A4:F539" totalsRowShown="0" headerRowDxfId="48" dataDxfId="47">
  <autoFilter ref="A4:F539" xr:uid="{5406113E-09DE-834F-8703-9DBF67000A33}"/>
  <sortState xmlns:xlrd2="http://schemas.microsoft.com/office/spreadsheetml/2017/richdata2" ref="A5:F524">
    <sortCondition ref="A4:A539"/>
  </sortState>
  <tableColumns count="6">
    <tableColumn id="1" xr3:uid="{DE2C23D2-5255-4A44-8F43-C94AF1926595}" name="DATA" dataDxfId="46" totalsRowDxfId="45"/>
    <tableColumn id="5" xr3:uid="{3AA2FA38-D75F-6544-BAA2-7CD319DEF629}" name="MÊS" dataDxfId="44" totalsRowDxfId="43">
      <calculatedColumnFormula>UPPER(TEXT(Tabela14[[#This Row],[DATA]],"MMM"))</calculatedColumnFormula>
    </tableColumn>
    <tableColumn id="6" xr3:uid="{DC9BF625-451D-4E08-8E3F-A19FE23F6D0A}" name="CATEGORIA" dataDxfId="42" totalsRowDxfId="41"/>
    <tableColumn id="2" xr3:uid="{05CF5477-D151-314B-89DF-0DE12CD0CFF5}" name="TIPO" dataDxfId="40"/>
    <tableColumn id="3" xr3:uid="{23328D44-048B-8348-A77A-6008FC28D00D}" name="DESCRIÇÃO " dataDxfId="39" totalsRowDxfId="38"/>
    <tableColumn id="4" xr3:uid="{DAAFCBFE-978C-9A4C-937A-5872610B44CE}" name="VALOR" dataDxfId="37" totalsRowDxfId="36"/>
  </tableColumns>
  <tableStyleInfo name="TableStyleMedium15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812A31-8285-45E7-9995-FD444D51BF7E}" name="Lançamentos_2025" displayName="Lançamentos_2025" ref="A4:G368" headerRowDxfId="26" dataDxfId="25" totalsRowDxfId="24" tableBorderDxfId="23">
  <autoFilter ref="A4:G368" xr:uid="{5406113E-09DE-834F-8703-9DBF67000A33}">
    <filterColumn colId="3">
      <customFilters>
        <customFilter operator="notEqual" val=" "/>
      </customFilters>
    </filterColumn>
  </autoFilter>
  <sortState xmlns:xlrd2="http://schemas.microsoft.com/office/spreadsheetml/2017/richdata2" ref="A5:G368">
    <sortCondition ref="A4:A368"/>
  </sortState>
  <tableColumns count="7">
    <tableColumn id="1" xr3:uid="{EF5C19F4-895B-4FA2-939C-5D5E0F405BD7}" name="DATA" totalsRowLabel="Total" dataDxfId="22"/>
    <tableColumn id="5" xr3:uid="{2D2E6E66-D5B7-4D87-8096-93E100ED0754}" name="MÊS" dataDxfId="21">
      <calculatedColumnFormula>UPPER(TEXT(Lançamentos_2025[[#This Row],[DATA]],"MMM"))</calculatedColumnFormula>
    </tableColumn>
    <tableColumn id="6" xr3:uid="{FF7188A2-6E79-4D60-9382-72003307B6DB}" name="CATEGORIA" dataDxfId="20"/>
    <tableColumn id="2" xr3:uid="{BCD92919-9991-41EF-B6BF-9FDEE81F6192}" name="TIPO" dataDxfId="19">
      <calculatedColumnFormula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calculatedColumnFormula>
    </tableColumn>
    <tableColumn id="7" xr3:uid="{86F982D7-6175-427A-ACAC-ECC1635AE3ED}" name="FORMA DE PAGAMENTO" dataDxfId="0">
      <calculatedColumnFormula>VLOOKUP(RANDBETWEEN(1,5),FORMAS_PGMTO[#All],2,FALSE)</calculatedColumnFormula>
    </tableColumn>
    <tableColumn id="3" xr3:uid="{AF38877B-EE05-4DC8-B39C-B6A455E2F378}" name="DESCRIÇÃO " dataDxfId="18"/>
    <tableColumn id="4" xr3:uid="{E738FB91-C93F-4BF4-8AB0-234C9BB35C31}" name="VALOR" totalsRowFunction="sum" dataDxfId="17"/>
  </tableColumns>
  <tableStyleInfo name="TableStyleMedium15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B26111-0A3D-4F42-AB87-7C9A98EC97BC}" name="Finanças_2025" displayName="Finanças_2025" ref="A4:D16" totalsRowShown="0" headerRowDxfId="35" dataDxfId="33" headerRowBorderDxfId="34" tableBorderDxfId="32" totalsRowBorderDxfId="31">
  <autoFilter ref="A4:D16" xr:uid="{33B26111-0A3D-4F42-AB87-7C9A98EC97BC}"/>
  <tableColumns count="4">
    <tableColumn id="1" xr3:uid="{5E857A0D-4599-4DA6-9470-4D9C1FEDEFF4}" name="PERÍODO" dataDxfId="30"/>
    <tableColumn id="2" xr3:uid="{16AA9F0C-85CE-4C26-BC10-23704D23004E}" name="ENTRADA" dataDxfId="29">
      <calculatedColumnFormula>SUMIFS(Lançamentos_2025[VALOR],Lançamentos_2025[MÊS],A5,Lançamentos_2025[TIPO], $B$4)</calculatedColumnFormula>
    </tableColumn>
    <tableColumn id="3" xr3:uid="{8CE043C4-7F9A-4FC6-9259-0261B84C1378}" name="SAÍDA" dataDxfId="28">
      <calculatedColumnFormula>SUMIFS(Lançamentos_2025[VALOR],Lançamentos_2025[MÊS],A5,Lançamentos_2025[TIPO], $C$4)</calculatedColumnFormula>
    </tableColumn>
    <tableColumn id="4" xr3:uid="{30FA421F-ABA7-45C9-B680-1B8C59E42CFB}" name="SALDO" dataDxfId="27">
      <calculatedColumnFormula>B5-C5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2.xml"/><Relationship Id="rId2" Type="http://schemas.openxmlformats.org/officeDocument/2006/relationships/table" Target="../tables/table8.xml"/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25B3-5386-4937-AB7D-66AD584DBD5E}">
  <dimension ref="B2:I20"/>
  <sheetViews>
    <sheetView showGridLines="0" workbookViewId="0">
      <selection activeCell="C15" sqref="C15:C19"/>
    </sheetView>
  </sheetViews>
  <sheetFormatPr defaultColWidth="8.88671875" defaultRowHeight="14.4"/>
  <cols>
    <col min="1" max="1" width="8.88671875" style="334"/>
    <col min="2" max="2" width="14.33203125" style="335" customWidth="1"/>
    <col min="3" max="3" width="31.109375" style="334" customWidth="1"/>
    <col min="4" max="4" width="35.109375" style="334" customWidth="1"/>
    <col min="5" max="5" width="8.88671875" style="334"/>
    <col min="6" max="6" width="17.33203125" style="335" customWidth="1"/>
    <col min="7" max="7" width="19.5546875" style="334" customWidth="1"/>
    <col min="8" max="8" width="8.88671875" style="334"/>
    <col min="9" max="9" width="26" style="334" customWidth="1"/>
    <col min="10" max="16384" width="8.88671875" style="334"/>
  </cols>
  <sheetData>
    <row r="2" spans="2:9" s="325" customFormat="1" ht="15.6">
      <c r="B2" s="326" t="s">
        <v>0</v>
      </c>
      <c r="C2" s="327" t="s">
        <v>1</v>
      </c>
      <c r="D2" s="327" t="s">
        <v>2</v>
      </c>
      <c r="F2" s="328" t="s">
        <v>0</v>
      </c>
      <c r="G2" s="329" t="s">
        <v>3</v>
      </c>
      <c r="I2" s="389" t="s">
        <v>4</v>
      </c>
    </row>
    <row r="3" spans="2:9" s="325" customFormat="1" ht="15.6">
      <c r="B3" s="326">
        <v>1</v>
      </c>
      <c r="C3" s="330" t="s">
        <v>5</v>
      </c>
      <c r="D3" s="330" t="s">
        <v>6</v>
      </c>
      <c r="F3" s="331">
        <v>9</v>
      </c>
      <c r="G3" s="332" t="s">
        <v>7</v>
      </c>
      <c r="I3" s="390" t="str">
        <f>DESPESAS[[#This Row],[DESPESAS]]</f>
        <v>Moradia</v>
      </c>
    </row>
    <row r="4" spans="2:9" s="325" customFormat="1" ht="15.6">
      <c r="B4" s="326">
        <v>2</v>
      </c>
      <c r="C4" s="330" t="s">
        <v>8</v>
      </c>
      <c r="D4" s="330" t="s">
        <v>9</v>
      </c>
      <c r="F4" s="326">
        <v>11</v>
      </c>
      <c r="G4" s="330" t="s">
        <v>10</v>
      </c>
      <c r="I4" s="391" t="str">
        <f>DESPESAS[[#This Row],[DESPESAS]]</f>
        <v>Transporte</v>
      </c>
    </row>
    <row r="5" spans="2:9" s="325" customFormat="1" ht="15.6">
      <c r="B5" s="326">
        <v>3</v>
      </c>
      <c r="C5" s="330" t="s">
        <v>11</v>
      </c>
      <c r="D5" s="330" t="s">
        <v>12</v>
      </c>
      <c r="F5" s="333"/>
      <c r="I5" s="392" t="str">
        <f>DESPESAS[[#This Row],[DESPESAS]]</f>
        <v>Alimentação</v>
      </c>
    </row>
    <row r="6" spans="2:9" s="325" customFormat="1" ht="15.6">
      <c r="B6" s="326">
        <v>4</v>
      </c>
      <c r="C6" s="330" t="s">
        <v>13</v>
      </c>
      <c r="D6" s="330" t="s">
        <v>14</v>
      </c>
      <c r="F6" s="333"/>
      <c r="I6" s="393" t="str">
        <f>DESPESAS[[#This Row],[DESPESAS]]</f>
        <v>Saúde</v>
      </c>
    </row>
    <row r="7" spans="2:9" s="325" customFormat="1" ht="15.6">
      <c r="B7" s="326">
        <v>5</v>
      </c>
      <c r="C7" s="330" t="s">
        <v>15</v>
      </c>
      <c r="D7" s="330" t="s">
        <v>16</v>
      </c>
      <c r="F7" s="333"/>
      <c r="I7" s="394" t="str">
        <f>DESPESAS[[#This Row],[DESPESAS]]</f>
        <v>Lazer</v>
      </c>
    </row>
    <row r="8" spans="2:9" s="325" customFormat="1" ht="15.6">
      <c r="B8" s="326">
        <v>6</v>
      </c>
      <c r="C8" s="330" t="s">
        <v>17</v>
      </c>
      <c r="D8" s="330" t="s">
        <v>18</v>
      </c>
      <c r="F8" s="333"/>
      <c r="I8" s="395" t="str">
        <f>DESPESAS[[#This Row],[DESPESAS]]</f>
        <v>Bem-estar / shopping</v>
      </c>
    </row>
    <row r="9" spans="2:9" s="325" customFormat="1" ht="15.6">
      <c r="B9" s="326">
        <v>7</v>
      </c>
      <c r="C9" s="330" t="s">
        <v>19</v>
      </c>
      <c r="D9" s="330" t="s">
        <v>20</v>
      </c>
      <c r="F9" s="333"/>
      <c r="I9" s="396" t="str">
        <f>DESPESAS[[#This Row],[DESPESAS]]</f>
        <v>Educação</v>
      </c>
    </row>
    <row r="10" spans="2:9" s="325" customFormat="1" ht="15.6">
      <c r="B10" s="326">
        <v>8</v>
      </c>
      <c r="C10" s="330" t="s">
        <v>21</v>
      </c>
      <c r="D10" s="330" t="s">
        <v>22</v>
      </c>
      <c r="F10" s="333"/>
      <c r="I10" s="397" t="str">
        <f>DESPESAS[[#This Row],[DESPESAS]]</f>
        <v>Outros</v>
      </c>
    </row>
    <row r="11" spans="2:9" ht="15.6">
      <c r="I11" s="398" t="str">
        <f>G3</f>
        <v>Salário</v>
      </c>
    </row>
    <row r="12" spans="2:9" ht="15.6">
      <c r="I12" s="399" t="str">
        <f>G4</f>
        <v>Rendimentos</v>
      </c>
    </row>
    <row r="13" spans="2:9" ht="15.6">
      <c r="I13" s="400" t="s">
        <v>23</v>
      </c>
    </row>
    <row r="14" spans="2:9" ht="15.6">
      <c r="B14" s="326" t="s">
        <v>0</v>
      </c>
      <c r="C14" s="327" t="s">
        <v>24</v>
      </c>
      <c r="I14" s="401" t="s">
        <v>25</v>
      </c>
    </row>
    <row r="15" spans="2:9" ht="15.6">
      <c r="B15" s="326">
        <v>1</v>
      </c>
      <c r="C15" s="330" t="s">
        <v>26</v>
      </c>
    </row>
    <row r="16" spans="2:9" ht="15.6">
      <c r="B16" s="326">
        <v>2</v>
      </c>
      <c r="C16" s="330" t="s">
        <v>27</v>
      </c>
    </row>
    <row r="17" spans="2:3" ht="15.6">
      <c r="B17" s="326">
        <v>3</v>
      </c>
      <c r="C17" s="330" t="s">
        <v>28</v>
      </c>
    </row>
    <row r="18" spans="2:3" ht="15.6">
      <c r="B18" s="326">
        <v>4</v>
      </c>
      <c r="C18" s="330" t="s">
        <v>29</v>
      </c>
    </row>
    <row r="19" spans="2:3" ht="15.6">
      <c r="B19" s="326">
        <v>5</v>
      </c>
      <c r="C19" s="330" t="s">
        <v>30</v>
      </c>
    </row>
    <row r="20" spans="2:3" ht="15.6">
      <c r="B20" s="326">
        <v>6</v>
      </c>
      <c r="C20" s="330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E1108-5508-CD46-BB01-C98FDD0ACA9F}">
  <dimension ref="A1:M32"/>
  <sheetViews>
    <sheetView showGridLines="0" topLeftCell="A4" zoomScale="85" zoomScaleNormal="85" zoomScaleSheetLayoutView="100" workbookViewId="0">
      <selection activeCell="E51" sqref="E51"/>
    </sheetView>
  </sheetViews>
  <sheetFormatPr defaultColWidth="8.88671875" defaultRowHeight="14.4"/>
  <cols>
    <col min="1" max="10" width="8.88671875" style="357"/>
    <col min="11" max="11" width="5.109375" style="357" customWidth="1"/>
    <col min="12" max="23" width="8.5546875" style="357" customWidth="1"/>
    <col min="24" max="16384" width="8.88671875" style="357"/>
  </cols>
  <sheetData>
    <row r="1" spans="1:13">
      <c r="A1" s="443" t="s">
        <v>32</v>
      </c>
      <c r="B1" s="443"/>
      <c r="C1" s="443"/>
      <c r="D1" s="443"/>
      <c r="E1" s="443"/>
      <c r="F1" s="443"/>
      <c r="G1" s="443"/>
      <c r="H1" s="443"/>
      <c r="I1" s="443"/>
      <c r="J1" s="443"/>
      <c r="K1" s="443"/>
    </row>
    <row r="2" spans="1:13">
      <c r="A2" s="443"/>
      <c r="B2" s="443"/>
      <c r="C2" s="443"/>
      <c r="D2" s="443"/>
      <c r="E2" s="443"/>
      <c r="F2" s="443"/>
      <c r="G2" s="443"/>
      <c r="H2" s="443"/>
      <c r="I2" s="443"/>
      <c r="J2" s="443"/>
      <c r="K2" s="443"/>
    </row>
    <row r="3" spans="1:13" ht="15.6" customHeight="1">
      <c r="A3" s="443"/>
      <c r="B3" s="443"/>
      <c r="C3" s="443"/>
      <c r="D3" s="443"/>
      <c r="E3" s="443"/>
      <c r="F3" s="443"/>
      <c r="G3" s="443"/>
      <c r="H3" s="443"/>
      <c r="I3" s="443"/>
      <c r="J3" s="443"/>
      <c r="K3" s="443"/>
    </row>
    <row r="4" spans="1:13">
      <c r="A4" s="443"/>
      <c r="B4" s="443"/>
      <c r="C4" s="443"/>
      <c r="D4" s="443"/>
      <c r="E4" s="443"/>
      <c r="F4" s="443"/>
      <c r="G4" s="443"/>
      <c r="H4" s="443"/>
      <c r="I4" s="443"/>
      <c r="J4" s="443"/>
      <c r="K4" s="443"/>
    </row>
    <row r="5" spans="1:13">
      <c r="A5" s="358"/>
      <c r="B5" s="358"/>
      <c r="C5" s="358"/>
      <c r="D5" s="358"/>
      <c r="E5" s="358"/>
      <c r="F5" s="358"/>
      <c r="G5" s="358"/>
      <c r="H5" s="358"/>
      <c r="I5" s="358"/>
      <c r="J5" s="358"/>
      <c r="K5" s="358"/>
    </row>
    <row r="6" spans="1:13">
      <c r="A6" s="359"/>
      <c r="B6" s="359"/>
      <c r="C6" s="359"/>
      <c r="D6" s="359"/>
      <c r="E6" s="359"/>
      <c r="F6" s="359"/>
      <c r="G6" s="359"/>
      <c r="H6" s="359"/>
      <c r="I6" s="359"/>
      <c r="J6" s="359"/>
      <c r="K6"/>
    </row>
    <row r="7" spans="1:13">
      <c r="A7" s="359"/>
      <c r="B7" s="359"/>
      <c r="C7" s="359"/>
      <c r="D7" s="359"/>
      <c r="E7" s="359"/>
      <c r="F7" s="359"/>
      <c r="G7" s="359"/>
      <c r="H7" s="359"/>
      <c r="I7" s="359"/>
      <c r="J7" s="359"/>
      <c r="K7"/>
    </row>
    <row r="8" spans="1:13">
      <c r="A8" s="360"/>
      <c r="B8" s="360"/>
      <c r="C8" s="360"/>
      <c r="D8" s="360"/>
      <c r="E8" s="360"/>
      <c r="F8" s="360"/>
      <c r="G8" s="360"/>
      <c r="H8" s="359"/>
      <c r="I8" s="359"/>
      <c r="J8" s="359"/>
      <c r="K8"/>
    </row>
    <row r="9" spans="1:13">
      <c r="A9" s="360"/>
      <c r="B9" s="360"/>
      <c r="C9" s="360"/>
      <c r="D9" s="360"/>
      <c r="E9" s="360"/>
      <c r="F9" s="360"/>
      <c r="G9" s="360"/>
      <c r="H9" s="359"/>
      <c r="I9" s="359"/>
      <c r="J9" s="359"/>
      <c r="K9"/>
    </row>
    <row r="10" spans="1:13">
      <c r="A10" s="360"/>
      <c r="B10" s="360"/>
      <c r="C10" s="360"/>
      <c r="D10" s="360"/>
      <c r="E10" s="360"/>
      <c r="F10" s="360"/>
      <c r="G10" s="360"/>
      <c r="H10" s="359"/>
      <c r="I10" s="359"/>
      <c r="J10" s="359"/>
      <c r="K10"/>
    </row>
    <row r="11" spans="1:13">
      <c r="A11" s="360"/>
      <c r="B11" s="360"/>
      <c r="C11" s="360"/>
      <c r="D11" s="360"/>
      <c r="E11" s="360"/>
      <c r="F11" s="360"/>
      <c r="G11" s="360"/>
      <c r="H11" s="359"/>
      <c r="I11" s="359"/>
      <c r="J11" s="359"/>
      <c r="K11"/>
    </row>
    <row r="12" spans="1:13">
      <c r="A12" s="360"/>
      <c r="B12" s="360"/>
      <c r="C12" s="360"/>
      <c r="D12" s="360"/>
      <c r="E12" s="360"/>
      <c r="F12" s="360"/>
      <c r="G12" s="360"/>
      <c r="H12" s="359"/>
      <c r="I12" s="359"/>
      <c r="J12" s="359"/>
      <c r="K12"/>
      <c r="M12" s="361"/>
    </row>
    <row r="13" spans="1:13">
      <c r="A13" s="360"/>
      <c r="B13" s="360"/>
      <c r="C13" s="360"/>
      <c r="D13" s="360"/>
      <c r="E13" s="360"/>
      <c r="F13" s="360"/>
      <c r="G13" s="360"/>
      <c r="H13" s="359"/>
      <c r="I13" s="359"/>
      <c r="J13" s="359"/>
      <c r="K13"/>
    </row>
    <row r="14" spans="1:13">
      <c r="A14" s="360"/>
      <c r="B14" s="360"/>
      <c r="C14" s="360"/>
      <c r="D14" s="360"/>
      <c r="E14" s="360"/>
      <c r="F14" s="360"/>
      <c r="G14" s="360"/>
      <c r="H14" s="359"/>
      <c r="I14" s="359"/>
      <c r="J14" s="359"/>
      <c r="K14"/>
    </row>
    <row r="15" spans="1:13">
      <c r="A15" s="360"/>
      <c r="B15" s="360"/>
      <c r="C15" s="360"/>
      <c r="D15" s="360"/>
      <c r="E15" s="360"/>
      <c r="F15" s="360"/>
      <c r="G15" s="360"/>
      <c r="H15" s="359"/>
      <c r="I15" s="359"/>
      <c r="J15" s="359"/>
      <c r="K15"/>
    </row>
    <row r="16" spans="1:13">
      <c r="A16" s="360"/>
      <c r="B16" s="360"/>
      <c r="C16" s="360"/>
      <c r="D16" s="360"/>
      <c r="E16" s="360"/>
      <c r="F16" s="360"/>
      <c r="G16" s="360"/>
      <c r="H16" s="359"/>
      <c r="I16" s="359"/>
      <c r="J16" s="359"/>
      <c r="K16"/>
    </row>
    <row r="17" spans="1:11">
      <c r="A17" s="360"/>
      <c r="B17" s="360"/>
      <c r="C17" s="360"/>
      <c r="D17" s="360"/>
      <c r="E17" s="360"/>
      <c r="F17" s="360"/>
      <c r="G17" s="360"/>
      <c r="H17" s="359"/>
      <c r="I17" s="359"/>
      <c r="J17" s="359"/>
      <c r="K17"/>
    </row>
    <row r="18" spans="1:11">
      <c r="A18" s="360"/>
      <c r="B18" s="360"/>
      <c r="C18" s="360"/>
      <c r="D18" s="360"/>
      <c r="E18" s="360"/>
      <c r="F18" s="360"/>
      <c r="G18" s="360"/>
      <c r="H18" s="359"/>
      <c r="I18" s="359"/>
      <c r="J18" s="359"/>
      <c r="K18"/>
    </row>
    <row r="19" spans="1:11">
      <c r="A19" s="360"/>
      <c r="B19" s="360"/>
      <c r="C19" s="360"/>
      <c r="D19" s="360"/>
      <c r="E19" s="360"/>
      <c r="F19" s="360"/>
      <c r="G19" s="360"/>
      <c r="H19" s="359"/>
      <c r="I19" s="359"/>
      <c r="J19" s="359"/>
      <c r="K19"/>
    </row>
    <row r="20" spans="1:11">
      <c r="A20" s="360"/>
      <c r="B20" s="360"/>
      <c r="C20" s="360"/>
      <c r="D20" s="360"/>
      <c r="E20" s="360"/>
      <c r="F20" s="360"/>
      <c r="G20" s="360"/>
      <c r="H20" s="359"/>
      <c r="I20" s="359"/>
      <c r="J20" s="359"/>
      <c r="K20"/>
    </row>
    <row r="21" spans="1:11">
      <c r="A21" s="360"/>
      <c r="B21" s="360"/>
      <c r="C21" s="360"/>
      <c r="D21" s="360"/>
      <c r="E21" s="360"/>
      <c r="F21" s="360"/>
      <c r="G21" s="360"/>
      <c r="H21" s="359"/>
      <c r="I21" s="359"/>
      <c r="J21" s="359"/>
      <c r="K21"/>
    </row>
    <row r="22" spans="1:11">
      <c r="A22" s="360"/>
      <c r="B22" s="360"/>
      <c r="C22" s="360"/>
      <c r="D22" s="360"/>
      <c r="E22" s="360"/>
      <c r="F22" s="360"/>
      <c r="G22" s="360"/>
      <c r="H22" s="359"/>
      <c r="I22" s="359"/>
      <c r="J22" s="359"/>
      <c r="K22"/>
    </row>
    <row r="23" spans="1:11">
      <c r="A23" s="360"/>
      <c r="B23" s="360"/>
      <c r="C23" s="360"/>
      <c r="D23" s="360"/>
      <c r="E23" s="360"/>
      <c r="F23" s="360"/>
      <c r="G23" s="360"/>
      <c r="H23" s="359"/>
      <c r="I23" s="359"/>
      <c r="J23" s="359"/>
      <c r="K23"/>
    </row>
    <row r="24" spans="1:11">
      <c r="A24" s="360"/>
      <c r="B24" s="360"/>
      <c r="C24" s="360"/>
      <c r="D24" s="360"/>
      <c r="E24" s="360"/>
      <c r="F24" s="360"/>
      <c r="G24" s="360"/>
      <c r="H24" s="359"/>
      <c r="I24" s="359"/>
      <c r="J24" s="359"/>
      <c r="K24"/>
    </row>
    <row r="25" spans="1:11">
      <c r="A25" s="360"/>
      <c r="B25" s="360"/>
      <c r="C25" s="360"/>
      <c r="D25" s="360"/>
      <c r="E25" s="360"/>
      <c r="F25" s="360"/>
      <c r="G25" s="360"/>
      <c r="H25" s="359"/>
      <c r="I25" s="359"/>
      <c r="J25" s="359"/>
      <c r="K25"/>
    </row>
    <row r="26" spans="1:11">
      <c r="A26" s="360"/>
      <c r="B26" s="360"/>
      <c r="C26" s="360"/>
      <c r="D26" s="360"/>
      <c r="E26" s="360"/>
      <c r="F26" s="360"/>
      <c r="G26" s="360"/>
      <c r="H26" s="359"/>
      <c r="I26" s="359"/>
      <c r="J26" s="359"/>
      <c r="K26"/>
    </row>
    <row r="27" spans="1:11">
      <c r="A27" s="360"/>
      <c r="B27" s="360"/>
      <c r="C27" s="360"/>
      <c r="D27" s="360"/>
      <c r="E27" s="360"/>
      <c r="F27" s="360"/>
      <c r="G27" s="360"/>
      <c r="H27" s="359"/>
      <c r="I27" s="359"/>
      <c r="J27" s="359"/>
      <c r="K27"/>
    </row>
    <row r="28" spans="1:11">
      <c r="A28" s="360"/>
      <c r="B28" s="360"/>
      <c r="C28" s="360"/>
      <c r="D28" s="360"/>
      <c r="E28" s="360"/>
      <c r="F28" s="360"/>
      <c r="G28" s="360"/>
      <c r="H28" s="359"/>
      <c r="I28" s="359"/>
      <c r="J28" s="359"/>
      <c r="K28"/>
    </row>
    <row r="29" spans="1:11">
      <c r="A29" s="360"/>
      <c r="B29" s="360"/>
      <c r="C29" s="360"/>
      <c r="D29" s="360"/>
      <c r="E29" s="360"/>
      <c r="F29" s="360"/>
      <c r="G29" s="360"/>
      <c r="H29" s="359"/>
      <c r="I29" s="359"/>
      <c r="J29" s="359"/>
      <c r="K29"/>
    </row>
    <row r="30" spans="1:11">
      <c r="A30" s="360"/>
      <c r="B30" s="360"/>
      <c r="C30" s="360"/>
      <c r="D30" s="360"/>
      <c r="E30" s="360"/>
      <c r="F30" s="360"/>
      <c r="G30" s="360"/>
      <c r="H30" s="359"/>
      <c r="I30" s="359"/>
      <c r="J30" s="359"/>
      <c r="K30" s="360"/>
    </row>
    <row r="31" spans="1:11">
      <c r="A31" s="360"/>
      <c r="B31" s="360"/>
      <c r="C31" s="360"/>
      <c r="D31" s="360"/>
      <c r="E31" s="360"/>
      <c r="F31" s="360"/>
      <c r="G31" s="360"/>
      <c r="H31" s="360"/>
      <c r="I31" s="360"/>
      <c r="J31" s="360"/>
      <c r="K31" s="360"/>
    </row>
    <row r="32" spans="1:11">
      <c r="A32" s="360"/>
      <c r="B32" s="360"/>
      <c r="C32" s="360"/>
      <c r="D32" s="360"/>
      <c r="E32" s="360"/>
      <c r="F32" s="360"/>
      <c r="G32" s="360"/>
      <c r="H32" s="360"/>
      <c r="I32" s="360"/>
      <c r="J32" s="360"/>
      <c r="K32" s="360"/>
    </row>
  </sheetData>
  <mergeCells count="1">
    <mergeCell ref="A1:K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9532-C7E9-5C4E-AE06-44CB3C27A55A}">
  <dimension ref="A1:AY325"/>
  <sheetViews>
    <sheetView topLeftCell="A51" zoomScaleNormal="60" zoomScaleSheetLayoutView="100" workbookViewId="0">
      <selection activeCell="F90" sqref="F90"/>
    </sheetView>
  </sheetViews>
  <sheetFormatPr defaultColWidth="8.5546875" defaultRowHeight="26.4"/>
  <cols>
    <col min="1" max="1" width="15" style="4" customWidth="1"/>
    <col min="2" max="2" width="13.6640625" style="13" customWidth="1"/>
    <col min="3" max="3" width="14.44140625" style="4" customWidth="1"/>
    <col min="4" max="4" width="29.6640625" style="4" customWidth="1"/>
    <col min="5" max="5" width="20" style="4" customWidth="1"/>
    <col min="6" max="6" width="8.5546875" style="10"/>
    <col min="7" max="7" width="13.44140625" style="10" bestFit="1" customWidth="1"/>
    <col min="8" max="51" width="8.5546875" style="10"/>
    <col min="52" max="16384" width="8.5546875" style="4"/>
  </cols>
  <sheetData>
    <row r="1" spans="1:51">
      <c r="A1" s="10"/>
      <c r="B1" s="16"/>
      <c r="C1" s="10"/>
      <c r="D1" s="10"/>
      <c r="E1" s="10"/>
    </row>
    <row r="2" spans="1:51" ht="31.5" customHeight="1">
      <c r="A2" s="10"/>
      <c r="B2" s="16"/>
      <c r="C2" s="10"/>
      <c r="D2" s="10"/>
      <c r="E2" s="10"/>
    </row>
    <row r="3" spans="1:51">
      <c r="A3" s="10"/>
      <c r="B3" s="16"/>
      <c r="C3" s="10"/>
      <c r="D3" s="10"/>
      <c r="E3" s="10"/>
    </row>
    <row r="4" spans="1:51" s="15" customFormat="1" ht="28.5" customHeight="1">
      <c r="A4" s="14" t="s">
        <v>33</v>
      </c>
      <c r="B4" s="14" t="s">
        <v>34</v>
      </c>
      <c r="C4" s="14" t="s">
        <v>35</v>
      </c>
      <c r="D4" s="14" t="s">
        <v>36</v>
      </c>
      <c r="E4" s="14" t="s">
        <v>37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</row>
    <row r="5" spans="1:51" hidden="1">
      <c r="A5" s="18">
        <v>44958</v>
      </c>
      <c r="B5" s="19" t="str">
        <f>UPPER(TEXT(Tabela1[[#This Row],[DATA]],"MMM"))</f>
        <v>FEV</v>
      </c>
      <c r="C5" s="7" t="s">
        <v>38</v>
      </c>
      <c r="D5" s="7" t="s">
        <v>39</v>
      </c>
      <c r="E5" s="8">
        <v>1564</v>
      </c>
    </row>
    <row r="6" spans="1:51">
      <c r="A6" s="225">
        <v>45219</v>
      </c>
      <c r="B6" s="226" t="str">
        <f>UPPER(TEXT(Tabela1[[#This Row],[DATA]],"MMM"))</f>
        <v>OUT</v>
      </c>
      <c r="C6" s="20" t="s">
        <v>40</v>
      </c>
      <c r="D6" s="81" t="s">
        <v>41</v>
      </c>
      <c r="E6" s="82">
        <f>2300/3</f>
        <v>766.66666666666663</v>
      </c>
    </row>
    <row r="7" spans="1:51">
      <c r="A7" s="225">
        <v>45231</v>
      </c>
      <c r="B7" s="226" t="str">
        <f>UPPER(TEXT(Tabela1[[#This Row],[DATA]],"MMM"))</f>
        <v>NOV</v>
      </c>
      <c r="C7" s="20" t="s">
        <v>40</v>
      </c>
      <c r="D7" s="81" t="s">
        <v>42</v>
      </c>
      <c r="E7" s="82">
        <f>2300/3</f>
        <v>766.66666666666663</v>
      </c>
    </row>
    <row r="8" spans="1:51">
      <c r="A8" s="225">
        <v>45261</v>
      </c>
      <c r="B8" s="226" t="str">
        <f>UPPER(TEXT(Tabela1[[#This Row],[DATA]],"MMM"))</f>
        <v>DEZ</v>
      </c>
      <c r="C8" s="20" t="s">
        <v>40</v>
      </c>
      <c r="D8" s="81" t="s">
        <v>43</v>
      </c>
      <c r="E8" s="83">
        <f>2300/3</f>
        <v>766.66666666666663</v>
      </c>
    </row>
    <row r="9" spans="1:51">
      <c r="A9" s="225">
        <v>45084</v>
      </c>
      <c r="B9" s="226" t="str">
        <f>UPPER(TEXT(Tabela1[[#This Row],[DATA]],"MMM"))</f>
        <v>JUN</v>
      </c>
      <c r="C9" s="20" t="s">
        <v>40</v>
      </c>
      <c r="D9" s="20" t="s">
        <v>44</v>
      </c>
      <c r="E9" s="21">
        <v>439.7</v>
      </c>
    </row>
    <row r="10" spans="1:51" hidden="1">
      <c r="A10" s="22">
        <v>45129</v>
      </c>
      <c r="B10" s="23" t="str">
        <f>UPPER(TEXT(Tabela1[[#This Row],[DATA]],"MMM"))</f>
        <v>JUL</v>
      </c>
      <c r="C10" s="24" t="s">
        <v>40</v>
      </c>
      <c r="D10" s="57" t="s">
        <v>45</v>
      </c>
      <c r="E10" s="58">
        <v>420</v>
      </c>
    </row>
    <row r="11" spans="1:51">
      <c r="A11" s="22">
        <v>45280</v>
      </c>
      <c r="B11" s="23" t="str">
        <f>UPPER(TEXT(Tabela1[[#This Row],[DATA]],"MMM"))</f>
        <v>DEZ</v>
      </c>
      <c r="C11" s="24" t="s">
        <v>40</v>
      </c>
      <c r="D11" s="72" t="s">
        <v>46</v>
      </c>
      <c r="E11" s="73">
        <v>399.99</v>
      </c>
    </row>
    <row r="12" spans="1:51" hidden="1">
      <c r="A12" s="22">
        <v>45149</v>
      </c>
      <c r="B12" s="23" t="str">
        <f>UPPER(TEXT(Tabela1[[#This Row],[DATA]],"MMM"))</f>
        <v>AGO</v>
      </c>
      <c r="C12" s="24" t="s">
        <v>40</v>
      </c>
      <c r="D12" s="57" t="s">
        <v>47</v>
      </c>
      <c r="E12" s="58">
        <v>339</v>
      </c>
    </row>
    <row r="13" spans="1:51" hidden="1">
      <c r="A13" s="22">
        <v>45191</v>
      </c>
      <c r="B13" s="23" t="str">
        <f>UPPER(TEXT(Tabela1[[#This Row],[DATA]],"MMM"))</f>
        <v>SET</v>
      </c>
      <c r="C13" s="24" t="s">
        <v>40</v>
      </c>
      <c r="D13" s="24" t="s">
        <v>48</v>
      </c>
      <c r="E13" s="25">
        <v>337.83</v>
      </c>
    </row>
    <row r="14" spans="1:51" hidden="1">
      <c r="A14" s="22">
        <v>45245</v>
      </c>
      <c r="B14" s="23" t="str">
        <f>UPPER(TEXT(Tabela1[[#This Row],[DATA]],"MMM"))</f>
        <v>NOV</v>
      </c>
      <c r="C14" s="24" t="s">
        <v>40</v>
      </c>
      <c r="D14" s="46" t="s">
        <v>49</v>
      </c>
      <c r="E14" s="47">
        <f>149.99*2</f>
        <v>299.98</v>
      </c>
    </row>
    <row r="15" spans="1:51" hidden="1">
      <c r="A15" s="22">
        <v>45209</v>
      </c>
      <c r="B15" s="23" t="str">
        <f>UPPER(TEXT(Tabela1[[#This Row],[DATA]],"MMM"))</f>
        <v>OUT</v>
      </c>
      <c r="C15" s="24" t="s">
        <v>40</v>
      </c>
      <c r="D15" s="24" t="s">
        <v>50</v>
      </c>
      <c r="E15" s="25">
        <v>286.02</v>
      </c>
    </row>
    <row r="16" spans="1:51" hidden="1">
      <c r="A16" s="22">
        <v>45245</v>
      </c>
      <c r="B16" s="23" t="str">
        <f>UPPER(TEXT(Tabela1[[#This Row],[DATA]],"MMM"))</f>
        <v>NOV</v>
      </c>
      <c r="C16" s="24" t="s">
        <v>40</v>
      </c>
      <c r="D16" s="31" t="s">
        <v>51</v>
      </c>
      <c r="E16" s="45">
        <f>845.43/3</f>
        <v>281.81</v>
      </c>
    </row>
    <row r="17" spans="1:5" hidden="1">
      <c r="A17" s="22">
        <v>45000</v>
      </c>
      <c r="B17" s="23" t="str">
        <f>UPPER(TEXT(Tabela1[[#This Row],[DATA]],"MMM"))</f>
        <v>MAR</v>
      </c>
      <c r="C17" s="24" t="s">
        <v>40</v>
      </c>
      <c r="D17" s="24" t="s">
        <v>52</v>
      </c>
      <c r="E17" s="25">
        <v>280</v>
      </c>
    </row>
    <row r="18" spans="1:5" hidden="1">
      <c r="A18" s="22">
        <v>45250</v>
      </c>
      <c r="B18" s="23" t="str">
        <f>UPPER(TEXT(Tabela1[[#This Row],[DATA]],"MMM"))</f>
        <v>NOV</v>
      </c>
      <c r="C18" s="24" t="s">
        <v>40</v>
      </c>
      <c r="D18" s="248" t="s">
        <v>53</v>
      </c>
      <c r="E18" s="253">
        <v>276</v>
      </c>
    </row>
    <row r="19" spans="1:5" hidden="1">
      <c r="A19" s="22">
        <v>44979</v>
      </c>
      <c r="B19" s="23" t="str">
        <f>UPPER(TEXT(Tabela1[[#This Row],[DATA]],"MMM"))</f>
        <v>FEV</v>
      </c>
      <c r="C19" s="24" t="s">
        <v>40</v>
      </c>
      <c r="D19" s="24" t="s">
        <v>54</v>
      </c>
      <c r="E19" s="25">
        <v>269.87</v>
      </c>
    </row>
    <row r="20" spans="1:5" ht="27" hidden="1">
      <c r="A20" s="22">
        <v>45032</v>
      </c>
      <c r="B20" s="23" t="str">
        <f>UPPER(TEXT(Tabela1[[#This Row],[DATA]],"MMM"))</f>
        <v>ABR</v>
      </c>
      <c r="C20" s="24" t="s">
        <v>40</v>
      </c>
      <c r="D20" s="28" t="s">
        <v>55</v>
      </c>
      <c r="E20" s="27">
        <v>259.97000000000003</v>
      </c>
    </row>
    <row r="21" spans="1:5" hidden="1">
      <c r="A21" s="22">
        <v>45129</v>
      </c>
      <c r="B21" s="23" t="str">
        <f>UPPER(TEXT(Tabela1[[#This Row],[DATA]],"MMM"))</f>
        <v>JUL</v>
      </c>
      <c r="C21" s="24" t="s">
        <v>40</v>
      </c>
      <c r="D21" s="24" t="s">
        <v>56</v>
      </c>
      <c r="E21" s="25">
        <v>254.54</v>
      </c>
    </row>
    <row r="22" spans="1:5" hidden="1">
      <c r="A22" s="22">
        <v>44986</v>
      </c>
      <c r="B22" s="23" t="str">
        <f>UPPER(TEXT(Tabela1[[#This Row],[DATA]],"MMM"))</f>
        <v>MAR</v>
      </c>
      <c r="C22" s="24" t="s">
        <v>38</v>
      </c>
      <c r="D22" s="24" t="s">
        <v>39</v>
      </c>
      <c r="E22" s="25">
        <v>1948</v>
      </c>
    </row>
    <row r="23" spans="1:5" hidden="1">
      <c r="A23" s="22">
        <v>44986</v>
      </c>
      <c r="B23" s="23" t="str">
        <f>UPPER(TEXT(Tabela1[[#This Row],[DATA]],"MMM"))</f>
        <v>MAR</v>
      </c>
      <c r="C23" s="24" t="s">
        <v>40</v>
      </c>
      <c r="D23" s="24" t="s">
        <v>57</v>
      </c>
      <c r="E23" s="25">
        <v>229.99</v>
      </c>
    </row>
    <row r="24" spans="1:5" hidden="1">
      <c r="A24" s="22">
        <v>45016</v>
      </c>
      <c r="B24" s="23" t="str">
        <f>UPPER(TEXT(Tabela1[[#This Row],[DATA]],"MMM"))</f>
        <v>MAR</v>
      </c>
      <c r="C24" s="24" t="s">
        <v>40</v>
      </c>
      <c r="D24" s="24" t="s">
        <v>58</v>
      </c>
      <c r="E24" s="25">
        <v>227</v>
      </c>
    </row>
    <row r="25" spans="1:5" ht="27" hidden="1">
      <c r="A25" s="22">
        <v>45010</v>
      </c>
      <c r="B25" s="23" t="str">
        <f>UPPER(TEXT(Tabela1[[#This Row],[DATA]],"MMM"))</f>
        <v>MAR</v>
      </c>
      <c r="C25" s="24" t="s">
        <v>40</v>
      </c>
      <c r="D25" s="28" t="s">
        <v>59</v>
      </c>
      <c r="E25" s="27">
        <v>217.9</v>
      </c>
    </row>
    <row r="26" spans="1:5" hidden="1">
      <c r="A26" s="22">
        <v>45123</v>
      </c>
      <c r="B26" s="23" t="str">
        <f>UPPER(TEXT(Tabela1[[#This Row],[DATA]],"MMM"))</f>
        <v>JUL</v>
      </c>
      <c r="C26" s="24" t="s">
        <v>40</v>
      </c>
      <c r="D26" s="24" t="s">
        <v>60</v>
      </c>
      <c r="E26" s="25">
        <v>215.69</v>
      </c>
    </row>
    <row r="27" spans="1:5" hidden="1">
      <c r="A27" s="22">
        <v>45236</v>
      </c>
      <c r="B27" s="23" t="str">
        <f>UPPER(TEXT(Tabela1[[#This Row],[DATA]],"MMM"))</f>
        <v>NOV</v>
      </c>
      <c r="C27" s="24" t="s">
        <v>40</v>
      </c>
      <c r="D27" s="72" t="s">
        <v>61</v>
      </c>
      <c r="E27" s="73">
        <v>199.5</v>
      </c>
    </row>
    <row r="28" spans="1:5" hidden="1">
      <c r="A28" s="22">
        <v>45179</v>
      </c>
      <c r="B28" s="23" t="str">
        <f>UPPER(TEXT(Tabela1[[#This Row],[DATA]],"MMM"))</f>
        <v>SET</v>
      </c>
      <c r="C28" s="24" t="s">
        <v>40</v>
      </c>
      <c r="D28" s="24" t="s">
        <v>62</v>
      </c>
      <c r="E28" s="25">
        <f>146.8+32.9+13</f>
        <v>192.70000000000002</v>
      </c>
    </row>
    <row r="29" spans="1:5" ht="27">
      <c r="A29" s="22">
        <v>45075</v>
      </c>
      <c r="B29" s="23" t="str">
        <f>UPPER(TEXT(Tabela1[[#This Row],[DATA]],"MMM"))</f>
        <v>MAI</v>
      </c>
      <c r="C29" s="24" t="s">
        <v>40</v>
      </c>
      <c r="D29" s="28" t="s">
        <v>63</v>
      </c>
      <c r="E29" s="27">
        <v>192.23</v>
      </c>
    </row>
    <row r="30" spans="1:5" hidden="1">
      <c r="A30" s="22">
        <v>45184</v>
      </c>
      <c r="B30" s="23" t="str">
        <f>UPPER(TEXT(Tabela1[[#This Row],[DATA]],"MMM"))</f>
        <v>SET</v>
      </c>
      <c r="C30" s="24" t="s">
        <v>40</v>
      </c>
      <c r="D30" s="31" t="s">
        <v>64</v>
      </c>
      <c r="E30" s="45">
        <v>180.47</v>
      </c>
    </row>
    <row r="31" spans="1:5" hidden="1">
      <c r="A31" s="22">
        <v>45153</v>
      </c>
      <c r="B31" s="23" t="str">
        <f>UPPER(TEXT(Tabela1[[#This Row],[DATA]],"MMM"))</f>
        <v>AGO</v>
      </c>
      <c r="C31" s="24" t="s">
        <v>40</v>
      </c>
      <c r="D31" s="31" t="s">
        <v>65</v>
      </c>
      <c r="E31" s="45">
        <v>177.45</v>
      </c>
    </row>
    <row r="32" spans="1:5" ht="27">
      <c r="A32" s="22">
        <v>45143</v>
      </c>
      <c r="B32" s="23" t="str">
        <f>UPPER(TEXT(Tabela1[[#This Row],[DATA]],"MMM"))</f>
        <v>AGO</v>
      </c>
      <c r="C32" s="24" t="s">
        <v>40</v>
      </c>
      <c r="D32" s="28" t="s">
        <v>66</v>
      </c>
      <c r="E32" s="27">
        <v>167</v>
      </c>
    </row>
    <row r="33" spans="1:5" hidden="1">
      <c r="A33" s="22">
        <v>45226</v>
      </c>
      <c r="B33" s="23" t="str">
        <f>UPPER(TEXT(Tabela1[[#This Row],[DATA]],"MMM"))</f>
        <v>OUT</v>
      </c>
      <c r="C33" s="24" t="s">
        <v>40</v>
      </c>
      <c r="D33" s="70" t="s">
        <v>67</v>
      </c>
      <c r="E33" s="71">
        <f>82.18*2</f>
        <v>164.36</v>
      </c>
    </row>
    <row r="34" spans="1:5" hidden="1">
      <c r="A34" s="22">
        <v>45081</v>
      </c>
      <c r="B34" s="23" t="str">
        <f>UPPER(TEXT(Tabela1[[#This Row],[DATA]],"MMM"))</f>
        <v>JUN</v>
      </c>
      <c r="C34" s="24" t="s">
        <v>40</v>
      </c>
      <c r="D34" s="31" t="s">
        <v>68</v>
      </c>
      <c r="E34" s="34">
        <v>163.56</v>
      </c>
    </row>
    <row r="35" spans="1:5" hidden="1">
      <c r="A35" s="22">
        <v>45275</v>
      </c>
      <c r="B35" s="23" t="str">
        <f>UPPER(TEXT(Tabela1[[#This Row],[DATA]],"MMM"))</f>
        <v>DEZ</v>
      </c>
      <c r="C35" s="24" t="s">
        <v>40</v>
      </c>
      <c r="D35" s="31" t="s">
        <v>69</v>
      </c>
      <c r="E35" s="45">
        <f>489.2/3</f>
        <v>163.06666666666666</v>
      </c>
    </row>
    <row r="36" spans="1:5" hidden="1">
      <c r="A36" s="22">
        <v>45017</v>
      </c>
      <c r="B36" s="23" t="str">
        <f>UPPER(TEXT(Tabela1[[#This Row],[DATA]],"MMM"))</f>
        <v>ABR</v>
      </c>
      <c r="C36" s="24" t="s">
        <v>38</v>
      </c>
      <c r="D36" s="24" t="s">
        <v>39</v>
      </c>
      <c r="E36" s="25">
        <v>2022</v>
      </c>
    </row>
    <row r="37" spans="1:5" ht="27" hidden="1">
      <c r="A37" s="22">
        <v>45047</v>
      </c>
      <c r="B37" s="23" t="str">
        <f>UPPER(TEXT(Tabela1[[#This Row],[DATA]],"MMM"))</f>
        <v>MAI</v>
      </c>
      <c r="C37" s="24" t="s">
        <v>40</v>
      </c>
      <c r="D37" s="28" t="s">
        <v>70</v>
      </c>
      <c r="E37" s="27">
        <v>160</v>
      </c>
    </row>
    <row r="38" spans="1:5" ht="27" hidden="1">
      <c r="A38" s="22">
        <v>44991</v>
      </c>
      <c r="B38" s="23" t="str">
        <f>UPPER(TEXT(Tabela1[[#This Row],[DATA]],"MMM"))</f>
        <v>MAR</v>
      </c>
      <c r="C38" s="24" t="s">
        <v>40</v>
      </c>
      <c r="D38" s="28" t="s">
        <v>71</v>
      </c>
      <c r="E38" s="27">
        <v>154.72999999999999</v>
      </c>
    </row>
    <row r="39" spans="1:5" hidden="1">
      <c r="A39" s="22">
        <v>45171</v>
      </c>
      <c r="B39" s="23" t="str">
        <f>UPPER(TEXT(Tabela1[[#This Row],[DATA]],"MMM"))</f>
        <v>SET</v>
      </c>
      <c r="C39" s="24" t="s">
        <v>40</v>
      </c>
      <c r="D39" s="24" t="s">
        <v>72</v>
      </c>
      <c r="E39" s="25">
        <f>137.8+14</f>
        <v>151.80000000000001</v>
      </c>
    </row>
    <row r="40" spans="1:5" hidden="1">
      <c r="A40" s="22">
        <v>44968</v>
      </c>
      <c r="B40" s="23" t="str">
        <f>UPPER(TEXT(Tabela1[[#This Row],[DATA]],"MMM"))</f>
        <v>FEV</v>
      </c>
      <c r="C40" s="24" t="s">
        <v>40</v>
      </c>
      <c r="D40" s="24" t="s">
        <v>73</v>
      </c>
      <c r="E40" s="25">
        <v>150</v>
      </c>
    </row>
    <row r="41" spans="1:5" hidden="1">
      <c r="A41" s="22">
        <v>45048</v>
      </c>
      <c r="B41" s="23" t="str">
        <f>UPPER(TEXT(Tabela1[[#This Row],[DATA]],"MMM"))</f>
        <v>MAI</v>
      </c>
      <c r="C41" s="24" t="s">
        <v>40</v>
      </c>
      <c r="D41" s="35" t="s">
        <v>73</v>
      </c>
      <c r="E41" s="36">
        <v>150</v>
      </c>
    </row>
    <row r="42" spans="1:5" hidden="1">
      <c r="A42" s="22">
        <v>45284</v>
      </c>
      <c r="B42" s="23" t="str">
        <f>UPPER(TEXT(Tabela1[[#This Row],[DATA]],"MMM"))</f>
        <v>DEZ</v>
      </c>
      <c r="C42" s="24" t="s">
        <v>40</v>
      </c>
      <c r="D42" s="24" t="s">
        <v>74</v>
      </c>
      <c r="E42" s="25">
        <v>150</v>
      </c>
    </row>
    <row r="43" spans="1:5" ht="27" hidden="1">
      <c r="A43" s="22">
        <v>45101</v>
      </c>
      <c r="B43" s="23" t="str">
        <f>UPPER(TEXT(Tabela1[[#This Row],[DATA]],"MMM"))</f>
        <v>JUN</v>
      </c>
      <c r="C43" s="24" t="s">
        <v>40</v>
      </c>
      <c r="D43" s="28" t="s">
        <v>75</v>
      </c>
      <c r="E43" s="27">
        <v>149.75</v>
      </c>
    </row>
    <row r="44" spans="1:5" ht="27">
      <c r="A44" s="22">
        <v>45052</v>
      </c>
      <c r="B44" s="23" t="str">
        <f>UPPER(TEXT(Tabela1[[#This Row],[DATA]],"MMM"))</f>
        <v>MAI</v>
      </c>
      <c r="C44" s="24" t="s">
        <v>40</v>
      </c>
      <c r="D44" s="28" t="s">
        <v>76</v>
      </c>
      <c r="E44" s="27">
        <v>142</v>
      </c>
    </row>
    <row r="45" spans="1:5" hidden="1">
      <c r="A45" s="22">
        <v>45012</v>
      </c>
      <c r="B45" s="23" t="str">
        <f>UPPER(TEXT(Tabela1[[#This Row],[DATA]],"MMM"))</f>
        <v>MAR</v>
      </c>
      <c r="C45" s="24" t="s">
        <v>40</v>
      </c>
      <c r="D45" s="24" t="s">
        <v>77</v>
      </c>
      <c r="E45" s="25">
        <v>140</v>
      </c>
    </row>
    <row r="46" spans="1:5" hidden="1">
      <c r="A46" s="22">
        <v>45247</v>
      </c>
      <c r="B46" s="23" t="str">
        <f>UPPER(TEXT(Tabela1[[#This Row],[DATA]],"MMM"))</f>
        <v>NOV</v>
      </c>
      <c r="C46" s="24" t="s">
        <v>40</v>
      </c>
      <c r="D46" s="70" t="s">
        <v>78</v>
      </c>
      <c r="E46" s="71">
        <f>69.01*2</f>
        <v>138.02000000000001</v>
      </c>
    </row>
    <row r="47" spans="1:5" hidden="1">
      <c r="A47" s="22">
        <v>45283</v>
      </c>
      <c r="B47" s="23" t="str">
        <f>UPPER(TEXT(Tabela1[[#This Row],[DATA]],"MMM"))</f>
        <v>DEZ</v>
      </c>
      <c r="C47" s="24" t="s">
        <v>40</v>
      </c>
      <c r="D47" s="24" t="s">
        <v>79</v>
      </c>
      <c r="E47" s="25">
        <v>137.97999999999999</v>
      </c>
    </row>
    <row r="48" spans="1:5" hidden="1">
      <c r="A48" s="22">
        <v>45061</v>
      </c>
      <c r="B48" s="23" t="str">
        <f>UPPER(TEXT(Tabela1[[#This Row],[DATA]],"MMM"))</f>
        <v>MAI</v>
      </c>
      <c r="C48" s="24" t="s">
        <v>40</v>
      </c>
      <c r="D48" s="31" t="s">
        <v>80</v>
      </c>
      <c r="E48" s="34">
        <v>136.6</v>
      </c>
    </row>
    <row r="49" spans="1:5" hidden="1">
      <c r="A49" s="22">
        <v>45108</v>
      </c>
      <c r="B49" s="23" t="str">
        <f>UPPER(TEXT(Tabela1[[#This Row],[DATA]],"MMM"))</f>
        <v>JUL</v>
      </c>
      <c r="C49" s="24" t="s">
        <v>40</v>
      </c>
      <c r="D49" s="46" t="s">
        <v>81</v>
      </c>
      <c r="E49" s="47">
        <v>128.94</v>
      </c>
    </row>
    <row r="50" spans="1:5" hidden="1">
      <c r="A50" s="22">
        <v>45170</v>
      </c>
      <c r="B50" s="23" t="str">
        <f>UPPER(TEXT(Tabela1[[#This Row],[DATA]],"MMM"))</f>
        <v>SET</v>
      </c>
      <c r="C50" s="24" t="s">
        <v>40</v>
      </c>
      <c r="D50" s="24" t="s">
        <v>82</v>
      </c>
      <c r="E50" s="25">
        <f>85+8.75+13.33+10+10</f>
        <v>127.08</v>
      </c>
    </row>
    <row r="51" spans="1:5">
      <c r="A51" s="225">
        <v>45122</v>
      </c>
      <c r="B51" s="226" t="str">
        <f>UPPER(TEXT(Tabela1[[#This Row],[DATA]],"MMM"))</f>
        <v>JUL</v>
      </c>
      <c r="C51" s="20" t="s">
        <v>40</v>
      </c>
      <c r="D51" s="20" t="s">
        <v>83</v>
      </c>
      <c r="E51" s="21">
        <v>124.63</v>
      </c>
    </row>
    <row r="52" spans="1:5" hidden="1">
      <c r="A52" s="225">
        <v>45034</v>
      </c>
      <c r="B52" s="226" t="str">
        <f>UPPER(TEXT(Tabela1[[#This Row],[DATA]],"MMM"))</f>
        <v>ABR</v>
      </c>
      <c r="C52" s="20" t="s">
        <v>40</v>
      </c>
      <c r="D52" s="96" t="s">
        <v>84</v>
      </c>
      <c r="E52" s="21">
        <v>123.45</v>
      </c>
    </row>
    <row r="53" spans="1:5" hidden="1">
      <c r="A53" s="22">
        <v>45047</v>
      </c>
      <c r="B53" s="23" t="str">
        <f>UPPER(TEXT(Tabela1[[#This Row],[DATA]],"MMM"))</f>
        <v>MAI</v>
      </c>
      <c r="C53" s="24" t="s">
        <v>38</v>
      </c>
      <c r="D53" s="24" t="s">
        <v>39</v>
      </c>
      <c r="E53" s="25">
        <v>2216</v>
      </c>
    </row>
    <row r="54" spans="1:5" ht="27">
      <c r="A54" s="22">
        <v>45032</v>
      </c>
      <c r="B54" s="23" t="str">
        <f>UPPER(TEXT(Tabela1[[#This Row],[DATA]],"MMM"))</f>
        <v>ABR</v>
      </c>
      <c r="C54" s="24" t="s">
        <v>40</v>
      </c>
      <c r="D54" s="28" t="s">
        <v>85</v>
      </c>
      <c r="E54" s="27">
        <v>123.44</v>
      </c>
    </row>
    <row r="55" spans="1:5" hidden="1">
      <c r="A55" s="22">
        <v>45122</v>
      </c>
      <c r="B55" s="23" t="str">
        <f>UPPER(TEXT(Tabela1[[#This Row],[DATA]],"MMM"))</f>
        <v>JUL</v>
      </c>
      <c r="C55" s="24" t="s">
        <v>40</v>
      </c>
      <c r="D55" s="31" t="s">
        <v>86</v>
      </c>
      <c r="E55" s="45">
        <v>123.15</v>
      </c>
    </row>
    <row r="56" spans="1:5" ht="27">
      <c r="A56" s="22">
        <v>45038</v>
      </c>
      <c r="B56" s="23" t="str">
        <f>UPPER(TEXT(Tabela1[[#This Row],[DATA]],"MMM"))</f>
        <v>ABR</v>
      </c>
      <c r="C56" s="24" t="s">
        <v>40</v>
      </c>
      <c r="D56" s="28" t="s">
        <v>85</v>
      </c>
      <c r="E56" s="27">
        <v>122</v>
      </c>
    </row>
    <row r="57" spans="1:5" hidden="1">
      <c r="A57" s="22">
        <v>44958</v>
      </c>
      <c r="B57" s="23" t="str">
        <f>UPPER(TEXT(Tabela1[[#This Row],[DATA]],"MMM"))</f>
        <v>FEV</v>
      </c>
      <c r="C57" s="24" t="s">
        <v>40</v>
      </c>
      <c r="D57" s="24" t="s">
        <v>87</v>
      </c>
      <c r="E57" s="25">
        <v>120</v>
      </c>
    </row>
    <row r="58" spans="1:5" ht="27">
      <c r="A58" s="22">
        <v>45060</v>
      </c>
      <c r="B58" s="23" t="str">
        <f>UPPER(TEXT(Tabela1[[#This Row],[DATA]],"MMM"))</f>
        <v>MAI</v>
      </c>
      <c r="C58" s="24" t="s">
        <v>40</v>
      </c>
      <c r="D58" s="28" t="s">
        <v>88</v>
      </c>
      <c r="E58" s="27">
        <v>118.95</v>
      </c>
    </row>
    <row r="59" spans="1:5" hidden="1">
      <c r="A59" s="22">
        <v>45000</v>
      </c>
      <c r="B59" s="23" t="str">
        <f>UPPER(TEXT(Tabela1[[#This Row],[DATA]],"MMM"))</f>
        <v>MAR</v>
      </c>
      <c r="C59" s="24" t="s">
        <v>40</v>
      </c>
      <c r="D59" s="29" t="s">
        <v>89</v>
      </c>
      <c r="E59" s="25">
        <v>118.1</v>
      </c>
    </row>
    <row r="60" spans="1:5" ht="27">
      <c r="A60" s="22">
        <v>45109</v>
      </c>
      <c r="B60" s="23" t="str">
        <f>UPPER(TEXT(Tabela1[[#This Row],[DATA]],"MMM"))</f>
        <v>JUL</v>
      </c>
      <c r="C60" s="24" t="s">
        <v>40</v>
      </c>
      <c r="D60" s="28" t="s">
        <v>90</v>
      </c>
      <c r="E60" s="27">
        <v>117.85</v>
      </c>
    </row>
    <row r="61" spans="1:5" hidden="1">
      <c r="A61" s="22">
        <v>45238</v>
      </c>
      <c r="B61" s="23" t="str">
        <f>UPPER(TEXT(Tabela1[[#This Row],[DATA]],"MMM"))</f>
        <v>NOV</v>
      </c>
      <c r="C61" s="24" t="s">
        <v>40</v>
      </c>
      <c r="D61" s="43" t="s">
        <v>91</v>
      </c>
      <c r="E61" s="44">
        <v>116.66</v>
      </c>
    </row>
    <row r="62" spans="1:5" hidden="1">
      <c r="A62" s="22">
        <v>45270</v>
      </c>
      <c r="B62" s="23" t="str">
        <f>UPPER(TEXT(Tabela1[[#This Row],[DATA]],"MMM"))</f>
        <v>DEZ</v>
      </c>
      <c r="C62" s="24" t="s">
        <v>40</v>
      </c>
      <c r="D62" s="43" t="s">
        <v>91</v>
      </c>
      <c r="E62" s="44">
        <v>116.66</v>
      </c>
    </row>
    <row r="63" spans="1:5" hidden="1">
      <c r="A63" s="22">
        <v>45204</v>
      </c>
      <c r="B63" s="23" t="str">
        <f>UPPER(TEXT(Tabela1[[#This Row],[DATA]],"MMM"))</f>
        <v>OUT</v>
      </c>
      <c r="C63" s="24" t="s">
        <v>40</v>
      </c>
      <c r="D63" s="43" t="s">
        <v>91</v>
      </c>
      <c r="E63" s="44">
        <v>116.16</v>
      </c>
    </row>
    <row r="64" spans="1:5">
      <c r="A64" s="22">
        <v>45191</v>
      </c>
      <c r="B64" s="23" t="str">
        <f>UPPER(TEXT(Tabela1[[#This Row],[DATA]],"MMM"))</f>
        <v>SET</v>
      </c>
      <c r="C64" s="24" t="s">
        <v>40</v>
      </c>
      <c r="D64" s="24" t="s">
        <v>92</v>
      </c>
      <c r="E64" s="25">
        <v>114</v>
      </c>
    </row>
    <row r="65" spans="1:5" hidden="1">
      <c r="A65" s="22">
        <v>45060</v>
      </c>
      <c r="B65" s="23" t="str">
        <f>UPPER(TEXT(Tabela1[[#This Row],[DATA]],"MMM"))</f>
        <v>MAI</v>
      </c>
      <c r="C65" s="24" t="s">
        <v>40</v>
      </c>
      <c r="D65" s="24" t="s">
        <v>93</v>
      </c>
      <c r="E65" s="25">
        <v>113.33</v>
      </c>
    </row>
    <row r="66" spans="1:5" hidden="1">
      <c r="A66" s="246">
        <v>44977</v>
      </c>
      <c r="B66" s="247" t="str">
        <f>UPPER(TEXT(Tabela1[[#This Row],[DATA]],"MMM"))</f>
        <v>FEV</v>
      </c>
      <c r="C66" s="32" t="s">
        <v>40</v>
      </c>
      <c r="D66" s="251" t="s">
        <v>94</v>
      </c>
      <c r="E66" s="33">
        <v>112.41</v>
      </c>
    </row>
    <row r="67" spans="1:5" hidden="1">
      <c r="A67" s="22">
        <v>45229</v>
      </c>
      <c r="B67" s="23" t="str">
        <f>UPPER(TEXT(Tabela1[[#This Row],[DATA]],"MMM"))</f>
        <v>OUT</v>
      </c>
      <c r="C67" s="24" t="s">
        <v>40</v>
      </c>
      <c r="D67" s="24" t="s">
        <v>95</v>
      </c>
      <c r="E67" s="25">
        <f>56.29+54.89</f>
        <v>111.18</v>
      </c>
    </row>
    <row r="68" spans="1:5" hidden="1">
      <c r="A68" s="22">
        <v>45140</v>
      </c>
      <c r="B68" s="23" t="str">
        <f>UPPER(TEXT(Tabela1[[#This Row],[DATA]],"MMM"))</f>
        <v>AGO</v>
      </c>
      <c r="C68" s="24" t="s">
        <v>40</v>
      </c>
      <c r="D68" s="24" t="s">
        <v>96</v>
      </c>
      <c r="E68" s="25">
        <v>110</v>
      </c>
    </row>
    <row r="69" spans="1:5" hidden="1">
      <c r="A69" s="22">
        <v>45214</v>
      </c>
      <c r="B69" s="23" t="str">
        <f>UPPER(TEXT(Tabela1[[#This Row],[DATA]],"MMM"))</f>
        <v>OUT</v>
      </c>
      <c r="C69" s="24" t="s">
        <v>40</v>
      </c>
      <c r="D69" s="31" t="s">
        <v>97</v>
      </c>
      <c r="E69" s="45">
        <v>107.17</v>
      </c>
    </row>
    <row r="70" spans="1:5" hidden="1">
      <c r="A70" s="22">
        <v>45232</v>
      </c>
      <c r="B70" s="23" t="str">
        <f>UPPER(TEXT(Tabela1[[#This Row],[DATA]],"MMM"))</f>
        <v>NOV</v>
      </c>
      <c r="C70" s="24" t="s">
        <v>40</v>
      </c>
      <c r="D70" s="24" t="s">
        <v>98</v>
      </c>
      <c r="E70" s="25">
        <f>122-15</f>
        <v>107</v>
      </c>
    </row>
    <row r="71" spans="1:5" ht="27">
      <c r="A71" s="22">
        <v>45018</v>
      </c>
      <c r="B71" s="23" t="str">
        <f>UPPER(TEXT(Tabela1[[#This Row],[DATA]],"MMM"))</f>
        <v>ABR</v>
      </c>
      <c r="C71" s="24" t="s">
        <v>40</v>
      </c>
      <c r="D71" s="28" t="s">
        <v>99</v>
      </c>
      <c r="E71" s="27">
        <v>104.31</v>
      </c>
    </row>
    <row r="72" spans="1:5" hidden="1">
      <c r="A72" s="22">
        <v>45026</v>
      </c>
      <c r="B72" s="23" t="str">
        <f>UPPER(TEXT(Tabela1[[#This Row],[DATA]],"MMM"))</f>
        <v>ABR</v>
      </c>
      <c r="C72" s="24" t="s">
        <v>40</v>
      </c>
      <c r="D72" s="29" t="s">
        <v>100</v>
      </c>
      <c r="E72" s="25">
        <v>102.55</v>
      </c>
    </row>
    <row r="73" spans="1:5" hidden="1">
      <c r="A73" s="22">
        <v>45269</v>
      </c>
      <c r="B73" s="23" t="str">
        <f>UPPER(TEXT(Tabela1[[#This Row],[DATA]],"MMM"))</f>
        <v>DEZ</v>
      </c>
      <c r="C73" s="24" t="s">
        <v>40</v>
      </c>
      <c r="D73" s="90" t="s">
        <v>101</v>
      </c>
      <c r="E73" s="91">
        <v>100</v>
      </c>
    </row>
    <row r="74" spans="1:5" ht="27" hidden="1">
      <c r="A74" s="22">
        <v>45282</v>
      </c>
      <c r="B74" s="23" t="str">
        <f>UPPER(TEXT(Tabela1[[#This Row],[DATA]],"MMM"))</f>
        <v>DEZ</v>
      </c>
      <c r="C74" s="24" t="s">
        <v>40</v>
      </c>
      <c r="D74" s="28" t="s">
        <v>102</v>
      </c>
      <c r="E74" s="27">
        <f>14.16+12.24+7.6+10.48+11+10.7+7.8+8.3+8.5+8.3</f>
        <v>99.08</v>
      </c>
    </row>
    <row r="75" spans="1:5" hidden="1">
      <c r="A75" s="22">
        <v>45078</v>
      </c>
      <c r="B75" s="23" t="str">
        <f>UPPER(TEXT(Tabela1[[#This Row],[DATA]],"MMM"))</f>
        <v>JUN</v>
      </c>
      <c r="C75" s="24" t="s">
        <v>38</v>
      </c>
      <c r="D75" s="24" t="s">
        <v>39</v>
      </c>
      <c r="E75" s="25">
        <v>2084</v>
      </c>
    </row>
    <row r="76" spans="1:5">
      <c r="A76" s="22">
        <v>45194</v>
      </c>
      <c r="B76" s="23" t="str">
        <f>UPPER(TEXT(Tabela1[[#This Row],[DATA]],"MMM"))</f>
        <v>SET</v>
      </c>
      <c r="C76" s="24" t="s">
        <v>40</v>
      </c>
      <c r="D76" s="24" t="s">
        <v>103</v>
      </c>
      <c r="E76" s="25">
        <v>98.9</v>
      </c>
    </row>
    <row r="77" spans="1:5" hidden="1">
      <c r="A77" s="22">
        <v>45224</v>
      </c>
      <c r="B77" s="23" t="str">
        <f>UPPER(TEXT(Tabela1[[#This Row],[DATA]],"MMM"))</f>
        <v>OUT</v>
      </c>
      <c r="C77" s="24" t="s">
        <v>40</v>
      </c>
      <c r="D77" s="24" t="s">
        <v>104</v>
      </c>
      <c r="E77" s="25">
        <v>97.02</v>
      </c>
    </row>
    <row r="78" spans="1:5">
      <c r="A78" s="22">
        <v>45248</v>
      </c>
      <c r="B78" s="23" t="str">
        <f>UPPER(TEXT(Tabela1[[#This Row],[DATA]],"MMM"))</f>
        <v>NOV</v>
      </c>
      <c r="C78" s="24" t="s">
        <v>40</v>
      </c>
      <c r="D78" s="24" t="s">
        <v>105</v>
      </c>
      <c r="E78" s="25">
        <v>97.02</v>
      </c>
    </row>
    <row r="79" spans="1:5" ht="27">
      <c r="A79" s="22">
        <v>45079</v>
      </c>
      <c r="B79" s="23" t="str">
        <f>UPPER(TEXT(Tabela1[[#This Row],[DATA]],"MMM"))</f>
        <v>JUN</v>
      </c>
      <c r="C79" s="24" t="s">
        <v>40</v>
      </c>
      <c r="D79" s="28" t="s">
        <v>106</v>
      </c>
      <c r="E79" s="27">
        <v>94.77</v>
      </c>
    </row>
    <row r="80" spans="1:5">
      <c r="A80" s="22">
        <v>45155</v>
      </c>
      <c r="B80" s="23" t="str">
        <f>UPPER(TEXT(Tabela1[[#This Row],[DATA]],"MMM"))</f>
        <v>AGO</v>
      </c>
      <c r="C80" s="24" t="s">
        <v>40</v>
      </c>
      <c r="D80" s="24" t="s">
        <v>107</v>
      </c>
      <c r="E80" s="25">
        <v>94.33</v>
      </c>
    </row>
    <row r="81" spans="1:5" ht="27">
      <c r="A81" s="225">
        <v>45114</v>
      </c>
      <c r="B81" s="226" t="str">
        <f>UPPER(TEXT(Tabela1[[#This Row],[DATA]],"MMM"))</f>
        <v>JUL</v>
      </c>
      <c r="C81" s="20" t="s">
        <v>40</v>
      </c>
      <c r="D81" s="55" t="s">
        <v>108</v>
      </c>
      <c r="E81" s="56">
        <v>94.22</v>
      </c>
    </row>
    <row r="82" spans="1:5" ht="27">
      <c r="A82" s="22">
        <v>44984</v>
      </c>
      <c r="B82" s="23" t="str">
        <f>UPPER(TEXT(Tabela1[[#This Row],[DATA]],"MMM"))</f>
        <v>FEV</v>
      </c>
      <c r="C82" s="24" t="s">
        <v>40</v>
      </c>
      <c r="D82" s="28" t="s">
        <v>85</v>
      </c>
      <c r="E82" s="27">
        <v>93.31</v>
      </c>
    </row>
    <row r="83" spans="1:5" ht="27" hidden="1">
      <c r="A83" s="22">
        <v>45187</v>
      </c>
      <c r="B83" s="23" t="str">
        <f>UPPER(TEXT(Tabela1[[#This Row],[DATA]],"MMM"))</f>
        <v>SET</v>
      </c>
      <c r="C83" s="24" t="s">
        <v>40</v>
      </c>
      <c r="D83" s="28" t="s">
        <v>109</v>
      </c>
      <c r="E83" s="27">
        <v>89.89</v>
      </c>
    </row>
    <row r="84" spans="1:5" hidden="1">
      <c r="A84" s="22">
        <v>45072</v>
      </c>
      <c r="B84" s="23" t="str">
        <f>UPPER(TEXT(Tabela1[[#This Row],[DATA]],"MMM"))</f>
        <v>MAI</v>
      </c>
      <c r="C84" s="24" t="s">
        <v>40</v>
      </c>
      <c r="D84" s="35" t="s">
        <v>110</v>
      </c>
      <c r="E84" s="36">
        <v>87.5</v>
      </c>
    </row>
    <row r="85" spans="1:5" hidden="1">
      <c r="A85" s="22">
        <v>45108</v>
      </c>
      <c r="B85" s="23" t="str">
        <f>UPPER(TEXT(Tabela1[[#This Row],[DATA]],"MMM"))</f>
        <v>JUL</v>
      </c>
      <c r="C85" s="24" t="s">
        <v>40</v>
      </c>
      <c r="D85" s="43" t="s">
        <v>110</v>
      </c>
      <c r="E85" s="44">
        <v>87.5</v>
      </c>
    </row>
    <row r="86" spans="1:5" hidden="1">
      <c r="A86" s="22">
        <v>45282</v>
      </c>
      <c r="B86" s="23" t="str">
        <f>UPPER(TEXT(Tabela1[[#This Row],[DATA]],"MMM"))</f>
        <v>DEZ</v>
      </c>
      <c r="C86" s="24" t="s">
        <v>40</v>
      </c>
      <c r="D86" s="24" t="s">
        <v>111</v>
      </c>
      <c r="E86" s="25">
        <f>166.2-80</f>
        <v>86.199999999999989</v>
      </c>
    </row>
    <row r="87" spans="1:5">
      <c r="A87" s="22">
        <v>45080</v>
      </c>
      <c r="B87" s="23" t="str">
        <f>UPPER(TEXT(Tabela1[[#This Row],[DATA]],"MMM"))</f>
        <v>JUN</v>
      </c>
      <c r="C87" s="24" t="s">
        <v>40</v>
      </c>
      <c r="D87" s="37" t="s">
        <v>112</v>
      </c>
      <c r="E87" s="38">
        <v>82.95</v>
      </c>
    </row>
    <row r="88" spans="1:5" hidden="1">
      <c r="A88" s="22">
        <v>45282</v>
      </c>
      <c r="B88" s="23" t="str">
        <f>UPPER(TEXT(Tabela1[[#This Row],[DATA]],"MMM"))</f>
        <v>DEZ</v>
      </c>
      <c r="C88" s="24" t="s">
        <v>40</v>
      </c>
      <c r="D88" s="250" t="s">
        <v>113</v>
      </c>
      <c r="E88" s="255">
        <v>82.44</v>
      </c>
    </row>
    <row r="89" spans="1:5" ht="27">
      <c r="A89" s="22">
        <v>45073</v>
      </c>
      <c r="B89" s="23" t="str">
        <f>UPPER(TEXT(Tabela1[[#This Row],[DATA]],"MMM"))</f>
        <v>MAI</v>
      </c>
      <c r="C89" s="24" t="s">
        <v>40</v>
      </c>
      <c r="D89" s="28" t="s">
        <v>114</v>
      </c>
      <c r="E89" s="27">
        <v>80</v>
      </c>
    </row>
    <row r="90" spans="1:5">
      <c r="A90" s="22">
        <v>45084</v>
      </c>
      <c r="B90" s="23" t="str">
        <f>UPPER(TEXT(Tabela1[[#This Row],[DATA]],"MMM"))</f>
        <v>JUN</v>
      </c>
      <c r="C90" s="24" t="s">
        <v>40</v>
      </c>
      <c r="D90" s="24" t="s">
        <v>115</v>
      </c>
      <c r="E90" s="25">
        <v>79.87</v>
      </c>
    </row>
    <row r="91" spans="1:5">
      <c r="A91" s="22">
        <v>45150</v>
      </c>
      <c r="B91" s="23" t="str">
        <f>UPPER(TEXT(Tabela1[[#This Row],[DATA]],"MMM"))</f>
        <v>AGO</v>
      </c>
      <c r="C91" s="24" t="s">
        <v>40</v>
      </c>
      <c r="D91" s="24" t="s">
        <v>116</v>
      </c>
      <c r="E91" s="25">
        <v>79.2</v>
      </c>
    </row>
    <row r="92" spans="1:5" ht="27" hidden="1">
      <c r="A92" s="22">
        <v>45165</v>
      </c>
      <c r="B92" s="23" t="str">
        <f>UPPER(TEXT(Tabela1[[#This Row],[DATA]],"MMM"))</f>
        <v>AGO</v>
      </c>
      <c r="C92" s="24" t="s">
        <v>40</v>
      </c>
      <c r="D92" s="28" t="s">
        <v>109</v>
      </c>
      <c r="E92" s="27">
        <f>SUM(10.7+11.1+10.98,12.99,16.27,9.3,7.7)</f>
        <v>79.040000000000006</v>
      </c>
    </row>
    <row r="93" spans="1:5" hidden="1">
      <c r="A93" s="22">
        <v>45108</v>
      </c>
      <c r="B93" s="23" t="str">
        <f>UPPER(TEXT(Tabela1[[#This Row],[DATA]],"MMM"))</f>
        <v>JUL</v>
      </c>
      <c r="C93" s="24" t="s">
        <v>40</v>
      </c>
      <c r="D93" s="24" t="s">
        <v>117</v>
      </c>
      <c r="E93" s="25">
        <v>77.599999999999994</v>
      </c>
    </row>
    <row r="94" spans="1:5" ht="27">
      <c r="A94" s="22">
        <v>45143</v>
      </c>
      <c r="B94" s="23" t="str">
        <f>UPPER(TEXT(Tabela1[[#This Row],[DATA]],"MMM"))</f>
        <v>AGO</v>
      </c>
      <c r="C94" s="24" t="s">
        <v>40</v>
      </c>
      <c r="D94" s="28" t="s">
        <v>118</v>
      </c>
      <c r="E94" s="27">
        <v>76.650000000000006</v>
      </c>
    </row>
    <row r="95" spans="1:5" ht="27">
      <c r="A95" s="225">
        <v>45066</v>
      </c>
      <c r="B95" s="226" t="str">
        <f>UPPER(TEXT(Tabela1[[#This Row],[DATA]],"MMM"))</f>
        <v>MAI</v>
      </c>
      <c r="C95" s="20" t="s">
        <v>40</v>
      </c>
      <c r="D95" s="55" t="s">
        <v>119</v>
      </c>
      <c r="E95" s="56">
        <v>76.5</v>
      </c>
    </row>
    <row r="96" spans="1:5" hidden="1">
      <c r="A96" s="22">
        <v>45108</v>
      </c>
      <c r="B96" s="23" t="str">
        <f>UPPER(TEXT(Tabela1[[#This Row],[DATA]],"MMM"))</f>
        <v>JUL</v>
      </c>
      <c r="C96" s="24" t="s">
        <v>38</v>
      </c>
      <c r="D96" s="24" t="s">
        <v>39</v>
      </c>
      <c r="E96" s="25">
        <v>1976</v>
      </c>
    </row>
    <row r="97" spans="1:5" ht="27" hidden="1">
      <c r="A97" s="22">
        <v>45236</v>
      </c>
      <c r="B97" s="23" t="str">
        <f>UPPER(TEXT(Tabela1[[#This Row],[DATA]],"MMM"))</f>
        <v>NOV</v>
      </c>
      <c r="C97" s="24" t="s">
        <v>40</v>
      </c>
      <c r="D97" s="28" t="s">
        <v>120</v>
      </c>
      <c r="E97" s="27">
        <f>102.02-13.94-4.98-6.6</f>
        <v>76.5</v>
      </c>
    </row>
    <row r="98" spans="1:5" hidden="1">
      <c r="A98" s="22">
        <v>45056</v>
      </c>
      <c r="B98" s="23" t="str">
        <f>UPPER(TEXT(Tabela1[[#This Row],[DATA]],"MMM"))</f>
        <v>MAI</v>
      </c>
      <c r="C98" s="24" t="s">
        <v>40</v>
      </c>
      <c r="D98" s="31" t="s">
        <v>121</v>
      </c>
      <c r="E98" s="34">
        <v>74.61</v>
      </c>
    </row>
    <row r="99" spans="1:5" ht="27" hidden="1">
      <c r="A99" s="22">
        <v>45291</v>
      </c>
      <c r="B99" s="23" t="str">
        <f>UPPER(TEXT(Tabela1[[#This Row],[DATA]],"MMM"))</f>
        <v>DEZ</v>
      </c>
      <c r="C99" s="24" t="s">
        <v>40</v>
      </c>
      <c r="D99" s="28" t="s">
        <v>122</v>
      </c>
      <c r="E99" s="254">
        <f>111.03/3*2</f>
        <v>74.02</v>
      </c>
    </row>
    <row r="100" spans="1:5" hidden="1">
      <c r="A100" s="246">
        <v>44967</v>
      </c>
      <c r="B100" s="247" t="str">
        <f>UPPER(TEXT(Tabela1[[#This Row],[DATA]],"MMM"))</f>
        <v>FEV</v>
      </c>
      <c r="C100" s="32" t="s">
        <v>40</v>
      </c>
      <c r="D100" s="32" t="s">
        <v>123</v>
      </c>
      <c r="E100" s="33">
        <v>74</v>
      </c>
    </row>
    <row r="101" spans="1:5" hidden="1">
      <c r="A101" s="22">
        <v>44995</v>
      </c>
      <c r="B101" s="23" t="str">
        <f>UPPER(TEXT(Tabela1[[#This Row],[DATA]],"MMM"))</f>
        <v>MAR</v>
      </c>
      <c r="C101" s="24" t="s">
        <v>40</v>
      </c>
      <c r="D101" s="24" t="s">
        <v>123</v>
      </c>
      <c r="E101" s="25">
        <v>74</v>
      </c>
    </row>
    <row r="102" spans="1:5" hidden="1">
      <c r="A102" s="22">
        <v>45026</v>
      </c>
      <c r="B102" s="23" t="str">
        <f>UPPER(TEXT(Tabela1[[#This Row],[DATA]],"MMM"))</f>
        <v>ABR</v>
      </c>
      <c r="C102" s="24" t="s">
        <v>40</v>
      </c>
      <c r="D102" s="24" t="s">
        <v>123</v>
      </c>
      <c r="E102" s="25">
        <v>74</v>
      </c>
    </row>
    <row r="103" spans="1:5" hidden="1">
      <c r="A103" s="22">
        <v>45056</v>
      </c>
      <c r="B103" s="23" t="str">
        <f>UPPER(TEXT(Tabela1[[#This Row],[DATA]],"MMM"))</f>
        <v>MAI</v>
      </c>
      <c r="C103" s="24" t="s">
        <v>40</v>
      </c>
      <c r="D103" s="24" t="s">
        <v>123</v>
      </c>
      <c r="E103" s="25">
        <v>74</v>
      </c>
    </row>
    <row r="104" spans="1:5" hidden="1">
      <c r="A104" s="22">
        <v>45087</v>
      </c>
      <c r="B104" s="23" t="str">
        <f>UPPER(TEXT(Tabela1[[#This Row],[DATA]],"MMM"))</f>
        <v>JUN</v>
      </c>
      <c r="C104" s="24" t="s">
        <v>40</v>
      </c>
      <c r="D104" s="24" t="s">
        <v>123</v>
      </c>
      <c r="E104" s="25">
        <v>74</v>
      </c>
    </row>
    <row r="105" spans="1:5" hidden="1">
      <c r="A105" s="22">
        <v>45117</v>
      </c>
      <c r="B105" s="23" t="str">
        <f>UPPER(TEXT(Tabela1[[#This Row],[DATA]],"MMM"))</f>
        <v>JUL</v>
      </c>
      <c r="C105" s="24" t="s">
        <v>40</v>
      </c>
      <c r="D105" s="24" t="s">
        <v>123</v>
      </c>
      <c r="E105" s="25">
        <v>74</v>
      </c>
    </row>
    <row r="106" spans="1:5" hidden="1">
      <c r="A106" s="22">
        <v>45148</v>
      </c>
      <c r="B106" s="23" t="str">
        <f>UPPER(TEXT(Tabela1[[#This Row],[DATA]],"MMM"))</f>
        <v>AGO</v>
      </c>
      <c r="C106" s="24" t="s">
        <v>40</v>
      </c>
      <c r="D106" s="24" t="s">
        <v>123</v>
      </c>
      <c r="E106" s="25">
        <v>74</v>
      </c>
    </row>
    <row r="107" spans="1:5" hidden="1">
      <c r="A107" s="22">
        <v>45179</v>
      </c>
      <c r="B107" s="23" t="str">
        <f>UPPER(TEXT(Tabela1[[#This Row],[DATA]],"MMM"))</f>
        <v>SET</v>
      </c>
      <c r="C107" s="24" t="s">
        <v>40</v>
      </c>
      <c r="D107" s="43" t="s">
        <v>123</v>
      </c>
      <c r="E107" s="44">
        <v>74</v>
      </c>
    </row>
    <row r="108" spans="1:5" hidden="1">
      <c r="A108" s="22">
        <v>45209</v>
      </c>
      <c r="B108" s="23" t="str">
        <f>UPPER(TEXT(Tabela1[[#This Row],[DATA]],"MMM"))</f>
        <v>OUT</v>
      </c>
      <c r="C108" s="24" t="s">
        <v>40</v>
      </c>
      <c r="D108" s="43" t="s">
        <v>123</v>
      </c>
      <c r="E108" s="44">
        <v>74</v>
      </c>
    </row>
    <row r="109" spans="1:5" hidden="1">
      <c r="A109" s="22">
        <v>45240</v>
      </c>
      <c r="B109" s="23" t="str">
        <f>UPPER(TEXT(Tabela1[[#This Row],[DATA]],"MMM"))</f>
        <v>NOV</v>
      </c>
      <c r="C109" s="24" t="s">
        <v>40</v>
      </c>
      <c r="D109" s="43" t="s">
        <v>123</v>
      </c>
      <c r="E109" s="44">
        <v>74</v>
      </c>
    </row>
    <row r="110" spans="1:5" hidden="1">
      <c r="A110" s="22">
        <v>45270</v>
      </c>
      <c r="B110" s="23" t="str">
        <f>UPPER(TEXT(Tabela1[[#This Row],[DATA]],"MMM"))</f>
        <v>DEZ</v>
      </c>
      <c r="C110" s="24" t="s">
        <v>40</v>
      </c>
      <c r="D110" s="43" t="s">
        <v>123</v>
      </c>
      <c r="E110" s="44">
        <v>74</v>
      </c>
    </row>
    <row r="111" spans="1:5" hidden="1">
      <c r="A111" s="22">
        <v>45219</v>
      </c>
      <c r="B111" s="23" t="str">
        <f>UPPER(TEXT(Tabela1[[#This Row],[DATA]],"MMM"))</f>
        <v>OUT</v>
      </c>
      <c r="C111" s="24" t="s">
        <v>40</v>
      </c>
      <c r="D111" s="24" t="s">
        <v>124</v>
      </c>
      <c r="E111" s="25">
        <v>73</v>
      </c>
    </row>
    <row r="112" spans="1:5" hidden="1">
      <c r="A112" s="22">
        <v>45025</v>
      </c>
      <c r="B112" s="23" t="str">
        <f>UPPER(TEXT(Tabela1[[#This Row],[DATA]],"MMM"))</f>
        <v>ABR</v>
      </c>
      <c r="C112" s="24" t="s">
        <v>40</v>
      </c>
      <c r="D112" s="24" t="s">
        <v>125</v>
      </c>
      <c r="E112" s="25">
        <v>70</v>
      </c>
    </row>
    <row r="113" spans="1:5" hidden="1">
      <c r="A113" s="22">
        <v>45117</v>
      </c>
      <c r="B113" s="23" t="str">
        <f>UPPER(TEXT(Tabela1[[#This Row],[DATA]],"MMM"))</f>
        <v>JUL</v>
      </c>
      <c r="C113" s="24" t="s">
        <v>40</v>
      </c>
      <c r="D113" s="31" t="s">
        <v>126</v>
      </c>
      <c r="E113" s="45">
        <v>69.94</v>
      </c>
    </row>
    <row r="114" spans="1:5" hidden="1">
      <c r="A114" s="225">
        <v>45262</v>
      </c>
      <c r="B114" s="226" t="str">
        <f>UPPER(TEXT(Tabela1[[#This Row],[DATA]],"MMM"))</f>
        <v>DEZ</v>
      </c>
      <c r="C114" s="20" t="s">
        <v>40</v>
      </c>
      <c r="D114" s="20" t="s">
        <v>127</v>
      </c>
      <c r="E114" s="21">
        <f>131.92-54.64-8</f>
        <v>69.279999999999987</v>
      </c>
    </row>
    <row r="115" spans="1:5" ht="27" hidden="1">
      <c r="A115" s="225">
        <v>45179</v>
      </c>
      <c r="B115" s="226" t="str">
        <f>UPPER(TEXT(Tabela1[[#This Row],[DATA]],"MMM"))</f>
        <v>SET</v>
      </c>
      <c r="C115" s="20" t="s">
        <v>40</v>
      </c>
      <c r="D115" s="55" t="s">
        <v>109</v>
      </c>
      <c r="E115" s="56">
        <f>58.64+9.9</f>
        <v>68.540000000000006</v>
      </c>
    </row>
    <row r="116" spans="1:5">
      <c r="A116" s="22">
        <v>45149</v>
      </c>
      <c r="B116" s="23" t="str">
        <f>UPPER(TEXT(Tabela1[[#This Row],[DATA]],"MMM"))</f>
        <v>AGO</v>
      </c>
      <c r="C116" s="24" t="s">
        <v>40</v>
      </c>
      <c r="D116" s="24" t="s">
        <v>128</v>
      </c>
      <c r="E116" s="25">
        <v>67</v>
      </c>
    </row>
    <row r="117" spans="1:5" hidden="1">
      <c r="A117" s="22">
        <v>45139</v>
      </c>
      <c r="B117" s="23" t="str">
        <f>UPPER(TEXT(Tabela1[[#This Row],[DATA]],"MMM"))</f>
        <v>AGO</v>
      </c>
      <c r="C117" s="24" t="s">
        <v>38</v>
      </c>
      <c r="D117" s="24" t="s">
        <v>39</v>
      </c>
      <c r="E117" s="25">
        <v>2250</v>
      </c>
    </row>
    <row r="118" spans="1:5">
      <c r="A118" s="22">
        <v>45139</v>
      </c>
      <c r="B118" s="23" t="str">
        <f>UPPER(TEXT(Tabela1[[#This Row],[DATA]],"MMM"))</f>
        <v>AGO</v>
      </c>
      <c r="C118" s="24" t="s">
        <v>40</v>
      </c>
      <c r="D118" s="24" t="s">
        <v>129</v>
      </c>
      <c r="E118" s="25">
        <v>66.92</v>
      </c>
    </row>
    <row r="119" spans="1:5" ht="27" hidden="1">
      <c r="A119" s="22">
        <v>45257</v>
      </c>
      <c r="B119" s="23" t="str">
        <f>UPPER(TEXT(Tabela1[[#This Row],[DATA]],"MMM"))</f>
        <v>NOV</v>
      </c>
      <c r="C119" s="24" t="s">
        <v>40</v>
      </c>
      <c r="D119" s="28" t="s">
        <v>109</v>
      </c>
      <c r="E119" s="27">
        <f>16.8+3.75+11.47+11.1+5.7+9.82+5.7</f>
        <v>64.34</v>
      </c>
    </row>
    <row r="120" spans="1:5" hidden="1">
      <c r="A120" s="22">
        <v>45158</v>
      </c>
      <c r="B120" s="23" t="str">
        <f>UPPER(TEXT(Tabela1[[#This Row],[DATA]],"MMM"))</f>
        <v>AGO</v>
      </c>
      <c r="C120" s="24" t="s">
        <v>40</v>
      </c>
      <c r="D120" s="25" t="s">
        <v>130</v>
      </c>
      <c r="E120" s="25">
        <v>64.180000000000007</v>
      </c>
    </row>
    <row r="121" spans="1:5" hidden="1">
      <c r="A121" s="22">
        <v>45245</v>
      </c>
      <c r="B121" s="23" t="str">
        <f>UPPER(TEXT(Tabela1[[#This Row],[DATA]],"MMM"))</f>
        <v>NOV</v>
      </c>
      <c r="C121" s="24" t="s">
        <v>40</v>
      </c>
      <c r="D121" s="24" t="s">
        <v>131</v>
      </c>
      <c r="E121" s="25">
        <v>64</v>
      </c>
    </row>
    <row r="122" spans="1:5">
      <c r="A122" s="22">
        <v>45213</v>
      </c>
      <c r="B122" s="23" t="str">
        <f>UPPER(TEXT(Tabela1[[#This Row],[DATA]],"MMM"))</f>
        <v>OUT</v>
      </c>
      <c r="C122" s="24" t="s">
        <v>40</v>
      </c>
      <c r="D122" s="24" t="s">
        <v>132</v>
      </c>
      <c r="E122" s="25">
        <v>63.9</v>
      </c>
    </row>
    <row r="123" spans="1:5" hidden="1">
      <c r="A123" s="22">
        <v>45262</v>
      </c>
      <c r="B123" s="23" t="str">
        <f>UPPER(TEXT(Tabela1[[#This Row],[DATA]],"MMM"))</f>
        <v>DEZ</v>
      </c>
      <c r="C123" s="24" t="s">
        <v>40</v>
      </c>
      <c r="D123" s="24" t="s">
        <v>133</v>
      </c>
      <c r="E123" s="25">
        <v>63.5</v>
      </c>
    </row>
    <row r="124" spans="1:5" ht="27" hidden="1">
      <c r="A124" s="22">
        <v>45222</v>
      </c>
      <c r="B124" s="23" t="str">
        <f>UPPER(TEXT(Tabela1[[#This Row],[DATA]],"MMM"))</f>
        <v>OUT</v>
      </c>
      <c r="C124" s="24" t="s">
        <v>40</v>
      </c>
      <c r="D124" s="28" t="s">
        <v>109</v>
      </c>
      <c r="E124" s="27">
        <v>62.66</v>
      </c>
    </row>
    <row r="125" spans="1:5" hidden="1">
      <c r="A125" s="22">
        <v>45281</v>
      </c>
      <c r="B125" s="23" t="str">
        <f>UPPER(TEXT(Tabela1[[#This Row],[DATA]],"MMM"))</f>
        <v>DEZ</v>
      </c>
      <c r="C125" s="24" t="s">
        <v>40</v>
      </c>
      <c r="D125" s="24" t="s">
        <v>134</v>
      </c>
      <c r="E125" s="25">
        <v>62.42</v>
      </c>
    </row>
    <row r="126" spans="1:5" ht="27" hidden="1">
      <c r="A126" s="22">
        <v>45241</v>
      </c>
      <c r="B126" s="23" t="str">
        <f>UPPER(TEXT(Tabela1[[#This Row],[DATA]],"MMM"))</f>
        <v>NOV</v>
      </c>
      <c r="C126" s="24" t="s">
        <v>40</v>
      </c>
      <c r="D126" s="28" t="s">
        <v>135</v>
      </c>
      <c r="E126" s="27">
        <f>32+10.45+18.78</f>
        <v>61.230000000000004</v>
      </c>
    </row>
    <row r="127" spans="1:5" hidden="1">
      <c r="A127" s="225">
        <v>45140</v>
      </c>
      <c r="B127" s="226" t="str">
        <f>UPPER(TEXT(Tabela1[[#This Row],[DATA]],"MMM"))</f>
        <v>AGO</v>
      </c>
      <c r="C127" s="20" t="s">
        <v>40</v>
      </c>
      <c r="D127" s="20" t="s">
        <v>136</v>
      </c>
      <c r="E127" s="21">
        <v>61</v>
      </c>
    </row>
    <row r="128" spans="1:5" hidden="1">
      <c r="A128" s="18">
        <v>44967</v>
      </c>
      <c r="B128" s="19" t="str">
        <f>UPPER(TEXT(Tabela1[[#This Row],[DATA]],"MMM"))</f>
        <v>FEV</v>
      </c>
      <c r="C128" s="7" t="s">
        <v>40</v>
      </c>
      <c r="D128" s="30" t="s">
        <v>137</v>
      </c>
      <c r="E128" s="8">
        <v>60.93</v>
      </c>
    </row>
    <row r="129" spans="1:5" hidden="1">
      <c r="A129" s="225">
        <v>45270</v>
      </c>
      <c r="B129" s="226" t="str">
        <f>UPPER(TEXT(Tabela1[[#This Row],[DATA]],"MMM"))</f>
        <v>DEZ</v>
      </c>
      <c r="C129" s="20" t="s">
        <v>40</v>
      </c>
      <c r="D129" s="20" t="s">
        <v>138</v>
      </c>
      <c r="E129" s="21">
        <v>60.53</v>
      </c>
    </row>
    <row r="130" spans="1:5" hidden="1">
      <c r="A130" s="225">
        <v>45268</v>
      </c>
      <c r="B130" s="226" t="str">
        <f>UPPER(TEXT(Tabela1[[#This Row],[DATA]],"MMM"))</f>
        <v>DEZ</v>
      </c>
      <c r="C130" s="20" t="s">
        <v>40</v>
      </c>
      <c r="D130" s="20" t="s">
        <v>139</v>
      </c>
      <c r="E130" s="21">
        <f>20+40</f>
        <v>60</v>
      </c>
    </row>
    <row r="131" spans="1:5" hidden="1">
      <c r="A131" s="22">
        <v>45288</v>
      </c>
      <c r="B131" s="23" t="str">
        <f>UPPER(TEXT(Tabela1[[#This Row],[DATA]],"MMM"))</f>
        <v>DEZ</v>
      </c>
      <c r="C131" s="24" t="s">
        <v>40</v>
      </c>
      <c r="D131" s="24" t="s">
        <v>140</v>
      </c>
      <c r="E131" s="25">
        <v>60</v>
      </c>
    </row>
    <row r="132" spans="1:5" hidden="1">
      <c r="A132" s="22">
        <v>45254</v>
      </c>
      <c r="B132" s="23" t="str">
        <f>UPPER(TEXT(Tabela1[[#This Row],[DATA]],"MMM"))</f>
        <v>NOV</v>
      </c>
      <c r="C132" s="24" t="s">
        <v>40</v>
      </c>
      <c r="D132" s="24" t="s">
        <v>141</v>
      </c>
      <c r="E132" s="25">
        <v>59.9</v>
      </c>
    </row>
    <row r="133" spans="1:5" hidden="1">
      <c r="A133" s="22">
        <v>45148</v>
      </c>
      <c r="B133" s="23" t="str">
        <f>UPPER(TEXT(Tabela1[[#This Row],[DATA]],"MMM"))</f>
        <v>AGO</v>
      </c>
      <c r="C133" s="24" t="s">
        <v>40</v>
      </c>
      <c r="D133" s="24" t="s">
        <v>142</v>
      </c>
      <c r="E133" s="25">
        <v>58.99</v>
      </c>
    </row>
    <row r="134" spans="1:5" hidden="1">
      <c r="A134" s="225">
        <v>45179</v>
      </c>
      <c r="B134" s="226" t="str">
        <f>UPPER(TEXT(Tabela1[[#This Row],[DATA]],"MMM"))</f>
        <v>SET</v>
      </c>
      <c r="C134" s="20" t="s">
        <v>40</v>
      </c>
      <c r="D134" s="50" t="s">
        <v>142</v>
      </c>
      <c r="E134" s="51">
        <v>58.99</v>
      </c>
    </row>
    <row r="135" spans="1:5" hidden="1">
      <c r="A135" s="22">
        <v>45209</v>
      </c>
      <c r="B135" s="23" t="str">
        <f>UPPER(TEXT(Tabela1[[#This Row],[DATA]],"MMM"))</f>
        <v>OUT</v>
      </c>
      <c r="C135" s="24" t="s">
        <v>40</v>
      </c>
      <c r="D135" s="43" t="s">
        <v>142</v>
      </c>
      <c r="E135" s="44">
        <v>58.99</v>
      </c>
    </row>
    <row r="136" spans="1:5" hidden="1">
      <c r="A136" s="22">
        <v>45240</v>
      </c>
      <c r="B136" s="23" t="str">
        <f>UPPER(TEXT(Tabela1[[#This Row],[DATA]],"MMM"))</f>
        <v>NOV</v>
      </c>
      <c r="C136" s="24" t="s">
        <v>40</v>
      </c>
      <c r="D136" s="43" t="s">
        <v>142</v>
      </c>
      <c r="E136" s="44">
        <v>58.99</v>
      </c>
    </row>
    <row r="137" spans="1:5" hidden="1">
      <c r="A137" s="22">
        <v>45270</v>
      </c>
      <c r="B137" s="23" t="str">
        <f>UPPER(TEXT(Tabela1[[#This Row],[DATA]],"MMM"))</f>
        <v>DEZ</v>
      </c>
      <c r="C137" s="24" t="s">
        <v>40</v>
      </c>
      <c r="D137" s="43" t="s">
        <v>142</v>
      </c>
      <c r="E137" s="44">
        <v>58.99</v>
      </c>
    </row>
    <row r="138" spans="1:5" hidden="1">
      <c r="A138" s="22">
        <v>45056</v>
      </c>
      <c r="B138" s="23" t="str">
        <f>UPPER(TEXT(Tabela1[[#This Row],[DATA]],"MMM"))</f>
        <v>MAI</v>
      </c>
      <c r="C138" s="24" t="s">
        <v>40</v>
      </c>
      <c r="D138" s="24" t="s">
        <v>143</v>
      </c>
      <c r="E138" s="25">
        <v>57.99</v>
      </c>
    </row>
    <row r="139" spans="1:5" hidden="1">
      <c r="A139" s="22">
        <v>45087</v>
      </c>
      <c r="B139" s="23" t="str">
        <f>UPPER(TEXT(Tabela1[[#This Row],[DATA]],"MMM"))</f>
        <v>JUN</v>
      </c>
      <c r="C139" s="24" t="s">
        <v>40</v>
      </c>
      <c r="D139" s="24" t="s">
        <v>143</v>
      </c>
      <c r="E139" s="25">
        <v>57.99</v>
      </c>
    </row>
    <row r="140" spans="1:5" hidden="1">
      <c r="A140" s="22">
        <v>45117</v>
      </c>
      <c r="B140" s="23" t="str">
        <f>UPPER(TEXT(Tabela1[[#This Row],[DATA]],"MMM"))</f>
        <v>JUL</v>
      </c>
      <c r="C140" s="24" t="s">
        <v>40</v>
      </c>
      <c r="D140" s="24" t="s">
        <v>142</v>
      </c>
      <c r="E140" s="25">
        <v>57.99</v>
      </c>
    </row>
    <row r="141" spans="1:5" hidden="1">
      <c r="A141" s="22">
        <v>45170</v>
      </c>
      <c r="B141" s="23" t="str">
        <f>UPPER(TEXT(Tabela1[[#This Row],[DATA]],"MMM"))</f>
        <v>SET</v>
      </c>
      <c r="C141" s="24" t="s">
        <v>38</v>
      </c>
      <c r="D141" s="24" t="s">
        <v>39</v>
      </c>
      <c r="E141" s="25">
        <v>1936</v>
      </c>
    </row>
    <row r="142" spans="1:5" hidden="1">
      <c r="A142" s="22">
        <v>45000</v>
      </c>
      <c r="B142" s="23" t="str">
        <f>UPPER(TEXT(Tabela1[[#This Row],[DATA]],"MMM"))</f>
        <v>MAR</v>
      </c>
      <c r="C142" s="24" t="s">
        <v>40</v>
      </c>
      <c r="D142" s="29" t="s">
        <v>144</v>
      </c>
      <c r="E142" s="25">
        <v>57.1</v>
      </c>
    </row>
    <row r="143" spans="1:5" ht="27" hidden="1">
      <c r="A143" s="22">
        <v>45202</v>
      </c>
      <c r="B143" s="23" t="str">
        <f>UPPER(TEXT(Tabela1[[#This Row],[DATA]],"MMM"))</f>
        <v>OUT</v>
      </c>
      <c r="C143" s="24" t="s">
        <v>40</v>
      </c>
      <c r="D143" s="69" t="s">
        <v>145</v>
      </c>
      <c r="E143" s="68">
        <f>28+3+11+5+3+7</f>
        <v>57</v>
      </c>
    </row>
    <row r="144" spans="1:5">
      <c r="A144" s="22">
        <v>45235</v>
      </c>
      <c r="B144" s="23" t="str">
        <f>UPPER(TEXT(Tabela1[[#This Row],[DATA]],"MMM"))</f>
        <v>NOV</v>
      </c>
      <c r="C144" s="24" t="s">
        <v>40</v>
      </c>
      <c r="D144" s="24" t="s">
        <v>146</v>
      </c>
      <c r="E144" s="25">
        <f>64.74-8.4</f>
        <v>56.339999999999996</v>
      </c>
    </row>
    <row r="145" spans="1:5" hidden="1">
      <c r="A145" s="22">
        <v>44977</v>
      </c>
      <c r="B145" s="23" t="str">
        <f>UPPER(TEXT(Tabela1[[#This Row],[DATA]],"MMM"))</f>
        <v>FEV</v>
      </c>
      <c r="C145" s="24" t="s">
        <v>40</v>
      </c>
      <c r="D145" s="24" t="s">
        <v>147</v>
      </c>
      <c r="E145" s="25">
        <v>55</v>
      </c>
    </row>
    <row r="146" spans="1:5">
      <c r="A146" s="22">
        <v>45088</v>
      </c>
      <c r="B146" s="23" t="str">
        <f>UPPER(TEXT(Tabela1[[#This Row],[DATA]],"MMM"))</f>
        <v>JUN</v>
      </c>
      <c r="C146" s="24" t="s">
        <v>40</v>
      </c>
      <c r="D146" s="24" t="s">
        <v>148</v>
      </c>
      <c r="E146" s="25">
        <v>55</v>
      </c>
    </row>
    <row r="147" spans="1:5" hidden="1">
      <c r="A147" s="22">
        <v>45106</v>
      </c>
      <c r="B147" s="23" t="str">
        <f>UPPER(TEXT(Tabela1[[#This Row],[DATA]],"MMM"))</f>
        <v>JUN</v>
      </c>
      <c r="C147" s="24" t="s">
        <v>40</v>
      </c>
      <c r="D147" s="24" t="s">
        <v>149</v>
      </c>
      <c r="E147" s="25">
        <v>55</v>
      </c>
    </row>
    <row r="148" spans="1:5">
      <c r="A148" s="22">
        <v>45202</v>
      </c>
      <c r="B148" s="23" t="str">
        <f>UPPER(TEXT(Tabela1[[#This Row],[DATA]],"MMM"))</f>
        <v>OUT</v>
      </c>
      <c r="C148" s="24" t="s">
        <v>40</v>
      </c>
      <c r="D148" s="248" t="s">
        <v>150</v>
      </c>
      <c r="E148" s="253">
        <f>10+45</f>
        <v>55</v>
      </c>
    </row>
    <row r="149" spans="1:5" hidden="1">
      <c r="A149" s="22">
        <v>45096</v>
      </c>
      <c r="B149" s="23" t="str">
        <f>UPPER(TEXT(Tabela1[[#This Row],[DATA]],"MMM"))</f>
        <v>JUN</v>
      </c>
      <c r="C149" s="24" t="s">
        <v>40</v>
      </c>
      <c r="D149" s="24" t="s">
        <v>151</v>
      </c>
      <c r="E149" s="25">
        <v>54.71</v>
      </c>
    </row>
    <row r="150" spans="1:5" hidden="1">
      <c r="A150" s="22">
        <v>45081</v>
      </c>
      <c r="B150" s="23" t="str">
        <f>UPPER(TEXT(Tabela1[[#This Row],[DATA]],"MMM"))</f>
        <v>JUN</v>
      </c>
      <c r="C150" s="24" t="s">
        <v>40</v>
      </c>
      <c r="D150" s="31" t="s">
        <v>152</v>
      </c>
      <c r="E150" s="34">
        <v>54.15</v>
      </c>
    </row>
    <row r="151" spans="1:5" hidden="1">
      <c r="A151" s="22">
        <v>45282</v>
      </c>
      <c r="B151" s="23" t="str">
        <f>UPPER(TEXT(Tabela1[[#This Row],[DATA]],"MMM"))</f>
        <v>DEZ</v>
      </c>
      <c r="C151" s="24" t="s">
        <v>40</v>
      </c>
      <c r="D151" s="24" t="s">
        <v>153</v>
      </c>
      <c r="E151" s="25">
        <f>81-27</f>
        <v>54</v>
      </c>
    </row>
    <row r="152" spans="1:5" hidden="1">
      <c r="A152" s="22">
        <v>45097</v>
      </c>
      <c r="B152" s="23" t="str">
        <f>UPPER(TEXT(Tabela1[[#This Row],[DATA]],"MMM"))</f>
        <v>JUN</v>
      </c>
      <c r="C152" s="24" t="s">
        <v>40</v>
      </c>
      <c r="D152" s="24" t="s">
        <v>154</v>
      </c>
      <c r="E152" s="25">
        <v>52.64</v>
      </c>
    </row>
    <row r="153" spans="1:5" hidden="1">
      <c r="A153" s="246">
        <v>44967</v>
      </c>
      <c r="B153" s="247" t="str">
        <f>UPPER(TEXT(Tabela1[[#This Row],[DATA]],"MMM"))</f>
        <v>FEV</v>
      </c>
      <c r="C153" s="32" t="s">
        <v>40</v>
      </c>
      <c r="D153" s="32" t="s">
        <v>142</v>
      </c>
      <c r="E153" s="33">
        <v>52</v>
      </c>
    </row>
    <row r="154" spans="1:5" hidden="1">
      <c r="A154" s="22">
        <v>44995</v>
      </c>
      <c r="B154" s="23" t="str">
        <f>UPPER(TEXT(Tabela1[[#This Row],[DATA]],"MMM"))</f>
        <v>MAR</v>
      </c>
      <c r="C154" s="24" t="s">
        <v>40</v>
      </c>
      <c r="D154" s="24" t="s">
        <v>142</v>
      </c>
      <c r="E154" s="25">
        <v>51.99</v>
      </c>
    </row>
    <row r="155" spans="1:5" hidden="1">
      <c r="A155" s="22">
        <v>45026</v>
      </c>
      <c r="B155" s="23" t="str">
        <f>UPPER(TEXT(Tabela1[[#This Row],[DATA]],"MMM"))</f>
        <v>ABR</v>
      </c>
      <c r="C155" s="24" t="s">
        <v>40</v>
      </c>
      <c r="D155" s="24" t="s">
        <v>143</v>
      </c>
      <c r="E155" s="25">
        <v>51.99</v>
      </c>
    </row>
    <row r="156" spans="1:5" ht="27" hidden="1">
      <c r="A156" s="22">
        <v>45250</v>
      </c>
      <c r="B156" s="23" t="str">
        <f>UPPER(TEXT(Tabela1[[#This Row],[DATA]],"MMM"))</f>
        <v>NOV</v>
      </c>
      <c r="C156" s="24" t="s">
        <v>40</v>
      </c>
      <c r="D156" s="28" t="s">
        <v>109</v>
      </c>
      <c r="E156" s="27">
        <f>8.4+5.7+10.8+14.93+11.62</f>
        <v>51.449999999999996</v>
      </c>
    </row>
    <row r="157" spans="1:5" ht="27" hidden="1">
      <c r="A157" s="225">
        <v>45009</v>
      </c>
      <c r="B157" s="226" t="str">
        <f>UPPER(TEXT(Tabela1[[#This Row],[DATA]],"MMM"))</f>
        <v>MAR</v>
      </c>
      <c r="C157" s="20" t="s">
        <v>40</v>
      </c>
      <c r="D157" s="55" t="s">
        <v>155</v>
      </c>
      <c r="E157" s="56">
        <v>50.88</v>
      </c>
    </row>
    <row r="158" spans="1:5" hidden="1">
      <c r="A158" s="225">
        <v>45194</v>
      </c>
      <c r="B158" s="226" t="str">
        <f>UPPER(TEXT(Tabela1[[#This Row],[DATA]],"MMM"))</f>
        <v>SET</v>
      </c>
      <c r="C158" s="20" t="s">
        <v>40</v>
      </c>
      <c r="D158" s="20" t="s">
        <v>156</v>
      </c>
      <c r="E158" s="21">
        <f>38.9+11.5</f>
        <v>50.4</v>
      </c>
    </row>
    <row r="159" spans="1:5" hidden="1">
      <c r="A159" s="225">
        <v>45108</v>
      </c>
      <c r="B159" s="226" t="str">
        <f>UPPER(TEXT(Tabela1[[#This Row],[DATA]],"MMM"))</f>
        <v>JUL</v>
      </c>
      <c r="C159" s="20" t="s">
        <v>40</v>
      </c>
      <c r="D159" s="20" t="s">
        <v>157</v>
      </c>
      <c r="E159" s="21">
        <v>50</v>
      </c>
    </row>
    <row r="160" spans="1:5" hidden="1">
      <c r="A160" s="225">
        <v>45221</v>
      </c>
      <c r="B160" s="226" t="str">
        <f>UPPER(TEXT(Tabela1[[#This Row],[DATA]],"MMM"))</f>
        <v>OUT</v>
      </c>
      <c r="C160" s="20" t="s">
        <v>40</v>
      </c>
      <c r="D160" s="20" t="s">
        <v>158</v>
      </c>
      <c r="E160" s="21">
        <v>50</v>
      </c>
    </row>
    <row r="161" spans="1:9" hidden="1">
      <c r="A161" s="225">
        <v>45234</v>
      </c>
      <c r="B161" s="226" t="str">
        <f>UPPER(TEXT(Tabela1[[#This Row],[DATA]],"MMM"))</f>
        <v>NOV</v>
      </c>
      <c r="C161" s="20" t="s">
        <v>40</v>
      </c>
      <c r="D161" s="20" t="s">
        <v>159</v>
      </c>
      <c r="E161" s="21">
        <v>50</v>
      </c>
    </row>
    <row r="162" spans="1:9" ht="27">
      <c r="A162" s="22">
        <v>45222</v>
      </c>
      <c r="B162" s="23" t="str">
        <f>UPPER(TEXT(Tabela1[[#This Row],[DATA]],"MMM"))</f>
        <v>OUT</v>
      </c>
      <c r="C162" s="24" t="s">
        <v>40</v>
      </c>
      <c r="D162" s="28" t="s">
        <v>160</v>
      </c>
      <c r="E162" s="27">
        <f>7.8+10.9+12.33+18.23</f>
        <v>49.260000000000005</v>
      </c>
    </row>
    <row r="163" spans="1:9" hidden="1">
      <c r="A163" s="22">
        <v>45200</v>
      </c>
      <c r="B163" s="23" t="str">
        <f>UPPER(TEXT(Tabela1[[#This Row],[DATA]],"MMM"))</f>
        <v>OUT</v>
      </c>
      <c r="C163" s="24" t="s">
        <v>38</v>
      </c>
      <c r="D163" s="24" t="s">
        <v>39</v>
      </c>
      <c r="E163" s="25">
        <v>3206</v>
      </c>
    </row>
    <row r="164" spans="1:9" hidden="1">
      <c r="A164" s="22">
        <v>44976</v>
      </c>
      <c r="B164" s="23" t="str">
        <f>UPPER(TEXT(Tabela1[[#This Row],[DATA]],"MMM"))</f>
        <v>FEV</v>
      </c>
      <c r="C164" s="24" t="s">
        <v>40</v>
      </c>
      <c r="D164" s="24" t="s">
        <v>161</v>
      </c>
      <c r="E164" s="25">
        <v>48.17</v>
      </c>
    </row>
    <row r="165" spans="1:9">
      <c r="A165" s="225">
        <v>45151</v>
      </c>
      <c r="B165" s="226" t="str">
        <f>UPPER(TEXT(Tabela1[[#This Row],[DATA]],"MMM"))</f>
        <v>AGO</v>
      </c>
      <c r="C165" s="20" t="s">
        <v>40</v>
      </c>
      <c r="D165" s="20" t="s">
        <v>162</v>
      </c>
      <c r="E165" s="21">
        <v>47.5</v>
      </c>
    </row>
    <row r="166" spans="1:9" ht="27" hidden="1">
      <c r="A166" s="22">
        <v>45194</v>
      </c>
      <c r="B166" s="23" t="str">
        <f>UPPER(TEXT(Tabela1[[#This Row],[DATA]],"MMM"))</f>
        <v>SET</v>
      </c>
      <c r="C166" s="24" t="s">
        <v>40</v>
      </c>
      <c r="D166" s="28" t="s">
        <v>109</v>
      </c>
      <c r="E166" s="27">
        <v>46.58</v>
      </c>
    </row>
    <row r="167" spans="1:9" ht="27" hidden="1">
      <c r="A167" s="22">
        <v>45173</v>
      </c>
      <c r="B167" s="23" t="str">
        <f>UPPER(TEXT(Tabela1[[#This Row],[DATA]],"MMM"))</f>
        <v>SET</v>
      </c>
      <c r="C167" s="24" t="s">
        <v>40</v>
      </c>
      <c r="D167" s="28" t="s">
        <v>109</v>
      </c>
      <c r="E167" s="27">
        <v>46.51</v>
      </c>
      <c r="H167" s="10" t="s">
        <v>163</v>
      </c>
      <c r="I167" s="10" t="e" vm="1">
        <f>_xlfn.IMAGE("https://encrypted-tbn0.gstatic.com/images?q=tbn:ANd9GcT_2Ys7k90OT1hINDMX4NrFHc-HfucmmtJEpw&amp;usqp=CAU",10000)</f>
        <v>#VALUE!</v>
      </c>
    </row>
    <row r="168" spans="1:9" hidden="1">
      <c r="A168" s="22">
        <v>45240</v>
      </c>
      <c r="B168" s="23" t="str">
        <f>UPPER(TEXT(Tabela1[[#This Row],[DATA]],"MMM"))</f>
        <v>NOV</v>
      </c>
      <c r="C168" s="24" t="s">
        <v>40</v>
      </c>
      <c r="D168" s="31" t="s">
        <v>164</v>
      </c>
      <c r="E168" s="45">
        <f>139.02/3</f>
        <v>46.34</v>
      </c>
    </row>
    <row r="169" spans="1:9" hidden="1">
      <c r="A169" s="22">
        <v>45150</v>
      </c>
      <c r="B169" s="23" t="str">
        <f>UPPER(TEXT(Tabela1[[#This Row],[DATA]],"MMM"))</f>
        <v>AGO</v>
      </c>
      <c r="C169" s="24" t="s">
        <v>40</v>
      </c>
      <c r="D169" s="24" t="s">
        <v>109</v>
      </c>
      <c r="E169" s="25">
        <v>46.14</v>
      </c>
    </row>
    <row r="170" spans="1:9" hidden="1">
      <c r="A170" s="225">
        <v>45157</v>
      </c>
      <c r="B170" s="226" t="str">
        <f>UPPER(TEXT(Tabela1[[#This Row],[DATA]],"MMM"))</f>
        <v>AGO</v>
      </c>
      <c r="C170" s="20" t="s">
        <v>40</v>
      </c>
      <c r="D170" s="20" t="s">
        <v>165</v>
      </c>
      <c r="E170" s="21">
        <v>45.8</v>
      </c>
    </row>
    <row r="171" spans="1:9" hidden="1">
      <c r="A171" s="22">
        <v>45280</v>
      </c>
      <c r="B171" s="23" t="str">
        <f>UPPER(TEXT(Tabela1[[#This Row],[DATA]],"MMM"))</f>
        <v>DEZ</v>
      </c>
      <c r="C171" s="24" t="s">
        <v>40</v>
      </c>
      <c r="D171" s="24" t="s">
        <v>166</v>
      </c>
      <c r="E171" s="25">
        <v>45.8</v>
      </c>
    </row>
    <row r="172" spans="1:9" hidden="1">
      <c r="A172" s="22">
        <v>45027</v>
      </c>
      <c r="B172" s="23" t="str">
        <f>UPPER(TEXT(Tabela1[[#This Row],[DATA]],"MMM"))</f>
        <v>ABR</v>
      </c>
      <c r="C172" s="24" t="s">
        <v>40</v>
      </c>
      <c r="D172" s="24" t="s">
        <v>167</v>
      </c>
      <c r="E172" s="25">
        <v>45</v>
      </c>
    </row>
    <row r="173" spans="1:9" hidden="1">
      <c r="A173" s="22">
        <v>45048</v>
      </c>
      <c r="B173" s="23" t="str">
        <f>UPPER(TEXT(Tabela1[[#This Row],[DATA]],"MMM"))</f>
        <v>MAI</v>
      </c>
      <c r="C173" s="24" t="s">
        <v>40</v>
      </c>
      <c r="D173" s="24" t="s">
        <v>168</v>
      </c>
      <c r="E173" s="25">
        <v>45</v>
      </c>
    </row>
    <row r="174" spans="1:9" hidden="1">
      <c r="A174" s="22">
        <v>45154</v>
      </c>
      <c r="B174" s="23" t="str">
        <f>UPPER(TEXT(Tabela1[[#This Row],[DATA]],"MMM"))</f>
        <v>AGO</v>
      </c>
      <c r="C174" s="24" t="s">
        <v>40</v>
      </c>
      <c r="D174" s="43" t="s">
        <v>168</v>
      </c>
      <c r="E174" s="44">
        <v>45</v>
      </c>
    </row>
    <row r="175" spans="1:9" ht="27" hidden="1">
      <c r="A175" s="22">
        <v>45173</v>
      </c>
      <c r="B175" s="23" t="str">
        <f>UPPER(TEXT(Tabela1[[#This Row],[DATA]],"MMM"))</f>
        <v>SET</v>
      </c>
      <c r="C175" s="24" t="s">
        <v>40</v>
      </c>
      <c r="D175" s="28" t="s">
        <v>168</v>
      </c>
      <c r="E175" s="27">
        <v>45</v>
      </c>
    </row>
    <row r="176" spans="1:9" hidden="1">
      <c r="A176" s="22">
        <v>45261</v>
      </c>
      <c r="B176" s="23" t="str">
        <f>UPPER(TEXT(Tabela1[[#This Row],[DATA]],"MMM"))</f>
        <v>DEZ</v>
      </c>
      <c r="C176" s="24" t="s">
        <v>40</v>
      </c>
      <c r="D176" s="57" t="s">
        <v>169</v>
      </c>
      <c r="E176" s="58">
        <v>45</v>
      </c>
    </row>
    <row r="177" spans="1:5" hidden="1">
      <c r="A177" s="22">
        <v>45287</v>
      </c>
      <c r="B177" s="23" t="str">
        <f>UPPER(TEXT(Tabela1[[#This Row],[DATA]],"MMM"))</f>
        <v>DEZ</v>
      </c>
      <c r="C177" s="24" t="s">
        <v>40</v>
      </c>
      <c r="D177" s="24" t="s">
        <v>170</v>
      </c>
      <c r="E177" s="25">
        <v>45</v>
      </c>
    </row>
    <row r="178" spans="1:5" hidden="1">
      <c r="A178" s="22">
        <v>45283</v>
      </c>
      <c r="B178" s="23" t="str">
        <f>UPPER(TEXT(Tabela1[[#This Row],[DATA]],"MMM"))</f>
        <v>DEZ</v>
      </c>
      <c r="C178" s="24" t="s">
        <v>40</v>
      </c>
      <c r="D178" s="24" t="s">
        <v>171</v>
      </c>
      <c r="E178" s="25">
        <f>89.9/2</f>
        <v>44.95</v>
      </c>
    </row>
    <row r="179" spans="1:5" hidden="1">
      <c r="A179" s="22">
        <v>45289</v>
      </c>
      <c r="B179" s="23" t="str">
        <f>UPPER(TEXT(Tabela1[[#This Row],[DATA]],"MMM"))</f>
        <v>DEZ</v>
      </c>
      <c r="C179" s="24" t="s">
        <v>40</v>
      </c>
      <c r="D179" s="24" t="s">
        <v>172</v>
      </c>
      <c r="E179" s="25">
        <v>44</v>
      </c>
    </row>
    <row r="180" spans="1:5" ht="27" hidden="1">
      <c r="A180" s="22">
        <v>45263</v>
      </c>
      <c r="B180" s="23" t="str">
        <f>UPPER(TEXT(Tabela1[[#This Row],[DATA]],"MMM"))</f>
        <v>DEZ</v>
      </c>
      <c r="C180" s="24" t="s">
        <v>40</v>
      </c>
      <c r="D180" s="28" t="s">
        <v>109</v>
      </c>
      <c r="E180" s="27">
        <f>5.5+19.04+18.46</f>
        <v>43</v>
      </c>
    </row>
    <row r="181" spans="1:5" hidden="1">
      <c r="A181" s="22">
        <v>45202</v>
      </c>
      <c r="B181" s="23" t="str">
        <f>UPPER(TEXT(Tabela1[[#This Row],[DATA]],"MMM"))</f>
        <v>OUT</v>
      </c>
      <c r="C181" s="24" t="s">
        <v>40</v>
      </c>
      <c r="D181" s="24" t="s">
        <v>173</v>
      </c>
      <c r="E181" s="25">
        <v>42.8</v>
      </c>
    </row>
    <row r="182" spans="1:5" hidden="1">
      <c r="A182" s="22">
        <v>45270</v>
      </c>
      <c r="B182" s="23" t="str">
        <f>UPPER(TEXT(Tabela1[[#This Row],[DATA]],"MMM"))</f>
        <v>DEZ</v>
      </c>
      <c r="C182" s="24" t="s">
        <v>40</v>
      </c>
      <c r="D182" s="31" t="s">
        <v>174</v>
      </c>
      <c r="E182" s="45">
        <f>127.76/3</f>
        <v>42.586666666666666</v>
      </c>
    </row>
    <row r="183" spans="1:5" hidden="1">
      <c r="A183" s="225">
        <v>45205</v>
      </c>
      <c r="B183" s="226" t="str">
        <f>UPPER(TEXT(Tabela1[[#This Row],[DATA]],"MMM"))</f>
        <v>OUT</v>
      </c>
      <c r="C183" s="20" t="s">
        <v>40</v>
      </c>
      <c r="D183" s="20" t="s">
        <v>175</v>
      </c>
      <c r="E183" s="21">
        <v>42.19</v>
      </c>
    </row>
    <row r="184" spans="1:5" hidden="1">
      <c r="A184" s="22">
        <v>45093</v>
      </c>
      <c r="B184" s="23" t="str">
        <f>UPPER(TEXT(Tabela1[[#This Row],[DATA]],"MMM"))</f>
        <v>JUN</v>
      </c>
      <c r="C184" s="24" t="s">
        <v>40</v>
      </c>
      <c r="D184" s="24" t="s">
        <v>175</v>
      </c>
      <c r="E184" s="25">
        <v>42</v>
      </c>
    </row>
    <row r="185" spans="1:5" ht="27" hidden="1">
      <c r="A185" s="225">
        <v>45231</v>
      </c>
      <c r="B185" s="226" t="str">
        <f>UPPER(TEXT(Tabela1[[#This Row],[DATA]],"MMM"))</f>
        <v>NOV</v>
      </c>
      <c r="C185" s="20" t="s">
        <v>40</v>
      </c>
      <c r="D185" s="252" t="s">
        <v>176</v>
      </c>
      <c r="E185" s="256">
        <f>17+6.49+6+11.98</f>
        <v>41.47</v>
      </c>
    </row>
    <row r="186" spans="1:5" hidden="1">
      <c r="A186" s="22">
        <v>45284</v>
      </c>
      <c r="B186" s="23" t="str">
        <f>UPPER(TEXT(Tabela1[[#This Row],[DATA]],"MMM"))</f>
        <v>DEZ</v>
      </c>
      <c r="C186" s="24" t="s">
        <v>40</v>
      </c>
      <c r="D186" s="24" t="s">
        <v>177</v>
      </c>
      <c r="E186" s="25">
        <f>82.06/2</f>
        <v>41.03</v>
      </c>
    </row>
    <row r="187" spans="1:5" hidden="1">
      <c r="A187" s="22">
        <v>45291</v>
      </c>
      <c r="B187" s="23" t="str">
        <f>UPPER(TEXT(Tabela1[[#This Row],[DATA]],"MMM"))</f>
        <v>DEZ</v>
      </c>
      <c r="C187" s="24" t="s">
        <v>40</v>
      </c>
      <c r="D187" s="24" t="s">
        <v>178</v>
      </c>
      <c r="E187" s="25">
        <f>26+15</f>
        <v>41</v>
      </c>
    </row>
    <row r="188" spans="1:5" hidden="1">
      <c r="A188" s="225">
        <v>45187</v>
      </c>
      <c r="B188" s="226" t="str">
        <f>UPPER(TEXT(Tabela1[[#This Row],[DATA]],"MMM"))</f>
        <v>SET</v>
      </c>
      <c r="C188" s="20" t="s">
        <v>40</v>
      </c>
      <c r="D188" s="20" t="s">
        <v>179</v>
      </c>
      <c r="E188" s="21">
        <v>40.75</v>
      </c>
    </row>
    <row r="189" spans="1:5" hidden="1">
      <c r="A189" s="22">
        <v>45209</v>
      </c>
      <c r="B189" s="23" t="str">
        <f>UPPER(TEXT(Tabela1[[#This Row],[DATA]],"MMM"))</f>
        <v>OUT</v>
      </c>
      <c r="C189" s="24" t="s">
        <v>40</v>
      </c>
      <c r="D189" s="31" t="s">
        <v>180</v>
      </c>
      <c r="E189" s="45">
        <v>40.74</v>
      </c>
    </row>
    <row r="190" spans="1:5" hidden="1">
      <c r="A190" s="22">
        <v>45043</v>
      </c>
      <c r="B190" s="23" t="str">
        <f>UPPER(TEXT(Tabela1[[#This Row],[DATA]],"MMM"))</f>
        <v>ABR</v>
      </c>
      <c r="C190" s="24" t="s">
        <v>40</v>
      </c>
      <c r="D190" s="24" t="s">
        <v>181</v>
      </c>
      <c r="E190" s="25">
        <v>40</v>
      </c>
    </row>
    <row r="191" spans="1:5" hidden="1">
      <c r="A191" s="22">
        <v>45047</v>
      </c>
      <c r="B191" s="23" t="str">
        <f>UPPER(TEXT(Tabela1[[#This Row],[DATA]],"MMM"))</f>
        <v>MAI</v>
      </c>
      <c r="C191" s="24" t="s">
        <v>40</v>
      </c>
      <c r="D191" s="35" t="s">
        <v>182</v>
      </c>
      <c r="E191" s="36">
        <v>40</v>
      </c>
    </row>
    <row r="192" spans="1:5" hidden="1">
      <c r="A192" s="22">
        <v>45072</v>
      </c>
      <c r="B192" s="23" t="str">
        <f>UPPER(TEXT(Tabela1[[#This Row],[DATA]],"MMM"))</f>
        <v>MAI</v>
      </c>
      <c r="C192" s="24" t="s">
        <v>40</v>
      </c>
      <c r="D192" s="35" t="s">
        <v>149</v>
      </c>
      <c r="E192" s="36">
        <v>40</v>
      </c>
    </row>
    <row r="193" spans="1:5" hidden="1">
      <c r="A193" s="22">
        <v>45047</v>
      </c>
      <c r="B193" s="23" t="str">
        <f>UPPER(TEXT(Tabela1[[#This Row],[DATA]],"MMM"))</f>
        <v>MAI</v>
      </c>
      <c r="C193" s="24" t="s">
        <v>40</v>
      </c>
      <c r="D193" s="24" t="s">
        <v>183</v>
      </c>
      <c r="E193" s="25">
        <v>39.9</v>
      </c>
    </row>
    <row r="194" spans="1:5" ht="27" hidden="1">
      <c r="A194" s="22">
        <v>45196</v>
      </c>
      <c r="B194" s="23" t="str">
        <f>UPPER(TEXT(Tabela1[[#This Row],[DATA]],"MMM"))</f>
        <v>SET</v>
      </c>
      <c r="C194" s="24" t="s">
        <v>40</v>
      </c>
      <c r="D194" s="28" t="s">
        <v>184</v>
      </c>
      <c r="E194" s="27">
        <f>33.1+6.3</f>
        <v>39.4</v>
      </c>
    </row>
    <row r="195" spans="1:5" hidden="1">
      <c r="A195" s="22">
        <v>44995</v>
      </c>
      <c r="B195" s="23" t="str">
        <f>UPPER(TEXT(Tabela1[[#This Row],[DATA]],"MMM"))</f>
        <v>MAR</v>
      </c>
      <c r="C195" s="24" t="s">
        <v>40</v>
      </c>
      <c r="D195" s="24" t="s">
        <v>185</v>
      </c>
      <c r="E195" s="25">
        <v>39.19</v>
      </c>
    </row>
    <row r="196" spans="1:5" hidden="1">
      <c r="A196" s="22">
        <v>45018</v>
      </c>
      <c r="B196" s="23" t="str">
        <f>UPPER(TEXT(Tabela1[[#This Row],[DATA]],"MMM"))</f>
        <v>ABR</v>
      </c>
      <c r="C196" s="24" t="s">
        <v>40</v>
      </c>
      <c r="D196" s="24" t="s">
        <v>185</v>
      </c>
      <c r="E196" s="25">
        <v>39.19</v>
      </c>
    </row>
    <row r="197" spans="1:5" hidden="1">
      <c r="A197" s="22">
        <v>45031</v>
      </c>
      <c r="B197" s="23" t="str">
        <f>UPPER(TEXT(Tabela1[[#This Row],[DATA]],"MMM"))</f>
        <v>ABR</v>
      </c>
      <c r="C197" s="24" t="s">
        <v>40</v>
      </c>
      <c r="D197" s="24" t="s">
        <v>186</v>
      </c>
      <c r="E197" s="25">
        <v>38.78</v>
      </c>
    </row>
    <row r="198" spans="1:5" hidden="1">
      <c r="A198" s="22">
        <v>45179</v>
      </c>
      <c r="B198" s="23" t="str">
        <f>UPPER(TEXT(Tabela1[[#This Row],[DATA]],"MMM"))</f>
        <v>SET</v>
      </c>
      <c r="C198" s="24" t="s">
        <v>40</v>
      </c>
      <c r="D198" s="31" t="s">
        <v>187</v>
      </c>
      <c r="E198" s="45">
        <f>113.04/3</f>
        <v>37.68</v>
      </c>
    </row>
    <row r="199" spans="1:5" hidden="1">
      <c r="A199" s="22">
        <v>45067</v>
      </c>
      <c r="B199" s="23" t="str">
        <f>UPPER(TEXT(Tabela1[[#This Row],[DATA]],"MMM"))</f>
        <v>MAI</v>
      </c>
      <c r="C199" s="24" t="s">
        <v>40</v>
      </c>
      <c r="D199" s="24" t="s">
        <v>188</v>
      </c>
      <c r="E199" s="25">
        <v>37.35</v>
      </c>
    </row>
    <row r="200" spans="1:5">
      <c r="A200" s="22">
        <v>45091</v>
      </c>
      <c r="B200" s="23" t="str">
        <f>UPPER(TEXT(Tabela1[[#This Row],[DATA]],"MMM"))</f>
        <v>JUN</v>
      </c>
      <c r="C200" s="24" t="s">
        <v>40</v>
      </c>
      <c r="D200" s="24" t="s">
        <v>189</v>
      </c>
      <c r="E200" s="25">
        <v>37</v>
      </c>
    </row>
    <row r="201" spans="1:5" hidden="1">
      <c r="A201" s="22">
        <v>45231</v>
      </c>
      <c r="B201" s="23" t="str">
        <f>UPPER(TEXT(Tabela1[[#This Row],[DATA]],"MMM"))</f>
        <v>NOV</v>
      </c>
      <c r="C201" s="24" t="s">
        <v>38</v>
      </c>
      <c r="D201" s="24" t="s">
        <v>39</v>
      </c>
      <c r="E201" s="25">
        <v>2436</v>
      </c>
    </row>
    <row r="202" spans="1:5" ht="27" hidden="1">
      <c r="A202" s="225">
        <v>45269</v>
      </c>
      <c r="B202" s="226" t="str">
        <f>UPPER(TEXT(Tabela1[[#This Row],[DATA]],"MMM"))</f>
        <v>DEZ</v>
      </c>
      <c r="C202" s="20" t="s">
        <v>40</v>
      </c>
      <c r="D202" s="55" t="s">
        <v>190</v>
      </c>
      <c r="E202" s="56">
        <f>22.56+14.06</f>
        <v>36.619999999999997</v>
      </c>
    </row>
    <row r="203" spans="1:5" ht="27" hidden="1">
      <c r="A203" s="225">
        <v>45201</v>
      </c>
      <c r="B203" s="226" t="str">
        <f>UPPER(TEXT(Tabela1[[#This Row],[DATA]],"MMM"))</f>
        <v>OUT</v>
      </c>
      <c r="C203" s="20" t="s">
        <v>40</v>
      </c>
      <c r="D203" s="28" t="s">
        <v>109</v>
      </c>
      <c r="E203" s="27">
        <v>36.53</v>
      </c>
    </row>
    <row r="204" spans="1:5" ht="27" hidden="1">
      <c r="A204" s="225">
        <v>45268</v>
      </c>
      <c r="B204" s="226" t="str">
        <f>UPPER(TEXT(Tabela1[[#This Row],[DATA]],"MMM"))</f>
        <v>DEZ</v>
      </c>
      <c r="C204" s="20" t="s">
        <v>40</v>
      </c>
      <c r="D204" s="28" t="s">
        <v>191</v>
      </c>
      <c r="E204" s="27">
        <f>30.76/2+42.19/2</f>
        <v>36.475000000000001</v>
      </c>
    </row>
    <row r="205" spans="1:5" ht="27" hidden="1">
      <c r="A205" s="225">
        <v>45280</v>
      </c>
      <c r="B205" s="226" t="str">
        <f>UPPER(TEXT(Tabela1[[#This Row],[DATA]],"MMM"))</f>
        <v>DEZ</v>
      </c>
      <c r="C205" s="20" t="s">
        <v>40</v>
      </c>
      <c r="D205" s="28" t="s">
        <v>192</v>
      </c>
      <c r="E205" s="27">
        <f>16.82+19.16</f>
        <v>35.980000000000004</v>
      </c>
    </row>
    <row r="206" spans="1:5" hidden="1">
      <c r="A206" s="225">
        <v>44961</v>
      </c>
      <c r="B206" s="226" t="str">
        <f>UPPER(TEXT(Tabela1[[#This Row],[DATA]],"MMM"))</f>
        <v>FEV</v>
      </c>
      <c r="C206" s="20" t="s">
        <v>40</v>
      </c>
      <c r="D206" s="20" t="s">
        <v>149</v>
      </c>
      <c r="E206" s="21">
        <v>35</v>
      </c>
    </row>
    <row r="207" spans="1:5" hidden="1">
      <c r="A207" s="225">
        <v>44996</v>
      </c>
      <c r="B207" s="226" t="str">
        <f>UPPER(TEXT(Tabela1[[#This Row],[DATA]],"MMM"))</f>
        <v>MAR</v>
      </c>
      <c r="C207" s="20" t="s">
        <v>40</v>
      </c>
      <c r="D207" s="20" t="s">
        <v>193</v>
      </c>
      <c r="E207" s="21">
        <v>35</v>
      </c>
    </row>
    <row r="208" spans="1:5" hidden="1">
      <c r="A208" s="225">
        <v>45132</v>
      </c>
      <c r="B208" s="226" t="str">
        <f>UPPER(TEXT(Tabela1[[#This Row],[DATA]],"MMM"))</f>
        <v>JUL</v>
      </c>
      <c r="C208" s="20" t="s">
        <v>40</v>
      </c>
      <c r="D208" s="43" t="s">
        <v>168</v>
      </c>
      <c r="E208" s="44">
        <v>35</v>
      </c>
    </row>
    <row r="209" spans="1:5" ht="27" hidden="1">
      <c r="A209" s="225">
        <v>45189</v>
      </c>
      <c r="B209" s="226" t="str">
        <f>UPPER(TEXT(Tabela1[[#This Row],[DATA]],"MMM"))</f>
        <v>SET</v>
      </c>
      <c r="C209" s="20" t="s">
        <v>40</v>
      </c>
      <c r="D209" s="55" t="s">
        <v>168</v>
      </c>
      <c r="E209" s="56">
        <v>35</v>
      </c>
    </row>
    <row r="210" spans="1:5" hidden="1">
      <c r="A210" s="22">
        <v>45214</v>
      </c>
      <c r="B210" s="23" t="str">
        <f>UPPER(TEXT(Tabela1[[#This Row],[DATA]],"MMM"))</f>
        <v>OUT</v>
      </c>
      <c r="C210" s="24" t="s">
        <v>40</v>
      </c>
      <c r="D210" s="24" t="s">
        <v>194</v>
      </c>
      <c r="E210" s="25">
        <v>35</v>
      </c>
    </row>
    <row r="211" spans="1:5" hidden="1">
      <c r="A211" s="22">
        <v>45231</v>
      </c>
      <c r="B211" s="23" t="str">
        <f>UPPER(TEXT(Tabela1[[#This Row],[DATA]],"MMM"))</f>
        <v>NOV</v>
      </c>
      <c r="C211" s="24" t="s">
        <v>40</v>
      </c>
      <c r="D211" s="248" t="s">
        <v>195</v>
      </c>
      <c r="E211" s="253">
        <v>35</v>
      </c>
    </row>
    <row r="212" spans="1:5" hidden="1">
      <c r="A212" s="22">
        <v>45266</v>
      </c>
      <c r="B212" s="23" t="str">
        <f>UPPER(TEXT(Tabela1[[#This Row],[DATA]],"MMM"))</f>
        <v>DEZ</v>
      </c>
      <c r="C212" s="24" t="s">
        <v>40</v>
      </c>
      <c r="D212" s="24" t="s">
        <v>196</v>
      </c>
      <c r="E212" s="25">
        <v>35</v>
      </c>
    </row>
    <row r="213" spans="1:5">
      <c r="A213" s="225">
        <v>45084</v>
      </c>
      <c r="B213" s="226" t="str">
        <f>UPPER(TEXT(Tabela1[[#This Row],[DATA]],"MMM"))</f>
        <v>JUN</v>
      </c>
      <c r="C213" s="20" t="s">
        <v>40</v>
      </c>
      <c r="D213" s="20" t="s">
        <v>197</v>
      </c>
      <c r="E213" s="21">
        <v>34.880000000000003</v>
      </c>
    </row>
    <row r="214" spans="1:5" ht="27">
      <c r="A214" s="22">
        <v>45115</v>
      </c>
      <c r="B214" s="23" t="str">
        <f>UPPER(TEXT(Tabela1[[#This Row],[DATA]],"MMM"))</f>
        <v>JUL</v>
      </c>
      <c r="C214" s="24" t="s">
        <v>40</v>
      </c>
      <c r="D214" s="28" t="s">
        <v>198</v>
      </c>
      <c r="E214" s="27">
        <v>34.85</v>
      </c>
    </row>
    <row r="215" spans="1:5" hidden="1">
      <c r="A215" s="225">
        <v>45271</v>
      </c>
      <c r="B215" s="226" t="str">
        <f>UPPER(TEXT(Tabela1[[#This Row],[DATA]],"MMM"))</f>
        <v>DEZ</v>
      </c>
      <c r="C215" s="20" t="s">
        <v>40</v>
      </c>
      <c r="D215" s="20" t="s">
        <v>199</v>
      </c>
      <c r="E215" s="21">
        <f>74.7-40</f>
        <v>34.700000000000003</v>
      </c>
    </row>
    <row r="216" spans="1:5" ht="27" hidden="1">
      <c r="A216" s="225">
        <v>45275</v>
      </c>
      <c r="B216" s="226" t="str">
        <f>UPPER(TEXT(Tabela1[[#This Row],[DATA]],"MMM"))</f>
        <v>DEZ</v>
      </c>
      <c r="C216" s="20" t="s">
        <v>40</v>
      </c>
      <c r="D216" s="55" t="s">
        <v>200</v>
      </c>
      <c r="E216" s="56">
        <v>33.33</v>
      </c>
    </row>
    <row r="217" spans="1:5" hidden="1">
      <c r="A217" s="225">
        <v>45276</v>
      </c>
      <c r="B217" s="226" t="str">
        <f>UPPER(TEXT(Tabela1[[#This Row],[DATA]],"MMM"))</f>
        <v>DEZ</v>
      </c>
      <c r="C217" s="20" t="s">
        <v>40</v>
      </c>
      <c r="D217" s="20" t="s">
        <v>201</v>
      </c>
      <c r="E217" s="21">
        <f>49.9/3*2</f>
        <v>33.266666666666666</v>
      </c>
    </row>
    <row r="218" spans="1:5" ht="27" hidden="1">
      <c r="A218" s="225">
        <v>45229</v>
      </c>
      <c r="B218" s="226" t="str">
        <f>UPPER(TEXT(Tabela1[[#This Row],[DATA]],"MMM"))</f>
        <v>OUT</v>
      </c>
      <c r="C218" s="20" t="s">
        <v>40</v>
      </c>
      <c r="D218" s="55" t="s">
        <v>109</v>
      </c>
      <c r="E218" s="56">
        <v>32.74</v>
      </c>
    </row>
    <row r="219" spans="1:5" ht="27" hidden="1">
      <c r="A219" s="225">
        <v>45280</v>
      </c>
      <c r="B219" s="226" t="str">
        <f>UPPER(TEXT(Tabela1[[#This Row],[DATA]],"MMM"))</f>
        <v>DEZ</v>
      </c>
      <c r="C219" s="20" t="s">
        <v>40</v>
      </c>
      <c r="D219" s="55" t="s">
        <v>202</v>
      </c>
      <c r="E219" s="56">
        <f>6.8+25</f>
        <v>31.8</v>
      </c>
    </row>
    <row r="220" spans="1:5" ht="27">
      <c r="A220" s="225">
        <v>45214</v>
      </c>
      <c r="B220" s="226" t="str">
        <f>UPPER(TEXT(Tabela1[[#This Row],[DATA]],"MMM"))</f>
        <v>OUT</v>
      </c>
      <c r="C220" s="20" t="s">
        <v>40</v>
      </c>
      <c r="D220" s="55" t="s">
        <v>203</v>
      </c>
      <c r="E220" s="56">
        <f>11.8+6.21+12.21</f>
        <v>30.220000000000002</v>
      </c>
    </row>
    <row r="221" spans="1:5">
      <c r="A221" s="225">
        <v>45094</v>
      </c>
      <c r="B221" s="226" t="str">
        <f>UPPER(TEXT(Tabela1[[#This Row],[DATA]],"MMM"))</f>
        <v>JUN</v>
      </c>
      <c r="C221" s="20" t="s">
        <v>40</v>
      </c>
      <c r="D221" s="20" t="s">
        <v>204</v>
      </c>
      <c r="E221" s="21">
        <v>29.85</v>
      </c>
    </row>
    <row r="222" spans="1:5">
      <c r="A222" s="225">
        <v>45139</v>
      </c>
      <c r="B222" s="226" t="str">
        <f>UPPER(TEXT(Tabela1[[#This Row],[DATA]],"MMM"))</f>
        <v>AGO</v>
      </c>
      <c r="C222" s="20" t="s">
        <v>40</v>
      </c>
      <c r="D222" s="20" t="s">
        <v>205</v>
      </c>
      <c r="E222" s="21">
        <v>29.58</v>
      </c>
    </row>
    <row r="223" spans="1:5" ht="27" hidden="1">
      <c r="A223" s="225">
        <v>45158</v>
      </c>
      <c r="B223" s="226" t="str">
        <f>UPPER(TEXT(Tabela1[[#This Row],[DATA]],"MMM"))</f>
        <v>AGO</v>
      </c>
      <c r="C223" s="20" t="s">
        <v>40</v>
      </c>
      <c r="D223" s="55" t="s">
        <v>206</v>
      </c>
      <c r="E223" s="56">
        <f>SUM(23.61+5.3)</f>
        <v>28.91</v>
      </c>
    </row>
    <row r="224" spans="1:5" hidden="1">
      <c r="A224" s="22">
        <v>45078</v>
      </c>
      <c r="B224" s="23" t="str">
        <f>UPPER(TEXT(Tabela1[[#This Row],[DATA]],"MMM"))</f>
        <v>JUN</v>
      </c>
      <c r="C224" s="24" t="s">
        <v>40</v>
      </c>
      <c r="D224" s="24" t="s">
        <v>207</v>
      </c>
      <c r="E224" s="25">
        <v>28.9</v>
      </c>
    </row>
    <row r="225" spans="1:6" ht="27" hidden="1">
      <c r="A225" s="225">
        <v>45276</v>
      </c>
      <c r="B225" s="226" t="str">
        <f>UPPER(TEXT(Tabela1[[#This Row],[DATA]],"MMM"))</f>
        <v>DEZ</v>
      </c>
      <c r="C225" s="20" t="s">
        <v>40</v>
      </c>
      <c r="D225" s="55" t="s">
        <v>208</v>
      </c>
      <c r="E225" s="56">
        <f>43.21/3*2</f>
        <v>28.806666666666668</v>
      </c>
      <c r="F225" s="10" t="e" vm="2">
        <f>_xlfn.IMAGE(G244)</f>
        <v>#VALUE!</v>
      </c>
    </row>
    <row r="226" spans="1:6" ht="27" hidden="1">
      <c r="A226" s="22">
        <v>45243</v>
      </c>
      <c r="B226" s="23" t="str">
        <f>UPPER(TEXT(Tabela1[[#This Row],[DATA]],"MMM"))</f>
        <v>NOV</v>
      </c>
      <c r="C226" s="24" t="s">
        <v>40</v>
      </c>
      <c r="D226" s="28" t="s">
        <v>209</v>
      </c>
      <c r="E226" s="27">
        <f>12.5+16.15</f>
        <v>28.65</v>
      </c>
    </row>
    <row r="227" spans="1:6" ht="27" hidden="1">
      <c r="A227" s="225">
        <v>45189</v>
      </c>
      <c r="B227" s="226" t="str">
        <f>UPPER(TEXT(Tabela1[[#This Row],[DATA]],"MMM"))</f>
        <v>SET</v>
      </c>
      <c r="C227" s="20" t="s">
        <v>40</v>
      </c>
      <c r="D227" s="55" t="s">
        <v>210</v>
      </c>
      <c r="E227" s="56">
        <f>20.5+8.1</f>
        <v>28.6</v>
      </c>
    </row>
    <row r="228" spans="1:6" hidden="1">
      <c r="A228" s="22">
        <v>45251</v>
      </c>
      <c r="B228" s="23" t="str">
        <f>UPPER(TEXT(Tabela1[[#This Row],[DATA]],"MMM"))</f>
        <v>NOV</v>
      </c>
      <c r="C228" s="24" t="s">
        <v>38</v>
      </c>
      <c r="D228" s="86" t="s">
        <v>211</v>
      </c>
      <c r="E228" s="87">
        <v>1215</v>
      </c>
    </row>
    <row r="229" spans="1:6" hidden="1">
      <c r="A229" s="225">
        <v>45277</v>
      </c>
      <c r="B229" s="226" t="str">
        <f>UPPER(TEXT(Tabela1[[#This Row],[DATA]],"MMM"))</f>
        <v>DEZ</v>
      </c>
      <c r="C229" s="20" t="s">
        <v>40</v>
      </c>
      <c r="D229" s="20" t="s">
        <v>212</v>
      </c>
      <c r="E229" s="21">
        <v>27.85</v>
      </c>
    </row>
    <row r="230" spans="1:6" hidden="1">
      <c r="A230" s="22">
        <v>45094</v>
      </c>
      <c r="B230" s="23" t="str">
        <f>UPPER(TEXT(Tabela1[[#This Row],[DATA]],"MMM"))</f>
        <v>JUN</v>
      </c>
      <c r="C230" s="24" t="s">
        <v>40</v>
      </c>
      <c r="D230" s="24" t="s">
        <v>213</v>
      </c>
      <c r="E230" s="25">
        <v>27.5</v>
      </c>
    </row>
    <row r="231" spans="1:6" hidden="1">
      <c r="A231" s="22">
        <v>45261</v>
      </c>
      <c r="B231" s="23" t="str">
        <f>UPPER(TEXT(Tabela1[[#This Row],[DATA]],"MMM"))</f>
        <v>DEZ</v>
      </c>
      <c r="C231" s="24" t="s">
        <v>38</v>
      </c>
      <c r="D231" s="24" t="s">
        <v>39</v>
      </c>
      <c r="E231" s="25">
        <v>2559</v>
      </c>
    </row>
    <row r="232" spans="1:6" hidden="1">
      <c r="A232" s="225">
        <v>45206</v>
      </c>
      <c r="B232" s="226" t="str">
        <f>UPPER(TEXT(Tabela1[[#This Row],[DATA]],"MMM"))</f>
        <v>OUT</v>
      </c>
      <c r="C232" s="20" t="s">
        <v>40</v>
      </c>
      <c r="D232" s="20" t="s">
        <v>214</v>
      </c>
      <c r="E232" s="21">
        <v>27.5</v>
      </c>
    </row>
    <row r="233" spans="1:6" ht="27">
      <c r="A233" s="225">
        <v>45213</v>
      </c>
      <c r="B233" s="226" t="str">
        <f>UPPER(TEXT(Tabela1[[#This Row],[DATA]],"MMM"))</f>
        <v>OUT</v>
      </c>
      <c r="C233" s="20" t="s">
        <v>40</v>
      </c>
      <c r="D233" s="28" t="s">
        <v>215</v>
      </c>
      <c r="E233" s="27">
        <f>28.64+18.47+13.1-33</f>
        <v>27.21</v>
      </c>
    </row>
    <row r="234" spans="1:6" ht="27" hidden="1">
      <c r="A234" s="225">
        <v>45245</v>
      </c>
      <c r="B234" s="226" t="str">
        <f>UPPER(TEXT(Tabela1[[#This Row],[DATA]],"MMM"))</f>
        <v>NOV</v>
      </c>
      <c r="C234" s="20" t="s">
        <v>40</v>
      </c>
      <c r="D234" s="28" t="s">
        <v>216</v>
      </c>
      <c r="E234" s="27">
        <f>9.36+16.91</f>
        <v>26.27</v>
      </c>
    </row>
    <row r="235" spans="1:6">
      <c r="A235" s="225">
        <v>45242</v>
      </c>
      <c r="B235" s="226" t="str">
        <f>UPPER(TEXT(Tabela1[[#This Row],[DATA]],"MMM"))</f>
        <v>NOV</v>
      </c>
      <c r="C235" s="20" t="s">
        <v>40</v>
      </c>
      <c r="D235" s="24" t="s">
        <v>217</v>
      </c>
      <c r="E235" s="25">
        <v>26.08</v>
      </c>
    </row>
    <row r="236" spans="1:6" hidden="1">
      <c r="A236" s="225">
        <v>45164</v>
      </c>
      <c r="B236" s="226" t="str">
        <f>UPPER(TEXT(Tabela1[[#This Row],[DATA]],"MMM"))</f>
        <v>AGO</v>
      </c>
      <c r="C236" s="20" t="s">
        <v>40</v>
      </c>
      <c r="D236" s="20" t="s">
        <v>218</v>
      </c>
      <c r="E236" s="21">
        <v>26</v>
      </c>
    </row>
    <row r="237" spans="1:6" hidden="1">
      <c r="A237" s="225">
        <v>45241</v>
      </c>
      <c r="B237" s="226" t="str">
        <f>UPPER(TEXT(Tabela1[[#This Row],[DATA]],"MMM"))</f>
        <v>NOV</v>
      </c>
      <c r="C237" s="20" t="s">
        <v>40</v>
      </c>
      <c r="D237" s="20" t="s">
        <v>219</v>
      </c>
      <c r="E237" s="21">
        <v>25.98</v>
      </c>
    </row>
    <row r="238" spans="1:6" hidden="1">
      <c r="A238" s="225">
        <v>44980</v>
      </c>
      <c r="B238" s="226" t="str">
        <f>UPPER(TEXT(Tabela1[[#This Row],[DATA]],"MMM"))</f>
        <v>FEV</v>
      </c>
      <c r="C238" s="20" t="s">
        <v>40</v>
      </c>
      <c r="D238" s="20" t="s">
        <v>220</v>
      </c>
      <c r="E238" s="21">
        <v>25.19</v>
      </c>
    </row>
    <row r="239" spans="1:6">
      <c r="A239" s="22">
        <v>45212</v>
      </c>
      <c r="B239" s="23" t="str">
        <f>UPPER(TEXT(Tabela1[[#This Row],[DATA]],"MMM"))</f>
        <v>OUT</v>
      </c>
      <c r="C239" s="24" t="s">
        <v>40</v>
      </c>
      <c r="D239" s="24" t="s">
        <v>148</v>
      </c>
      <c r="E239" s="25">
        <v>25</v>
      </c>
    </row>
    <row r="240" spans="1:6">
      <c r="A240" s="22">
        <v>45249</v>
      </c>
      <c r="B240" s="23" t="str">
        <f>UPPER(TEXT(Tabela1[[#This Row],[DATA]],"MMM"))</f>
        <v>NOV</v>
      </c>
      <c r="C240" s="24" t="s">
        <v>40</v>
      </c>
      <c r="D240" s="24" t="s">
        <v>221</v>
      </c>
      <c r="E240" s="25">
        <v>24.98</v>
      </c>
    </row>
    <row r="241" spans="1:7" hidden="1">
      <c r="A241" s="225">
        <v>45268</v>
      </c>
      <c r="B241" s="226" t="str">
        <f>UPPER(TEXT(Tabela1[[#This Row],[DATA]],"MMM"))</f>
        <v>DEZ</v>
      </c>
      <c r="C241" s="20" t="s">
        <v>40</v>
      </c>
      <c r="D241" s="20" t="s">
        <v>222</v>
      </c>
      <c r="E241" s="21">
        <v>24.97</v>
      </c>
    </row>
    <row r="242" spans="1:7" hidden="1">
      <c r="A242" s="225">
        <v>45282</v>
      </c>
      <c r="B242" s="226" t="str">
        <f>UPPER(TEXT(Tabela1[[#This Row],[DATA]],"MMM"))</f>
        <v>DEZ</v>
      </c>
      <c r="C242" s="20" t="s">
        <v>40</v>
      </c>
      <c r="D242" s="20" t="s">
        <v>223</v>
      </c>
      <c r="E242" s="21">
        <f>190.89-166.2</f>
        <v>24.689999999999998</v>
      </c>
    </row>
    <row r="243" spans="1:7" ht="27" hidden="1">
      <c r="A243" s="225">
        <v>45261</v>
      </c>
      <c r="B243" s="226" t="str">
        <f>UPPER(TEXT(Tabela1[[#This Row],[DATA]],"MMM"))</f>
        <v>DEZ</v>
      </c>
      <c r="C243" s="20" t="s">
        <v>40</v>
      </c>
      <c r="D243" s="55" t="s">
        <v>224</v>
      </c>
      <c r="E243" s="56">
        <f>16.9+7.6</f>
        <v>24.5</v>
      </c>
    </row>
    <row r="244" spans="1:7" hidden="1">
      <c r="A244" s="22">
        <v>44979</v>
      </c>
      <c r="B244" s="23" t="str">
        <f>UPPER(TEXT(Tabela1[[#This Row],[DATA]],"MMM"))</f>
        <v>FEV</v>
      </c>
      <c r="C244" s="24" t="s">
        <v>40</v>
      </c>
      <c r="D244" s="24" t="s">
        <v>225</v>
      </c>
      <c r="E244" s="25">
        <v>24</v>
      </c>
    </row>
    <row r="245" spans="1:7" hidden="1">
      <c r="A245" s="22">
        <v>45212</v>
      </c>
      <c r="B245" s="23" t="str">
        <f>UPPER(TEXT(Tabela1[[#This Row],[DATA]],"MMM"))</f>
        <v>OUT</v>
      </c>
      <c r="C245" s="24" t="s">
        <v>40</v>
      </c>
      <c r="D245" s="24" t="s">
        <v>226</v>
      </c>
      <c r="E245" s="25">
        <v>24</v>
      </c>
    </row>
    <row r="246" spans="1:7" hidden="1">
      <c r="A246" s="225">
        <v>45657</v>
      </c>
      <c r="B246" s="226" t="str">
        <f>UPPER(TEXT(Tabela1[[#This Row],[DATA]],"MMM"))</f>
        <v>DEZ</v>
      </c>
      <c r="C246" s="20" t="s">
        <v>40</v>
      </c>
      <c r="D246" s="20" t="s">
        <v>227</v>
      </c>
      <c r="E246" s="21">
        <v>24</v>
      </c>
    </row>
    <row r="247" spans="1:7" hidden="1">
      <c r="A247" s="225">
        <v>45164</v>
      </c>
      <c r="B247" s="226" t="str">
        <f>UPPER(TEXT(Tabela1[[#This Row],[DATA]],"MMM"))</f>
        <v>AGO</v>
      </c>
      <c r="C247" s="20" t="s">
        <v>40</v>
      </c>
      <c r="D247" s="21" t="s">
        <v>228</v>
      </c>
      <c r="E247" s="21">
        <v>23.26</v>
      </c>
    </row>
    <row r="248" spans="1:7" ht="27" hidden="1">
      <c r="A248" s="225">
        <v>45157</v>
      </c>
      <c r="B248" s="226" t="str">
        <f>UPPER(TEXT(Tabela1[[#This Row],[DATA]],"MMM"))</f>
        <v>AGO</v>
      </c>
      <c r="C248" s="20" t="s">
        <v>40</v>
      </c>
      <c r="D248" s="55" t="s">
        <v>229</v>
      </c>
      <c r="E248" s="56">
        <v>23.2</v>
      </c>
    </row>
    <row r="249" spans="1:7" hidden="1">
      <c r="A249" s="225">
        <v>45191</v>
      </c>
      <c r="B249" s="226" t="str">
        <f>UPPER(TEXT(Tabela1[[#This Row],[DATA]],"MMM"))</f>
        <v>SET</v>
      </c>
      <c r="C249" s="20" t="s">
        <v>40</v>
      </c>
      <c r="D249" s="20" t="s">
        <v>230</v>
      </c>
      <c r="E249" s="21">
        <f>10.1+12.44</f>
        <v>22.54</v>
      </c>
    </row>
    <row r="250" spans="1:7" ht="27" hidden="1">
      <c r="A250" s="22">
        <v>45212</v>
      </c>
      <c r="B250" s="23" t="str">
        <f>UPPER(TEXT(Tabela1[[#This Row],[DATA]],"MMM"))</f>
        <v>OUT</v>
      </c>
      <c r="C250" s="24" t="s">
        <v>40</v>
      </c>
      <c r="D250" s="28" t="s">
        <v>231</v>
      </c>
      <c r="E250" s="27">
        <v>22</v>
      </c>
    </row>
    <row r="251" spans="1:7" ht="27">
      <c r="A251" s="225">
        <v>45212</v>
      </c>
      <c r="B251" s="226" t="str">
        <f>UPPER(TEXT(Tabela1[[#This Row],[DATA]],"MMM"))</f>
        <v>OUT</v>
      </c>
      <c r="C251" s="20" t="s">
        <v>40</v>
      </c>
      <c r="D251" s="55" t="s">
        <v>232</v>
      </c>
      <c r="E251" s="21">
        <f>10.1+11.67</f>
        <v>21.77</v>
      </c>
      <c r="G251" s="74">
        <f>SUM(E248,E251:E252)</f>
        <v>66.56</v>
      </c>
    </row>
    <row r="252" spans="1:7" ht="27" hidden="1">
      <c r="A252" s="225">
        <v>45261</v>
      </c>
      <c r="B252" s="226" t="str">
        <f>UPPER(TEXT(Tabela1[[#This Row],[DATA]],"MMM"))</f>
        <v>DEZ</v>
      </c>
      <c r="C252" s="20" t="s">
        <v>40</v>
      </c>
      <c r="D252" s="84" t="s">
        <v>233</v>
      </c>
      <c r="E252" s="85">
        <f>13+0.99+7.6</f>
        <v>21.59</v>
      </c>
    </row>
    <row r="253" spans="1:7" hidden="1">
      <c r="A253" s="225">
        <v>44961</v>
      </c>
      <c r="B253" s="226" t="str">
        <f>UPPER(TEXT(Tabela1[[#This Row],[DATA]],"MMM"))</f>
        <v>FEV</v>
      </c>
      <c r="C253" s="20" t="s">
        <v>40</v>
      </c>
      <c r="D253" s="20" t="s">
        <v>234</v>
      </c>
      <c r="E253" s="21">
        <v>20</v>
      </c>
    </row>
    <row r="254" spans="1:7" hidden="1">
      <c r="A254" s="225">
        <v>45021</v>
      </c>
      <c r="B254" s="226" t="str">
        <f>UPPER(TEXT(Tabela1[[#This Row],[DATA]],"MMM"))</f>
        <v>ABR</v>
      </c>
      <c r="C254" s="20" t="s">
        <v>40</v>
      </c>
      <c r="D254" s="20" t="s">
        <v>235</v>
      </c>
      <c r="E254" s="21">
        <v>20</v>
      </c>
    </row>
    <row r="255" spans="1:7" hidden="1">
      <c r="A255" s="225">
        <v>45053</v>
      </c>
      <c r="B255" s="226" t="str">
        <f>UPPER(TEXT(Tabela1[[#This Row],[DATA]],"MMM"))</f>
        <v>MAI</v>
      </c>
      <c r="C255" s="20" t="s">
        <v>40</v>
      </c>
      <c r="D255" s="20" t="s">
        <v>236</v>
      </c>
      <c r="E255" s="21">
        <v>20</v>
      </c>
    </row>
    <row r="256" spans="1:7">
      <c r="A256" s="225">
        <v>45093</v>
      </c>
      <c r="B256" s="226" t="str">
        <f>UPPER(TEXT(Tabela1[[#This Row],[DATA]],"MMM"))</f>
        <v>JUN</v>
      </c>
      <c r="C256" s="20" t="s">
        <v>40</v>
      </c>
      <c r="D256" s="20" t="s">
        <v>237</v>
      </c>
      <c r="E256" s="21">
        <v>20</v>
      </c>
    </row>
    <row r="257" spans="1:5" hidden="1">
      <c r="A257" s="225">
        <v>45276</v>
      </c>
      <c r="B257" s="226" t="str">
        <f>UPPER(TEXT(Tabela1[[#This Row],[DATA]],"MMM"))</f>
        <v>DEZ</v>
      </c>
      <c r="C257" s="20" t="s">
        <v>40</v>
      </c>
      <c r="D257" s="20" t="s">
        <v>238</v>
      </c>
      <c r="E257" s="21">
        <f>30/3*2</f>
        <v>20</v>
      </c>
    </row>
    <row r="258" spans="1:5" hidden="1">
      <c r="A258" s="225">
        <v>45289</v>
      </c>
      <c r="B258" s="226" t="str">
        <f>UPPER(TEXT(Tabela1[[#This Row],[DATA]],"MMM"))</f>
        <v>DEZ</v>
      </c>
      <c r="C258" s="20" t="s">
        <v>40</v>
      </c>
      <c r="D258" s="20" t="s">
        <v>239</v>
      </c>
      <c r="E258" s="21">
        <v>20</v>
      </c>
    </row>
    <row r="259" spans="1:5" hidden="1">
      <c r="A259" s="225">
        <v>44961</v>
      </c>
      <c r="B259" s="226" t="str">
        <f>UPPER(TEXT(Tabela1[[#This Row],[DATA]],"MMM"))</f>
        <v>FEV</v>
      </c>
      <c r="C259" s="20" t="s">
        <v>40</v>
      </c>
      <c r="D259" s="20" t="s">
        <v>240</v>
      </c>
      <c r="E259" s="21">
        <v>19.84</v>
      </c>
    </row>
    <row r="260" spans="1:5" hidden="1">
      <c r="A260" s="225">
        <v>45128</v>
      </c>
      <c r="B260" s="226" t="str">
        <f>UPPER(TEXT(Tabela1[[#This Row],[DATA]],"MMM"))</f>
        <v>JUL</v>
      </c>
      <c r="C260" s="20" t="s">
        <v>40</v>
      </c>
      <c r="D260" s="20" t="s">
        <v>241</v>
      </c>
      <c r="E260" s="21">
        <v>19.18</v>
      </c>
    </row>
    <row r="261" spans="1:5" ht="27">
      <c r="A261" s="225">
        <v>45211</v>
      </c>
      <c r="B261" s="226" t="str">
        <f>UPPER(TEXT(Tabela1[[#This Row],[DATA]],"MMM"))</f>
        <v>OUT</v>
      </c>
      <c r="C261" s="20" t="s">
        <v>40</v>
      </c>
      <c r="D261" s="55" t="s">
        <v>242</v>
      </c>
      <c r="E261" s="21">
        <f>10.47+8.64</f>
        <v>19.11</v>
      </c>
    </row>
    <row r="262" spans="1:5" hidden="1">
      <c r="A262" s="225">
        <v>45278</v>
      </c>
      <c r="B262" s="226" t="str">
        <f>UPPER(TEXT(Tabela1[[#This Row],[DATA]],"MMM"))</f>
        <v>DEZ</v>
      </c>
      <c r="C262" s="20" t="s">
        <v>38</v>
      </c>
      <c r="D262" s="86" t="s">
        <v>243</v>
      </c>
      <c r="E262" s="87">
        <v>1048</v>
      </c>
    </row>
    <row r="263" spans="1:5" hidden="1">
      <c r="A263" s="225">
        <v>45279</v>
      </c>
      <c r="B263" s="226" t="str">
        <f>UPPER(TEXT(Tabela1[[#This Row],[DATA]],"MMM"))</f>
        <v>DEZ</v>
      </c>
      <c r="C263" s="20" t="s">
        <v>38</v>
      </c>
      <c r="D263" s="92" t="s">
        <v>244</v>
      </c>
      <c r="E263" s="93">
        <f>551.13*0.9</f>
        <v>496.017</v>
      </c>
    </row>
    <row r="264" spans="1:5" ht="27" hidden="1">
      <c r="A264" s="225">
        <v>45281</v>
      </c>
      <c r="B264" s="226" t="str">
        <f>UPPER(TEXT(Tabela1[[#This Row],[DATA]],"MMM"))</f>
        <v>DEZ</v>
      </c>
      <c r="C264" s="20" t="s">
        <v>40</v>
      </c>
      <c r="D264" s="55" t="s">
        <v>216</v>
      </c>
      <c r="E264" s="56">
        <v>18.88</v>
      </c>
    </row>
    <row r="265" spans="1:5" ht="27">
      <c r="A265" s="225">
        <v>45219</v>
      </c>
      <c r="B265" s="226" t="str">
        <f>UPPER(TEXT(Tabela1[[#This Row],[DATA]],"MMM"))</f>
        <v>OUT</v>
      </c>
      <c r="C265" s="20" t="s">
        <v>40</v>
      </c>
      <c r="D265" s="55" t="s">
        <v>245</v>
      </c>
      <c r="E265" s="56">
        <v>16.63</v>
      </c>
    </row>
    <row r="266" spans="1:5" hidden="1">
      <c r="A266" s="225">
        <v>45201</v>
      </c>
      <c r="B266" s="226" t="str">
        <f>UPPER(TEXT(Tabela1[[#This Row],[DATA]],"MMM"))</f>
        <v>OUT</v>
      </c>
      <c r="C266" s="20" t="s">
        <v>40</v>
      </c>
      <c r="D266" s="20" t="s">
        <v>246</v>
      </c>
      <c r="E266" s="21">
        <v>16.09</v>
      </c>
    </row>
    <row r="267" spans="1:5" ht="27" hidden="1">
      <c r="A267" s="225">
        <v>45203</v>
      </c>
      <c r="B267" s="226" t="str">
        <f>UPPER(TEXT(Tabela1[[#This Row],[DATA]],"MMM"))</f>
        <v>OUT</v>
      </c>
      <c r="C267" s="20" t="s">
        <v>40</v>
      </c>
      <c r="D267" s="55" t="s">
        <v>247</v>
      </c>
      <c r="E267" s="56">
        <v>15.93</v>
      </c>
    </row>
    <row r="268" spans="1:5" hidden="1">
      <c r="A268" s="225">
        <v>45281</v>
      </c>
      <c r="B268" s="226" t="str">
        <f>UPPER(TEXT(Tabela1[[#This Row],[DATA]],"MMM"))</f>
        <v>DEZ</v>
      </c>
      <c r="C268" s="20" t="s">
        <v>40</v>
      </c>
      <c r="D268" s="20" t="s">
        <v>248</v>
      </c>
      <c r="E268" s="21">
        <v>15.9</v>
      </c>
    </row>
    <row r="269" spans="1:5" hidden="1">
      <c r="A269" s="225">
        <v>45045</v>
      </c>
      <c r="B269" s="226" t="str">
        <f>UPPER(TEXT(Tabela1[[#This Row],[DATA]],"MMM"))</f>
        <v>ABR</v>
      </c>
      <c r="C269" s="20" t="s">
        <v>40</v>
      </c>
      <c r="D269" s="20" t="s">
        <v>249</v>
      </c>
      <c r="E269" s="21">
        <v>15.71</v>
      </c>
    </row>
    <row r="270" spans="1:5" ht="27" hidden="1">
      <c r="A270" s="225">
        <v>45208</v>
      </c>
      <c r="B270" s="226" t="str">
        <f>UPPER(TEXT(Tabela1[[#This Row],[DATA]],"MMM"))</f>
        <v>OUT</v>
      </c>
      <c r="C270" s="20" t="s">
        <v>40</v>
      </c>
      <c r="D270" s="55" t="s">
        <v>109</v>
      </c>
      <c r="E270" s="56">
        <f>15.3</f>
        <v>15.3</v>
      </c>
    </row>
    <row r="271" spans="1:5" hidden="1">
      <c r="A271" s="225">
        <v>45036</v>
      </c>
      <c r="B271" s="226" t="str">
        <f>UPPER(TEXT(Tabela1[[#This Row],[DATA]],"MMM"))</f>
        <v>ABR</v>
      </c>
      <c r="C271" s="20" t="s">
        <v>40</v>
      </c>
      <c r="D271" s="20" t="s">
        <v>250</v>
      </c>
      <c r="E271" s="21">
        <v>15</v>
      </c>
    </row>
    <row r="272" spans="1:5" hidden="1">
      <c r="A272" s="225">
        <v>45072</v>
      </c>
      <c r="B272" s="226" t="str">
        <f>UPPER(TEXT(Tabela1[[#This Row],[DATA]],"MMM"))</f>
        <v>MAI</v>
      </c>
      <c r="C272" s="20" t="s">
        <v>40</v>
      </c>
      <c r="D272" s="20" t="s">
        <v>251</v>
      </c>
      <c r="E272" s="21">
        <v>15</v>
      </c>
    </row>
    <row r="273" spans="1:51" hidden="1">
      <c r="A273" s="225">
        <v>45262</v>
      </c>
      <c r="B273" s="226" t="str">
        <f>UPPER(TEXT(Tabela1[[#This Row],[DATA]],"MMM"))</f>
        <v>DEZ</v>
      </c>
      <c r="C273" s="20" t="s">
        <v>40</v>
      </c>
      <c r="D273" s="20" t="s">
        <v>252</v>
      </c>
      <c r="E273" s="21">
        <v>15</v>
      </c>
    </row>
    <row r="274" spans="1:51">
      <c r="A274" s="225">
        <v>45144</v>
      </c>
      <c r="B274" s="226" t="str">
        <f>UPPER(TEXT(Tabela1[[#This Row],[DATA]],"MMM"))</f>
        <v>AGO</v>
      </c>
      <c r="C274" s="20" t="s">
        <v>40</v>
      </c>
      <c r="D274" s="20" t="s">
        <v>253</v>
      </c>
      <c r="E274" s="21">
        <v>14.98</v>
      </c>
    </row>
    <row r="275" spans="1:51" ht="27" hidden="1">
      <c r="A275" s="225">
        <v>45277</v>
      </c>
      <c r="B275" s="226" t="str">
        <f>UPPER(TEXT(Tabela1[[#This Row],[DATA]],"MMM"))</f>
        <v>DEZ</v>
      </c>
      <c r="C275" s="20" t="s">
        <v>40</v>
      </c>
      <c r="D275" s="55" t="s">
        <v>216</v>
      </c>
      <c r="E275" s="56">
        <v>12.97</v>
      </c>
    </row>
    <row r="276" spans="1:51" hidden="1">
      <c r="A276" s="225">
        <v>45108</v>
      </c>
      <c r="B276" s="226" t="str">
        <f>UPPER(TEXT(Tabela1[[#This Row],[DATA]],"MMM"))</f>
        <v>JUL</v>
      </c>
      <c r="C276" s="20" t="s">
        <v>40</v>
      </c>
      <c r="D276" s="20" t="s">
        <v>254</v>
      </c>
      <c r="E276" s="21">
        <v>12.9</v>
      </c>
    </row>
    <row r="277" spans="1:51" hidden="1">
      <c r="A277" s="225">
        <v>45222</v>
      </c>
      <c r="B277" s="226" t="str">
        <f>UPPER(TEXT(Tabela1[[#This Row],[DATA]],"MMM"))</f>
        <v>OUT</v>
      </c>
      <c r="C277" s="20" t="s">
        <v>40</v>
      </c>
      <c r="D277" s="20" t="s">
        <v>255</v>
      </c>
      <c r="E277" s="21">
        <v>12.84</v>
      </c>
    </row>
    <row r="278" spans="1:51" hidden="1">
      <c r="A278" s="225">
        <v>45276</v>
      </c>
      <c r="B278" s="226" t="str">
        <f>UPPER(TEXT(Tabela1[[#This Row],[DATA]],"MMM"))</f>
        <v>DEZ</v>
      </c>
      <c r="C278" s="20" t="s">
        <v>40</v>
      </c>
      <c r="D278" s="20" t="s">
        <v>256</v>
      </c>
      <c r="E278" s="21">
        <f>18/3*2</f>
        <v>12</v>
      </c>
    </row>
    <row r="279" spans="1:51" hidden="1">
      <c r="A279" s="225">
        <v>45148</v>
      </c>
      <c r="B279" s="226" t="str">
        <f>UPPER(TEXT(Tabela1[[#This Row],[DATA]],"MMM"))</f>
        <v>AGO</v>
      </c>
      <c r="C279" s="20" t="s">
        <v>40</v>
      </c>
      <c r="D279" s="249" t="s">
        <v>257</v>
      </c>
      <c r="E279" s="141">
        <v>11.54</v>
      </c>
    </row>
    <row r="280" spans="1:51" ht="27" hidden="1">
      <c r="A280" s="225">
        <v>45226</v>
      </c>
      <c r="B280" s="226" t="str">
        <f>UPPER(TEXT(Tabela1[[#This Row],[DATA]],"MMM"))</f>
        <v>OUT</v>
      </c>
      <c r="C280" s="20" t="s">
        <v>40</v>
      </c>
      <c r="D280" s="55" t="s">
        <v>216</v>
      </c>
      <c r="E280" s="56">
        <v>11.5</v>
      </c>
    </row>
    <row r="281" spans="1:51" hidden="1">
      <c r="A281" s="225">
        <v>44963</v>
      </c>
      <c r="B281" s="226" t="str">
        <f>UPPER(TEXT(Tabela1[[#This Row],[DATA]],"MMM"))</f>
        <v>FEV</v>
      </c>
      <c r="C281" s="20" t="s">
        <v>40</v>
      </c>
      <c r="D281" s="20" t="s">
        <v>258</v>
      </c>
      <c r="E281" s="21">
        <v>10.95</v>
      </c>
    </row>
    <row r="282" spans="1:51" hidden="1">
      <c r="A282" s="225">
        <v>45269</v>
      </c>
      <c r="B282" s="226" t="str">
        <f>UPPER(TEXT(Tabela1[[#This Row],[DATA]],"MMM"))</f>
        <v>DEZ</v>
      </c>
      <c r="C282" s="20" t="s">
        <v>40</v>
      </c>
      <c r="D282" s="20" t="s">
        <v>259</v>
      </c>
      <c r="E282" s="21">
        <v>10</v>
      </c>
    </row>
    <row r="283" spans="1:51" ht="27" hidden="1">
      <c r="A283" s="225">
        <v>45223</v>
      </c>
      <c r="B283" s="226" t="str">
        <f>UPPER(TEXT(Tabela1[[#This Row],[DATA]],"MMM"))</f>
        <v>OUT</v>
      </c>
      <c r="C283" s="20" t="s">
        <v>40</v>
      </c>
      <c r="D283" s="55" t="s">
        <v>260</v>
      </c>
      <c r="E283" s="56">
        <v>7</v>
      </c>
    </row>
    <row r="284" spans="1:51" ht="27" hidden="1">
      <c r="A284" s="225">
        <v>45265</v>
      </c>
      <c r="B284" s="226" t="str">
        <f>UPPER(TEXT(Tabela1[[#This Row],[DATA]],"MMM"))</f>
        <v>DEZ</v>
      </c>
      <c r="C284" s="20" t="s">
        <v>40</v>
      </c>
      <c r="D284" s="55" t="s">
        <v>261</v>
      </c>
      <c r="E284" s="56">
        <v>7</v>
      </c>
    </row>
    <row r="285" spans="1:51" hidden="1">
      <c r="A285" s="225">
        <v>45075</v>
      </c>
      <c r="B285" s="226" t="str">
        <f>UPPER(TEXT(Tabela1[[#This Row],[DATA]],"MMM"))</f>
        <v>MAI</v>
      </c>
      <c r="C285" s="20" t="s">
        <v>40</v>
      </c>
      <c r="D285" s="20" t="s">
        <v>262</v>
      </c>
      <c r="E285" s="21">
        <v>5.7</v>
      </c>
    </row>
    <row r="286" spans="1:51" ht="27" hidden="1">
      <c r="A286" s="225">
        <v>45244</v>
      </c>
      <c r="B286" s="226" t="str">
        <f>UPPER(TEXT(Tabela1[[#This Row],[DATA]],"MMM"))</f>
        <v>NOV</v>
      </c>
      <c r="C286" s="20" t="s">
        <v>40</v>
      </c>
      <c r="D286" s="55" t="s">
        <v>216</v>
      </c>
      <c r="E286" s="56">
        <v>5.4</v>
      </c>
    </row>
    <row r="287" spans="1:51" s="110" customFormat="1" ht="27" hidden="1">
      <c r="A287" s="107" t="s">
        <v>263</v>
      </c>
      <c r="B287" s="108"/>
      <c r="C287" s="55"/>
      <c r="D287" s="55"/>
      <c r="E287" s="56"/>
      <c r="F287" s="109"/>
      <c r="G287" s="109"/>
      <c r="H287" s="109"/>
      <c r="I287" s="109"/>
      <c r="J287" s="109"/>
      <c r="K287" s="109"/>
      <c r="L287" s="109"/>
      <c r="M287" s="109"/>
      <c r="N287" s="109"/>
      <c r="O287" s="109"/>
      <c r="P287" s="109"/>
      <c r="Q287" s="109"/>
      <c r="R287" s="109"/>
      <c r="S287" s="109"/>
      <c r="T287" s="109"/>
      <c r="U287" s="109"/>
      <c r="V287" s="109"/>
      <c r="W287" s="109"/>
      <c r="X287" s="109"/>
      <c r="Y287" s="109"/>
      <c r="Z287" s="109"/>
      <c r="AA287" s="109"/>
      <c r="AB287" s="109"/>
      <c r="AC287" s="109"/>
      <c r="AD287" s="109"/>
      <c r="AE287" s="109"/>
      <c r="AF287" s="109"/>
      <c r="AG287" s="109"/>
      <c r="AH287" s="109"/>
      <c r="AI287" s="109"/>
      <c r="AJ287" s="109"/>
      <c r="AK287" s="109"/>
      <c r="AL287" s="109"/>
      <c r="AM287" s="109"/>
      <c r="AN287" s="109"/>
      <c r="AO287" s="109"/>
      <c r="AP287" s="109"/>
      <c r="AQ287" s="109"/>
      <c r="AR287" s="109"/>
      <c r="AS287" s="109"/>
      <c r="AT287" s="109"/>
      <c r="AU287" s="109"/>
      <c r="AV287" s="109"/>
      <c r="AW287" s="109"/>
      <c r="AX287" s="109"/>
      <c r="AY287" s="109"/>
    </row>
    <row r="288" spans="1:51" hidden="1">
      <c r="A288" s="225"/>
      <c r="B288" s="226" t="s">
        <v>264</v>
      </c>
      <c r="C288" s="20"/>
      <c r="D288" s="96" t="s">
        <v>265</v>
      </c>
      <c r="E288" s="97">
        <f>(E293-E263)/2+1782</f>
        <v>2546.9915000000001</v>
      </c>
    </row>
    <row r="289" spans="1:51" hidden="1">
      <c r="A289" s="225"/>
      <c r="B289" s="226" t="s">
        <v>266</v>
      </c>
      <c r="C289" s="20"/>
      <c r="D289" s="96" t="s">
        <v>267</v>
      </c>
      <c r="E289" s="97">
        <f>(E293-E263)/2</f>
        <v>764.99149999999997</v>
      </c>
    </row>
    <row r="290" spans="1:51" hidden="1">
      <c r="A290" s="225"/>
      <c r="B290" s="226"/>
      <c r="C290" s="20"/>
      <c r="D290" s="20" t="s">
        <v>268</v>
      </c>
      <c r="E290" s="25">
        <f>SUM(E288:E289,E262:E263)</f>
        <v>4856</v>
      </c>
    </row>
    <row r="291" spans="1:51" s="110" customFormat="1" ht="27" hidden="1">
      <c r="A291" s="107" t="s">
        <v>269</v>
      </c>
      <c r="B291" s="108"/>
      <c r="C291" s="55"/>
      <c r="D291" s="55"/>
      <c r="E291" s="56"/>
      <c r="F291" s="109"/>
      <c r="G291" s="109"/>
      <c r="H291" s="109"/>
      <c r="I291" s="109"/>
      <c r="J291" s="109"/>
      <c r="K291" s="109"/>
      <c r="L291" s="109"/>
      <c r="M291" s="109"/>
      <c r="N291" s="109"/>
      <c r="O291" s="109"/>
      <c r="P291" s="109"/>
      <c r="Q291" s="109"/>
      <c r="R291" s="109"/>
      <c r="S291" s="109"/>
      <c r="T291" s="109"/>
      <c r="U291" s="109"/>
      <c r="V291" s="109"/>
      <c r="W291" s="109"/>
      <c r="X291" s="109"/>
      <c r="Y291" s="109"/>
      <c r="Z291" s="109"/>
      <c r="AA291" s="109"/>
      <c r="AB291" s="109"/>
      <c r="AC291" s="109"/>
      <c r="AD291" s="109"/>
      <c r="AE291" s="109"/>
      <c r="AF291" s="109"/>
      <c r="AG291" s="109"/>
      <c r="AH291" s="109"/>
      <c r="AI291" s="109"/>
      <c r="AJ291" s="109"/>
      <c r="AK291" s="109"/>
      <c r="AL291" s="109"/>
      <c r="AM291" s="109"/>
      <c r="AN291" s="109"/>
      <c r="AO291" s="109"/>
      <c r="AP291" s="109"/>
      <c r="AQ291" s="109"/>
      <c r="AR291" s="109"/>
      <c r="AS291" s="109"/>
      <c r="AT291" s="109"/>
      <c r="AU291" s="109"/>
      <c r="AV291" s="109"/>
      <c r="AW291" s="109"/>
      <c r="AX291" s="109"/>
      <c r="AY291" s="109"/>
    </row>
    <row r="292" spans="1:51" hidden="1">
      <c r="A292" s="225">
        <v>45278</v>
      </c>
      <c r="B292" s="226" t="str">
        <f>UPPER(TEXT(Tabela1[[#This Row],[DATA]],"MMM"))</f>
        <v>DEZ</v>
      </c>
      <c r="C292" s="20"/>
      <c r="D292" s="79" t="s">
        <v>243</v>
      </c>
      <c r="E292" s="80">
        <v>1048</v>
      </c>
    </row>
    <row r="293" spans="1:51" hidden="1">
      <c r="A293" s="225">
        <v>45279</v>
      </c>
      <c r="B293" s="226" t="str">
        <f>UPPER(TEXT(Tabela1[[#This Row],[DATA]],"MMM"))</f>
        <v>DEZ</v>
      </c>
      <c r="C293" s="20"/>
      <c r="D293" s="79" t="s">
        <v>270</v>
      </c>
      <c r="E293" s="80">
        <v>2026</v>
      </c>
    </row>
    <row r="294" spans="1:51" hidden="1">
      <c r="A294" s="225">
        <v>45280</v>
      </c>
      <c r="B294" s="226" t="str">
        <f>UPPER(TEXT(Tabela1[[#This Row],[DATA]],"MMM"))</f>
        <v>DEZ</v>
      </c>
      <c r="C294" s="20"/>
      <c r="D294" s="79" t="s">
        <v>271</v>
      </c>
      <c r="E294" s="80">
        <v>1782</v>
      </c>
    </row>
    <row r="295" spans="1:51" ht="27">
      <c r="A295" s="22"/>
      <c r="B295" s="23"/>
      <c r="C295" s="24"/>
      <c r="D295" s="28" t="s">
        <v>272</v>
      </c>
      <c r="E295" s="27">
        <f>SUM(E292:E294,)</f>
        <v>4856</v>
      </c>
    </row>
    <row r="296" spans="1:51">
      <c r="A296" s="78"/>
      <c r="B296" s="16"/>
      <c r="C296" s="10"/>
      <c r="D296" s="10"/>
      <c r="E296" s="10"/>
    </row>
    <row r="297" spans="1:51">
      <c r="A297" s="10"/>
      <c r="B297" s="16"/>
      <c r="C297" s="10"/>
      <c r="D297" s="10"/>
      <c r="E297" s="10"/>
    </row>
    <row r="298" spans="1:51">
      <c r="A298" s="10"/>
      <c r="B298" s="16"/>
      <c r="C298" s="10"/>
      <c r="D298" s="10"/>
      <c r="E298" s="10"/>
    </row>
    <row r="299" spans="1:51">
      <c r="A299" s="10"/>
      <c r="B299" s="16"/>
      <c r="C299" s="10"/>
      <c r="D299" s="10"/>
      <c r="E299" s="10"/>
    </row>
    <row r="300" spans="1:51">
      <c r="A300" s="10"/>
      <c r="B300" s="16"/>
      <c r="C300" s="10"/>
      <c r="D300" s="10"/>
      <c r="E300" s="10"/>
    </row>
    <row r="301" spans="1:51">
      <c r="A301" s="10"/>
      <c r="B301" s="16"/>
      <c r="C301" s="10"/>
      <c r="D301" s="10"/>
      <c r="E301" s="10"/>
    </row>
    <row r="302" spans="1:51">
      <c r="A302" s="10"/>
      <c r="B302" s="16"/>
      <c r="C302" s="10"/>
      <c r="D302" s="10"/>
      <c r="E302" s="10"/>
    </row>
    <row r="303" spans="1:51">
      <c r="A303" s="10"/>
      <c r="B303" s="16"/>
      <c r="C303" s="10"/>
      <c r="D303" s="10"/>
      <c r="E303" s="10"/>
    </row>
    <row r="304" spans="1:51">
      <c r="A304" s="10"/>
      <c r="B304" s="16"/>
      <c r="C304" s="10"/>
      <c r="D304" s="10"/>
      <c r="E304" s="10"/>
    </row>
    <row r="305" spans="1:5">
      <c r="A305" s="10"/>
      <c r="B305" s="16"/>
      <c r="C305" s="10"/>
      <c r="D305" s="10"/>
      <c r="E305" s="10"/>
    </row>
    <row r="306" spans="1:5">
      <c r="A306" s="10"/>
      <c r="B306" s="16"/>
      <c r="C306" s="10"/>
      <c r="D306" s="10"/>
      <c r="E306" s="10"/>
    </row>
    <row r="307" spans="1:5">
      <c r="A307" s="10"/>
      <c r="B307" s="16"/>
      <c r="C307" s="10"/>
      <c r="D307" s="10"/>
      <c r="E307" s="10"/>
    </row>
    <row r="308" spans="1:5">
      <c r="A308" s="10"/>
      <c r="B308" s="16"/>
      <c r="C308" s="10"/>
      <c r="D308" s="10"/>
      <c r="E308" s="10"/>
    </row>
    <row r="309" spans="1:5">
      <c r="A309" s="10"/>
      <c r="B309" s="16"/>
      <c r="C309" s="10"/>
      <c r="D309" s="10"/>
      <c r="E309" s="10"/>
    </row>
    <row r="310" spans="1:5">
      <c r="A310" s="10"/>
      <c r="B310" s="16"/>
      <c r="C310" s="10"/>
      <c r="D310" s="10"/>
      <c r="E310" s="10"/>
    </row>
    <row r="311" spans="1:5">
      <c r="A311" s="10"/>
      <c r="B311" s="16"/>
      <c r="C311" s="10"/>
      <c r="D311" s="10"/>
      <c r="E311" s="10"/>
    </row>
    <row r="312" spans="1:5">
      <c r="A312" s="10"/>
      <c r="B312" s="16"/>
      <c r="C312" s="10"/>
      <c r="D312" s="10"/>
      <c r="E312" s="10"/>
    </row>
    <row r="313" spans="1:5">
      <c r="A313" s="10"/>
      <c r="B313" s="16"/>
      <c r="C313" s="10"/>
      <c r="D313" s="10"/>
      <c r="E313" s="10"/>
    </row>
    <row r="314" spans="1:5">
      <c r="A314" s="10"/>
      <c r="B314" s="16"/>
      <c r="C314" s="10"/>
      <c r="D314" s="10"/>
      <c r="E314" s="10"/>
    </row>
    <row r="315" spans="1:5">
      <c r="A315" s="10"/>
      <c r="B315" s="16"/>
      <c r="C315" s="10"/>
      <c r="D315" s="10"/>
      <c r="E315" s="10"/>
    </row>
    <row r="316" spans="1:5">
      <c r="A316" s="10"/>
      <c r="B316" s="16"/>
      <c r="C316" s="10"/>
      <c r="D316" s="10"/>
      <c r="E316" s="10"/>
    </row>
    <row r="317" spans="1:5">
      <c r="A317" s="10"/>
      <c r="B317" s="16"/>
      <c r="C317" s="10"/>
      <c r="D317" s="10"/>
      <c r="E317" s="10"/>
    </row>
    <row r="318" spans="1:5">
      <c r="A318" s="10"/>
      <c r="B318" s="16"/>
      <c r="C318" s="10"/>
      <c r="D318" s="10"/>
      <c r="E318" s="10"/>
    </row>
    <row r="319" spans="1:5">
      <c r="A319" s="10"/>
      <c r="B319" s="16"/>
      <c r="C319" s="10"/>
      <c r="D319" s="10"/>
      <c r="E319" s="10"/>
    </row>
    <row r="320" spans="1:5">
      <c r="A320" s="10"/>
      <c r="B320" s="16"/>
      <c r="C320" s="10"/>
      <c r="D320" s="10"/>
      <c r="E320" s="10"/>
    </row>
    <row r="321" spans="1:5">
      <c r="A321" s="10"/>
      <c r="B321" s="16"/>
      <c r="C321" s="10"/>
      <c r="D321" s="10"/>
      <c r="E321" s="10"/>
    </row>
    <row r="322" spans="1:5">
      <c r="A322" s="10"/>
      <c r="B322" s="16"/>
      <c r="C322" s="10"/>
      <c r="D322" s="10"/>
      <c r="E322" s="10"/>
    </row>
    <row r="323" spans="1:5">
      <c r="A323" s="10"/>
      <c r="B323" s="16"/>
      <c r="C323" s="10"/>
      <c r="D323" s="10"/>
      <c r="E323" s="10"/>
    </row>
    <row r="324" spans="1:5">
      <c r="A324" s="10"/>
      <c r="B324" s="16"/>
      <c r="C324" s="10"/>
      <c r="D324" s="10"/>
      <c r="E324" s="10"/>
    </row>
    <row r="325" spans="1:5">
      <c r="A325" s="10"/>
      <c r="B325" s="16"/>
      <c r="C325" s="10"/>
      <c r="D325" s="10"/>
      <c r="E325" s="10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0638-F626-EC47-A154-114CF9150183}">
  <dimension ref="A1:AJ99"/>
  <sheetViews>
    <sheetView showGridLines="0" zoomScaleNormal="60" zoomScaleSheetLayoutView="100" workbookViewId="0">
      <selection activeCell="F90" sqref="F90"/>
    </sheetView>
  </sheetViews>
  <sheetFormatPr defaultColWidth="8.5546875" defaultRowHeight="26.4"/>
  <cols>
    <col min="1" max="1" width="19.109375" style="4" customWidth="1"/>
    <col min="2" max="2" width="20.6640625" style="4" customWidth="1"/>
    <col min="3" max="3" width="20" style="4" customWidth="1"/>
    <col min="4" max="4" width="21.88671875" style="4" customWidth="1"/>
    <col min="5" max="5" width="16" style="5" bestFit="1" customWidth="1"/>
    <col min="6" max="6" width="10.109375" style="5" bestFit="1" customWidth="1"/>
    <col min="7" max="36" width="8.5546875" style="5"/>
    <col min="37" max="16384" width="8.5546875" style="1"/>
  </cols>
  <sheetData>
    <row r="1" spans="1:36" s="5" customFormat="1">
      <c r="A1" s="10"/>
      <c r="B1" s="10"/>
      <c r="C1" s="10"/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36" ht="33" customHeight="1">
      <c r="A2" s="10"/>
      <c r="B2" s="10"/>
      <c r="C2" s="10"/>
      <c r="D2" s="52">
        <f>AVERAGE(B5:B15)</f>
        <v>2450.547</v>
      </c>
      <c r="E2" s="54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36" s="5" customFormat="1" ht="22.5" customHeight="1">
      <c r="A3" s="10"/>
      <c r="B3" s="10"/>
      <c r="C3" s="10"/>
      <c r="D3" s="10"/>
      <c r="E3" s="6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36" s="2" customFormat="1" ht="30" customHeight="1">
      <c r="A4" s="26" t="s">
        <v>273</v>
      </c>
      <c r="B4" s="26" t="s">
        <v>38</v>
      </c>
      <c r="C4" s="26" t="s">
        <v>40</v>
      </c>
      <c r="D4" s="26" t="s">
        <v>274</v>
      </c>
      <c r="E4" s="6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ht="27">
      <c r="A5" s="94" t="s">
        <v>266</v>
      </c>
      <c r="B5" s="8">
        <f>SUMIFS(Tabela1[VALOR],Tabela1[MÊS],A5,Tabela1[TIPO], $B$4)</f>
        <v>1564</v>
      </c>
      <c r="C5" s="8">
        <f>SUMIFS(Tabela1[VALOR],Tabela1[MÊS],A5,Tabela1[TIPO], $C$4)</f>
        <v>1170.6699999999998</v>
      </c>
      <c r="D5" s="8">
        <f t="shared" ref="D5:D15" si="0">B5-C5</f>
        <v>393.33000000000015</v>
      </c>
      <c r="E5" s="88">
        <f>D5/B5</f>
        <v>0.25148976982097199</v>
      </c>
      <c r="F5" s="89">
        <f>100%-E5</f>
        <v>0.74851023017902807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36" ht="27">
      <c r="A6" s="95" t="s">
        <v>275</v>
      </c>
      <c r="B6" s="9">
        <f>SUMIFS(Tabela1[VALOR],Tabela1[MÊS],A6,Tabela1[TIPO], $B$4)</f>
        <v>1948</v>
      </c>
      <c r="C6" s="9">
        <f>SUMIFS(Tabela1[VALOR],Tabela1[MÊS],A6,Tabela1[TIPO], $C$4)</f>
        <v>1675.8799999999999</v>
      </c>
      <c r="D6" s="9">
        <f t="shared" si="0"/>
        <v>272.12000000000012</v>
      </c>
      <c r="E6" s="88">
        <f t="shared" ref="E6:E12" si="1">D6/B6</f>
        <v>0.1396919917864477</v>
      </c>
      <c r="F6" s="89">
        <f t="shared" ref="F6:F13" si="2">100%-E6</f>
        <v>0.86030800821355236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36" ht="27">
      <c r="A7" s="94" t="s">
        <v>276</v>
      </c>
      <c r="B7" s="8">
        <f>SUMIFS(Tabela1[VALOR],Tabela1[MÊS],A7,Tabela1[TIPO], $B$4)</f>
        <v>2022</v>
      </c>
      <c r="C7" s="8">
        <f>SUMIFS(Tabela1[VALOR],Tabela1[MÊS],A7,Tabela1[TIPO], $C$4)</f>
        <v>1245.3900000000001</v>
      </c>
      <c r="D7" s="8">
        <f t="shared" si="0"/>
        <v>776.6099999999999</v>
      </c>
      <c r="E7" s="88">
        <f t="shared" si="1"/>
        <v>0.38408011869436198</v>
      </c>
      <c r="F7" s="89">
        <f t="shared" si="2"/>
        <v>0.61591988130563802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36" ht="27">
      <c r="A8" s="95" t="s">
        <v>277</v>
      </c>
      <c r="B8" s="9">
        <f>SUMIFS(Tabela1[VALOR],Tabela1[MÊS],A8,Tabela1[TIPO], $B$4)</f>
        <v>2216</v>
      </c>
      <c r="C8" s="9">
        <f>SUMIFS(Tabela1[VALOR],Tabela1[MÊS],A8,Tabela1[TIPO], $C$4)</f>
        <v>1706.66</v>
      </c>
      <c r="D8" s="9">
        <f t="shared" si="0"/>
        <v>509.33999999999992</v>
      </c>
      <c r="E8" s="88">
        <f t="shared" si="1"/>
        <v>0.22984657039711187</v>
      </c>
      <c r="F8" s="89">
        <f t="shared" si="2"/>
        <v>0.77015342960288813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36" ht="27">
      <c r="A9" s="94" t="s">
        <v>278</v>
      </c>
      <c r="B9" s="8">
        <f>SUMIFS(Tabela1[VALOR],Tabela1[MÊS],A9,Tabela1[TIPO], $B$4)</f>
        <v>2084</v>
      </c>
      <c r="C9" s="8">
        <f>SUMIFS(Tabela1[VALOR],Tabela1[MÊS],A9,Tabela1[TIPO], $C$4)</f>
        <v>1634.2200000000003</v>
      </c>
      <c r="D9" s="8">
        <f t="shared" si="0"/>
        <v>449.77999999999975</v>
      </c>
      <c r="E9" s="88">
        <f t="shared" si="1"/>
        <v>0.21582533589251426</v>
      </c>
      <c r="F9" s="89">
        <f t="shared" si="2"/>
        <v>0.78417466410748571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36" ht="27">
      <c r="A10" s="95" t="s">
        <v>279</v>
      </c>
      <c r="B10" s="9">
        <f>SUMIFS(Tabela1[VALOR],Tabela1[MÊS],A10,Tabela1[TIPO], $B$4)</f>
        <v>1976</v>
      </c>
      <c r="C10" s="9">
        <f>SUMIFS(Tabela1[VALOR],Tabela1[MÊS],A10,Tabela1[TIPO], $C$4)</f>
        <v>1997.9800000000002</v>
      </c>
      <c r="D10" s="9">
        <f t="shared" si="0"/>
        <v>-21.980000000000246</v>
      </c>
      <c r="E10" s="88">
        <f t="shared" si="1"/>
        <v>-1.1123481781376643E-2</v>
      </c>
      <c r="F10" s="89">
        <f t="shared" si="2"/>
        <v>1.0111234817813766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36" ht="27">
      <c r="A11" s="94" t="s">
        <v>280</v>
      </c>
      <c r="B11" s="8">
        <f>SUMIFS(Tabela1[VALOR],Tabela1[MÊS],A11,Tabela1[TIPO], $B$4)</f>
        <v>2250</v>
      </c>
      <c r="C11" s="8">
        <f>SUMIFS(Tabela1[VALOR],Tabela1[MÊS],A11,Tabela1[TIPO], $C$4)</f>
        <v>1856.6700000000005</v>
      </c>
      <c r="D11" s="8">
        <f t="shared" si="0"/>
        <v>393.32999999999947</v>
      </c>
      <c r="E11" s="88">
        <f t="shared" si="1"/>
        <v>0.1748133333333331</v>
      </c>
      <c r="F11" s="89">
        <f t="shared" si="2"/>
        <v>0.82518666666666696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36" ht="27">
      <c r="A12" s="95" t="s">
        <v>281</v>
      </c>
      <c r="B12" s="9">
        <f>SUMIFS(Tabela1[VALOR],Tabela1[MÊS],A12,Tabela1[TIPO], $B$4)</f>
        <v>1936</v>
      </c>
      <c r="C12" s="9">
        <f>SUMIFS(Tabela1[VALOR],Tabela1[MÊS],A12,Tabela1[TIPO], $C$4)</f>
        <v>1886.6600000000003</v>
      </c>
      <c r="D12" s="9">
        <f t="shared" si="0"/>
        <v>49.339999999999691</v>
      </c>
      <c r="E12" s="88">
        <f t="shared" si="1"/>
        <v>2.5485537190082484E-2</v>
      </c>
      <c r="F12" s="89">
        <f t="shared" si="2"/>
        <v>0.97451446280991749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36" ht="27">
      <c r="A13" s="94" t="s">
        <v>282</v>
      </c>
      <c r="B13" s="8">
        <f>SUMIFS(Tabela1[VALOR],Tabela1[MÊS],A13,Tabela1[TIPO], $B$4)</f>
        <v>3206</v>
      </c>
      <c r="C13" s="8">
        <f>SUMIFS(Tabela1[VALOR],Tabela1[MÊS],A13,Tabela1[TIPO], $C$4)</f>
        <v>2714.4866666666676</v>
      </c>
      <c r="D13" s="8">
        <f t="shared" si="0"/>
        <v>491.51333333333241</v>
      </c>
      <c r="E13" s="88">
        <f>D13/B13</f>
        <v>0.15331045955500075</v>
      </c>
      <c r="F13" s="89">
        <f t="shared" si="2"/>
        <v>0.84668954044499922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36" ht="27">
      <c r="A14" s="95" t="s">
        <v>283</v>
      </c>
      <c r="B14" s="9">
        <f>SUMIFS(Tabela1[VALOR],Tabela1[MÊS],A14,Tabela1[TIPO], $B$4)</f>
        <v>3651</v>
      </c>
      <c r="C14" s="9">
        <f>SUMIFS(Tabela1[VALOR],Tabela1[MÊS],A14,Tabela1[TIPO], $C$4)</f>
        <v>3159.5766666666664</v>
      </c>
      <c r="D14" s="9">
        <f t="shared" si="0"/>
        <v>491.42333333333363</v>
      </c>
      <c r="E14" s="88">
        <f>D14/B14</f>
        <v>0.13459965306308783</v>
      </c>
      <c r="F14" s="89">
        <f>100%-E14</f>
        <v>0.86540034693691215</v>
      </c>
      <c r="G14" s="11"/>
      <c r="H14" s="75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36">
      <c r="A15" s="32" t="s">
        <v>284</v>
      </c>
      <c r="B15" s="33">
        <f>SUMIFS(Tabela1[VALOR],Tabela1[MÊS],A15,Tabela1[TIPO], $B$4)</f>
        <v>4103.0169999999998</v>
      </c>
      <c r="C15" s="33">
        <f>SUMIFS(Tabela1[VALOR],Tabela1[MÊS],A15,Tabela1[TIPO], $C$4)</f>
        <v>3716.5183333333339</v>
      </c>
      <c r="D15" s="33">
        <f t="shared" si="0"/>
        <v>386.49866666666594</v>
      </c>
      <c r="E15" s="88">
        <f>D15/B15</f>
        <v>9.4198651057664631E-2</v>
      </c>
      <c r="F15" s="89">
        <f>100%-E15</f>
        <v>0.90580134894233533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36" s="5" customFormat="1">
      <c r="A16" s="48">
        <f>COUNTA(A5:A15)</f>
        <v>11</v>
      </c>
      <c r="B16" s="49" t="s">
        <v>285</v>
      </c>
      <c r="C16" s="49"/>
      <c r="D16" s="53">
        <f>SUM(D5:D15)</f>
        <v>4191.305333333331</v>
      </c>
      <c r="E16" s="60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s="5" customFormat="1" ht="27">
      <c r="A17" s="453" t="s">
        <v>286</v>
      </c>
      <c r="B17" s="453"/>
      <c r="C17" s="453"/>
      <c r="D17" s="64">
        <f>D16/A16</f>
        <v>381.02775757575733</v>
      </c>
      <c r="E17" s="60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s="5" customFormat="1" ht="18" customHeight="1">
      <c r="A18" s="455"/>
      <c r="B18" s="455"/>
      <c r="C18" s="455"/>
      <c r="D18" s="63">
        <f>AVERAGE(E5:E15)</f>
        <v>0.16292890354629089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s="5" customFormat="1" ht="18" customHeight="1">
      <c r="A19" s="411"/>
      <c r="B19" s="411"/>
      <c r="C19" s="411"/>
      <c r="D19" s="62">
        <f>D17/D2</f>
        <v>0.15548681889217278</v>
      </c>
      <c r="E19" s="11" t="s">
        <v>287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s="5" customFormat="1" ht="30.6">
      <c r="A20" s="456"/>
      <c r="B20" s="456"/>
      <c r="C20" s="456"/>
      <c r="D20" s="456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s="5" customFormat="1" ht="27">
      <c r="A21" s="444" t="s">
        <v>216</v>
      </c>
      <c r="B21" s="445"/>
      <c r="C21" s="445"/>
      <c r="D21" s="454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s="5" customFormat="1" ht="27">
      <c r="A22" s="457" t="s">
        <v>288</v>
      </c>
      <c r="B22" s="458"/>
      <c r="C22" s="463" t="s">
        <v>289</v>
      </c>
      <c r="D22" s="464"/>
      <c r="E22" s="76" t="s">
        <v>290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s="5" customFormat="1" ht="27">
      <c r="A23" s="469" t="s">
        <v>291</v>
      </c>
      <c r="B23" s="469"/>
      <c r="C23" s="465">
        <f>'LANÇAMENTOS 2023'!E124+'LANÇAMENTOS 2023'!E126+'LANÇAMENTOS 2023'!E129+'LANÇAMENTOS 2023'!E134+'LANÇAMENTOS 2023'!E136+'LANÇAMENTOS 2023'!E138</f>
        <v>360.39000000000004</v>
      </c>
      <c r="D23" s="466"/>
      <c r="E23" s="77">
        <f>C23/4</f>
        <v>90.097500000000011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s="5" customFormat="1" ht="27">
      <c r="A24" s="469" t="s">
        <v>292</v>
      </c>
      <c r="B24" s="469"/>
      <c r="C24" s="465">
        <f>SUM(,'LANÇAMENTOS 2023'!E145,'LANÇAMENTOS 2023'!E150,'LANÇAMENTOS 2023'!E152,'LANÇAMENTOS 2023'!E154,'LANÇAMENTOS 2023'!E160,'LANÇAMENTOS 2023'!E162,)</f>
        <v>313.04000000000002</v>
      </c>
      <c r="D24" s="466"/>
      <c r="E24" s="77">
        <f t="shared" ref="E24" si="3">C24/4</f>
        <v>78.260000000000005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s="5" customFormat="1" ht="27">
      <c r="A25" s="459" t="s">
        <v>293</v>
      </c>
      <c r="B25" s="459"/>
      <c r="C25" s="467">
        <f>SUM('LANÇAMENTOS 2023'!E166,'LANÇAMENTOS 2023'!E175,'LANÇAMENTOS 2023'!E178,'LANÇAMENTOS 2023'!E179,'LANÇAMENTOS 2023'!E180,'LANÇAMENTOS 2023'!E182,'LANÇAMENTOS 2023'!E184,'LANÇAMENTOS 2023'!E186,'LANÇAMENTOS 2023'!E190,'LANÇAMENTOS 2023'!E191,'LANÇAMENTOS 2023'!E193,'LANÇAMENTOS 2023'!E195,'LANÇAMENTOS 2023'!E197,'LANÇAMENTOS 2023'!E199)</f>
        <v>584.36666666666667</v>
      </c>
      <c r="D25" s="468"/>
      <c r="E25" s="77">
        <f>C25/4</f>
        <v>146.09166666666667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s="5" customFormat="1" ht="27">
      <c r="A26" s="459" t="s">
        <v>294</v>
      </c>
      <c r="B26" s="459"/>
      <c r="C26" s="481">
        <f>SUM('LANÇAMENTOS 2023'!E211,'LANÇAMENTOS 2023'!E216,'LANÇAMENTOS 2023'!E218,'LANÇAMENTOS 2023'!E219,'LANÇAMENTOS 2023'!E222,'LANÇAMENTOS 2023'!E226,'LANÇAMENTOS 2023'!E230,)</f>
        <v>218.6</v>
      </c>
      <c r="D26" s="481"/>
      <c r="E26" s="77">
        <f>C26/4</f>
        <v>54.65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s="5" customFormat="1" ht="27">
      <c r="A27" s="482" t="s">
        <v>295</v>
      </c>
      <c r="B27" s="483"/>
      <c r="C27" s="465">
        <f>SUM('LANÇAMENTOS 2023'!E240,'LANÇAMENTOS 2023'!E244,'LANÇAMENTOS 2023'!E245,'LANÇAMENTOS 2023'!E248,'LANÇAMENTOS 2023'!E252,'LANÇAMENTOS 2023'!E255,'LANÇAMENTOS 2023'!E259,'LANÇAMENTOS 2023'!E261,'LANÇAMENTOS 2023'!E264,'LANÇAMENTOS 2023'!E267,'LANÇAMENTOS 2023'!E270,'LANÇAMENTOS 2023'!E275,'LANÇAMENTOS 2023'!E284)</f>
        <v>246.80000000000004</v>
      </c>
      <c r="D27" s="466"/>
      <c r="E27" s="77">
        <f>C27/4</f>
        <v>61.70000000000001</v>
      </c>
      <c r="F27" s="77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s="42" customFormat="1" ht="27">
      <c r="A28" s="460" t="s">
        <v>296</v>
      </c>
      <c r="B28" s="461"/>
      <c r="C28" s="462"/>
      <c r="D28" s="59">
        <f>SUM(C23:C28)</f>
        <v>1723.1966666666665</v>
      </c>
      <c r="E28" s="65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</row>
    <row r="29" spans="1:24" s="5" customFormat="1">
      <c r="A29" s="66">
        <f>COUNTA(A23:B27)</f>
        <v>5</v>
      </c>
      <c r="B29" s="451" t="s">
        <v>297</v>
      </c>
      <c r="C29" s="451"/>
      <c r="D29" s="67">
        <f>D28/A29</f>
        <v>344.6393333333333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s="5" customFormat="1">
      <c r="A30" s="10"/>
      <c r="B30" s="480" t="s">
        <v>298</v>
      </c>
      <c r="C30" s="480"/>
      <c r="D30" s="74">
        <f>AVERAGE(E23:E27)</f>
        <v>86.159833333333324</v>
      </c>
      <c r="E30" s="60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s="5" customFormat="1">
      <c r="A31" s="10"/>
      <c r="B31" s="10"/>
      <c r="C31" s="10"/>
      <c r="D31" s="10"/>
      <c r="E31" s="77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s="5" customFormat="1">
      <c r="A32" s="133" t="s">
        <v>299</v>
      </c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5" s="5" customFormat="1">
      <c r="A33" s="133" t="s">
        <v>300</v>
      </c>
      <c r="B33" s="10"/>
      <c r="C33" s="10"/>
      <c r="D33" s="74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5" s="5" customFormat="1">
      <c r="A34" s="133" t="s">
        <v>301</v>
      </c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5" s="5" customFormat="1">
      <c r="A35" s="10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5" s="5" customFormat="1">
      <c r="A36" s="10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5" s="5" customFormat="1" ht="27">
      <c r="A37" s="470" t="s">
        <v>302</v>
      </c>
      <c r="B37" s="471"/>
      <c r="C37" s="471"/>
      <c r="D37" s="472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s="5" customFormat="1" ht="27">
      <c r="A38" s="473" t="s">
        <v>303</v>
      </c>
      <c r="B38" s="474"/>
      <c r="C38" s="40" t="s">
        <v>289</v>
      </c>
      <c r="D38" s="40" t="s">
        <v>304</v>
      </c>
      <c r="E38" s="11"/>
      <c r="F38" s="11"/>
      <c r="G38" s="6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s="5" customFormat="1" ht="76.5" customHeight="1">
      <c r="A39" s="475" t="s">
        <v>305</v>
      </c>
      <c r="B39" s="476"/>
      <c r="C39" s="410">
        <f>1500-150-150-150-150-150-150-150-150-150-150</f>
        <v>0</v>
      </c>
      <c r="D39" s="39" t="s">
        <v>306</v>
      </c>
      <c r="E39" s="11"/>
      <c r="F39" s="11"/>
      <c r="G39" s="11"/>
      <c r="H39" s="11"/>
      <c r="I39" s="11"/>
      <c r="J39" s="75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s="42" customFormat="1" ht="27">
      <c r="A40" s="477" t="s">
        <v>307</v>
      </c>
      <c r="B40" s="478"/>
      <c r="C40" s="479"/>
      <c r="D40" s="98">
        <f>SUM(C38:C39)</f>
        <v>0</v>
      </c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</row>
    <row r="41" spans="1:25" s="5" customFormat="1">
      <c r="A41" s="10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5" s="5" customFormat="1" ht="27">
      <c r="A42" s="444" t="s">
        <v>216</v>
      </c>
      <c r="B42" s="445"/>
      <c r="C42" s="446"/>
      <c r="D42" s="447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 s="5" customFormat="1" ht="27">
      <c r="A43" s="134" t="s">
        <v>288</v>
      </c>
      <c r="B43" s="127" t="s">
        <v>289</v>
      </c>
      <c r="C43" s="127" t="s">
        <v>290</v>
      </c>
      <c r="D43" s="127" t="s">
        <v>308</v>
      </c>
      <c r="E43" s="76"/>
      <c r="F43" s="76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s="5" customFormat="1">
      <c r="A44" s="126" t="s">
        <v>309</v>
      </c>
      <c r="B44" s="136" t="e">
        <f>SUMIF('LANÇAMENTOS 2024'!#REF!,'LANÇAMENTOS 2024'!E9&amp;"*",'LANÇAMENTOS 2024'!#REF!)</f>
        <v>#REF!</v>
      </c>
      <c r="C44" s="125" t="e">
        <f>B44/4</f>
        <v>#REF!</v>
      </c>
      <c r="D44" s="137" t="e">
        <f>COUNTIF('LANÇAMENTOS 2024'!#REF!,'LANÇAMENTOS 2024'!E24&amp;"*")+10</f>
        <v>#REF!</v>
      </c>
      <c r="E44" s="77"/>
      <c r="F44" s="77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s="5" customFormat="1">
      <c r="A45" s="126" t="s">
        <v>310</v>
      </c>
      <c r="B45" s="136"/>
      <c r="C45" s="125"/>
      <c r="D45" s="137"/>
      <c r="E45" s="77"/>
      <c r="F45" s="77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 s="5" customFormat="1">
      <c r="A46" s="135" t="s">
        <v>311</v>
      </c>
      <c r="B46" s="186"/>
      <c r="C46" s="187"/>
      <c r="D46" s="137"/>
      <c r="E46" s="77"/>
      <c r="F46" s="77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s="5" customFormat="1">
      <c r="A47" s="185" t="s">
        <v>312</v>
      </c>
      <c r="B47" s="139"/>
      <c r="C47" s="125"/>
      <c r="D47" s="137"/>
      <c r="E47" s="77"/>
      <c r="F47" s="77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 s="5" customFormat="1">
      <c r="A48" s="126" t="s">
        <v>313</v>
      </c>
      <c r="B48" s="188"/>
      <c r="C48" s="189"/>
      <c r="D48" s="138"/>
      <c r="E48" s="77"/>
      <c r="F48" s="77"/>
      <c r="G48" s="77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 s="5" customFormat="1">
      <c r="A49" s="126" t="s">
        <v>314</v>
      </c>
      <c r="B49" s="139"/>
      <c r="C49" s="140"/>
      <c r="D49" s="138"/>
      <c r="E49" s="77"/>
      <c r="F49" s="77"/>
      <c r="G49" s="77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s="42" customFormat="1" ht="27">
      <c r="A50" s="448" t="s">
        <v>315</v>
      </c>
      <c r="B50" s="449"/>
      <c r="C50" s="450"/>
      <c r="D50" s="128" t="e">
        <f>SUM(B44:B49)</f>
        <v>#REF!</v>
      </c>
      <c r="E50" s="65"/>
      <c r="F50" s="65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</row>
    <row r="51" spans="1:25" s="5" customFormat="1">
      <c r="A51" s="66">
        <f>COUNTA(A44:A46)</f>
        <v>3</v>
      </c>
      <c r="B51" s="451" t="s">
        <v>297</v>
      </c>
      <c r="C51" s="451"/>
      <c r="D51" s="130" t="e">
        <f>SUM(B44:B46)/A51</f>
        <v>#REF!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s="5" customFormat="1">
      <c r="A52" s="10"/>
      <c r="B52" s="452" t="s">
        <v>298</v>
      </c>
      <c r="C52" s="452"/>
      <c r="D52" s="129" t="e">
        <f>AVERAGE(C44:C46)</f>
        <v>#REF!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s="5" customFormat="1">
      <c r="A53" s="10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5" s="5" customFormat="1">
      <c r="A54" s="10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5" s="5" customFormat="1">
      <c r="A55" s="10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5" s="5" customFormat="1">
      <c r="A56" s="10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5" s="5" customFormat="1">
      <c r="A57" s="10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5" s="5" customFormat="1">
      <c r="A58" s="10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5" s="5" customFormat="1">
      <c r="A59" s="10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5" s="5" customFormat="1">
      <c r="A60" s="10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5" s="5" customFormat="1">
      <c r="A61" s="10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5" s="5" customFormat="1">
      <c r="A62" s="10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5" s="5" customFormat="1">
      <c r="A63" s="10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5" s="5" customFormat="1">
      <c r="A64" s="10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s="5" customFormat="1">
      <c r="A65" s="10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s="5" customFormat="1">
      <c r="A66" s="10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s="5" customFormat="1">
      <c r="A67" s="10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s="5" customFormat="1">
      <c r="A68" s="10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s="5" customFormat="1">
      <c r="A69" s="10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s="5" customFormat="1">
      <c r="A70" s="10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s="5" customFormat="1">
      <c r="A71" s="10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s="5" customFormat="1">
      <c r="A72" s="10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s="5" customFormat="1">
      <c r="A73" s="10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s="5" customFormat="1">
      <c r="A74" s="10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s="5" customFormat="1">
      <c r="A75" s="10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s="5" customFormat="1">
      <c r="A76" s="10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s="5" customFormat="1">
      <c r="A77" s="10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s="5" customFormat="1">
      <c r="A78" s="10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s="5" customFormat="1">
      <c r="A79" s="10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s="5" customFormat="1">
      <c r="A80" s="10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s="5" customFormat="1">
      <c r="A81" s="10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s="5" customFormat="1">
      <c r="A82" s="10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s="5" customFormat="1">
      <c r="A83" s="10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s="5" customFormat="1">
      <c r="A84" s="10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s="5" customFormat="1">
      <c r="A85" s="10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s="5" customFormat="1">
      <c r="A86" s="10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s="5" customFormat="1">
      <c r="A87" s="10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s="5" customFormat="1">
      <c r="A88" s="10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s="5" customFormat="1">
      <c r="A89" s="10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s="5" customFormat="1">
      <c r="A90" s="10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s="5" customFormat="1">
      <c r="A91" s="10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s="5" customFormat="1">
      <c r="A92" s="10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s="5" customFormat="1">
      <c r="A93" s="10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s="5" customFormat="1">
      <c r="A94" s="10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s="5" customFormat="1">
      <c r="A95" s="10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s="5" customFormat="1">
      <c r="A96" s="10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s="5" customFormat="1">
      <c r="A97" s="10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>
      <c r="A98" s="10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>
      <c r="A99" s="10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</sheetData>
  <mergeCells count="27">
    <mergeCell ref="A23:B23"/>
    <mergeCell ref="A37:D37"/>
    <mergeCell ref="A38:B38"/>
    <mergeCell ref="A39:B39"/>
    <mergeCell ref="A40:C40"/>
    <mergeCell ref="B30:C30"/>
    <mergeCell ref="A26:B26"/>
    <mergeCell ref="C26:D26"/>
    <mergeCell ref="A24:B24"/>
    <mergeCell ref="A27:B27"/>
    <mergeCell ref="C27:D27"/>
    <mergeCell ref="A42:D42"/>
    <mergeCell ref="A50:C50"/>
    <mergeCell ref="B51:C51"/>
    <mergeCell ref="B52:C52"/>
    <mergeCell ref="A17:C17"/>
    <mergeCell ref="A21:D21"/>
    <mergeCell ref="A18:C18"/>
    <mergeCell ref="A20:D20"/>
    <mergeCell ref="A22:B22"/>
    <mergeCell ref="B29:C29"/>
    <mergeCell ref="A25:B25"/>
    <mergeCell ref="A28:C28"/>
    <mergeCell ref="C22:D22"/>
    <mergeCell ref="C23:D23"/>
    <mergeCell ref="C24:D24"/>
    <mergeCell ref="C25:D25"/>
  </mergeCells>
  <phoneticPr fontId="1" alignment="center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356FE-C5AA-F249-B127-4333E1EEE745}">
  <sheetPr>
    <tabColor theme="0"/>
  </sheetPr>
  <dimension ref="N33"/>
  <sheetViews>
    <sheetView showGridLines="0" showRowColHeaders="0" topLeftCell="A40" zoomScaleNormal="60" zoomScaleSheetLayoutView="100" workbookViewId="0">
      <selection activeCell="F90" sqref="F90"/>
    </sheetView>
  </sheetViews>
  <sheetFormatPr defaultColWidth="8.5546875" defaultRowHeight="14.4"/>
  <cols>
    <col min="1" max="16384" width="8.5546875" style="3"/>
  </cols>
  <sheetData>
    <row r="33" spans="14:14">
      <c r="N33" s="209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D7A06-B186-FB4D-B434-C18BD2EB78DC}">
  <dimension ref="A1:AZ569"/>
  <sheetViews>
    <sheetView topLeftCell="C476" zoomScale="55" zoomScaleNormal="55" zoomScaleSheetLayoutView="100" workbookViewId="0">
      <selection activeCell="E482" sqref="E482"/>
    </sheetView>
  </sheetViews>
  <sheetFormatPr defaultColWidth="8.5546875" defaultRowHeight="26.4"/>
  <cols>
    <col min="1" max="1" width="18.6640625" style="4" customWidth="1"/>
    <col min="2" max="3" width="13.5546875" style="13" customWidth="1"/>
    <col min="4" max="4" width="15.33203125" style="4" customWidth="1"/>
    <col min="5" max="5" width="34" style="4" customWidth="1"/>
    <col min="6" max="6" width="21.88671875" style="4" customWidth="1"/>
    <col min="7" max="7" width="48.44140625" style="10" bestFit="1" customWidth="1"/>
    <col min="8" max="8" width="28.5546875" style="10" customWidth="1"/>
    <col min="9" max="9" width="12.44140625" style="10" customWidth="1"/>
    <col min="10" max="10" width="21.44140625" style="10" customWidth="1"/>
    <col min="11" max="11" width="9.5546875" style="10" bestFit="1" customWidth="1"/>
    <col min="12" max="12" width="9" style="10" bestFit="1" customWidth="1"/>
    <col min="13" max="13" width="8.5546875" style="10"/>
    <col min="14" max="14" width="17" style="10" bestFit="1" customWidth="1"/>
    <col min="15" max="52" width="8.5546875" style="10"/>
    <col min="53" max="16384" width="8.5546875" style="4"/>
  </cols>
  <sheetData>
    <row r="1" spans="1:52">
      <c r="A1" s="10"/>
      <c r="B1" s="16"/>
      <c r="C1" s="16"/>
      <c r="D1" s="10"/>
      <c r="E1" s="10"/>
      <c r="F1" s="10"/>
    </row>
    <row r="2" spans="1:52" ht="31.5" customHeight="1">
      <c r="A2" s="10"/>
      <c r="B2" s="16"/>
      <c r="C2" s="16"/>
      <c r="D2" s="10"/>
      <c r="E2" s="10"/>
      <c r="F2" s="10"/>
    </row>
    <row r="3" spans="1:52">
      <c r="A3" s="10"/>
      <c r="B3" s="16"/>
      <c r="C3" s="16"/>
      <c r="D3" s="10"/>
      <c r="E3" s="10"/>
      <c r="F3" s="10"/>
    </row>
    <row r="4" spans="1:52" s="15" customFormat="1" ht="28.5" customHeight="1">
      <c r="A4" s="14" t="s">
        <v>33</v>
      </c>
      <c r="B4" s="14" t="s">
        <v>34</v>
      </c>
      <c r="C4" s="14" t="s">
        <v>316</v>
      </c>
      <c r="D4" s="14" t="s">
        <v>35</v>
      </c>
      <c r="E4" s="14" t="s">
        <v>36</v>
      </c>
      <c r="F4" s="14" t="s">
        <v>37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>
      <c r="A5" s="225">
        <v>45292</v>
      </c>
      <c r="B5" s="226" t="str">
        <f>UPPER(TEXT(Tabela14[[#This Row],[DATA]],"MMM"))</f>
        <v>JAN</v>
      </c>
      <c r="C5" s="226"/>
      <c r="D5" s="177" t="s">
        <v>40</v>
      </c>
      <c r="E5" s="7" t="s">
        <v>142</v>
      </c>
      <c r="F5" s="114">
        <v>60.18</v>
      </c>
    </row>
    <row r="6" spans="1:52">
      <c r="A6" s="18">
        <v>45292</v>
      </c>
      <c r="B6" s="19" t="str">
        <f>UPPER(TEXT(Tabela14[[#This Row],[DATA]],"MMM"))</f>
        <v>JAN</v>
      </c>
      <c r="C6" s="19"/>
      <c r="D6" s="177" t="s">
        <v>38</v>
      </c>
      <c r="E6" s="7" t="s">
        <v>317</v>
      </c>
      <c r="F6" s="8">
        <v>2546.9899999999998</v>
      </c>
    </row>
    <row r="7" spans="1:52">
      <c r="A7" s="225">
        <v>45292</v>
      </c>
      <c r="B7" s="226" t="str">
        <f>UPPER(TEXT(Tabela14[[#This Row],[DATA]],"MMM"))</f>
        <v>JAN</v>
      </c>
      <c r="C7" s="226"/>
      <c r="D7" s="177" t="s">
        <v>40</v>
      </c>
      <c r="E7" s="249" t="s">
        <v>318</v>
      </c>
      <c r="F7" s="141">
        <f>190.79/3</f>
        <v>63.596666666666664</v>
      </c>
    </row>
    <row r="8" spans="1:52" ht="27">
      <c r="A8" s="225">
        <v>45292</v>
      </c>
      <c r="B8" s="226" t="str">
        <f>UPPER(TEXT(Tabela14[[#This Row],[DATA]],"MMM"))</f>
        <v>JAN</v>
      </c>
      <c r="C8" s="226"/>
      <c r="D8" s="178" t="s">
        <v>40</v>
      </c>
      <c r="E8" s="28" t="s">
        <v>319</v>
      </c>
      <c r="F8" s="254">
        <f>104.63/3*2</f>
        <v>69.75333333333333</v>
      </c>
    </row>
    <row r="9" spans="1:52">
      <c r="A9" s="225">
        <v>45292</v>
      </c>
      <c r="B9" s="226" t="str">
        <f>UPPER(TEXT(Tabela14[[#This Row],[DATA]],"MMM"))</f>
        <v>JAN</v>
      </c>
      <c r="C9" s="226"/>
      <c r="D9" s="177" t="s">
        <v>40</v>
      </c>
      <c r="E9" s="43" t="s">
        <v>320</v>
      </c>
      <c r="F9" s="261">
        <f>227.9/3</f>
        <v>75.966666666666669</v>
      </c>
    </row>
    <row r="10" spans="1:52">
      <c r="A10" s="225">
        <v>45292</v>
      </c>
      <c r="B10" s="226" t="str">
        <f>UPPER(TEXT(Tabela14[[#This Row],[DATA]],"MMM"))</f>
        <v>JAN</v>
      </c>
      <c r="C10" s="226"/>
      <c r="D10" s="177" t="s">
        <v>40</v>
      </c>
      <c r="E10" s="7" t="s">
        <v>123</v>
      </c>
      <c r="F10" s="114">
        <v>78</v>
      </c>
    </row>
    <row r="11" spans="1:52">
      <c r="A11" s="225">
        <v>45292</v>
      </c>
      <c r="B11" s="226" t="str">
        <f>UPPER(TEXT(Tabela14[[#This Row],[DATA]],"MMM"))</f>
        <v>JAN</v>
      </c>
      <c r="C11" s="226"/>
      <c r="D11" s="177" t="s">
        <v>40</v>
      </c>
      <c r="E11" s="50" t="s">
        <v>321</v>
      </c>
      <c r="F11" s="112">
        <f>(29.99+230+25.9+14.9)/3</f>
        <v>100.26333333333332</v>
      </c>
    </row>
    <row r="12" spans="1:52">
      <c r="A12" s="225">
        <v>45292</v>
      </c>
      <c r="B12" s="226" t="str">
        <f>UPPER(TEXT(Tabela14[[#This Row],[DATA]],"MMM"))</f>
        <v>JAN</v>
      </c>
      <c r="C12" s="226"/>
      <c r="D12" s="177" t="s">
        <v>40</v>
      </c>
      <c r="E12" s="50" t="s">
        <v>322</v>
      </c>
      <c r="F12" s="112">
        <v>116.66</v>
      </c>
    </row>
    <row r="13" spans="1:52">
      <c r="A13" s="225">
        <v>45292</v>
      </c>
      <c r="B13" s="226" t="str">
        <f>UPPER(TEXT(Tabela14[[#This Row],[DATA]],"MMM"))</f>
        <v>JAN</v>
      </c>
      <c r="C13" s="226"/>
      <c r="D13" s="177" t="s">
        <v>40</v>
      </c>
      <c r="E13" s="249" t="s">
        <v>323</v>
      </c>
      <c r="F13" s="141">
        <f>379.89/3</f>
        <v>126.63</v>
      </c>
    </row>
    <row r="14" spans="1:52">
      <c r="A14" s="225">
        <v>45293</v>
      </c>
      <c r="B14" s="226" t="str">
        <f>UPPER(TEXT(Tabela14[[#This Row],[DATA]],"MMM"))</f>
        <v>JAN</v>
      </c>
      <c r="C14" s="226" t="s">
        <v>324</v>
      </c>
      <c r="D14" s="178" t="s">
        <v>40</v>
      </c>
      <c r="E14" s="20" t="s">
        <v>325</v>
      </c>
      <c r="F14" s="21">
        <v>32</v>
      </c>
    </row>
    <row r="15" spans="1:52">
      <c r="A15" s="18">
        <v>45294</v>
      </c>
      <c r="B15" s="19" t="str">
        <f>UPPER(TEXT(Tabela14[[#This Row],[DATA]],"MMM"))</f>
        <v>JAN</v>
      </c>
      <c r="C15" s="19"/>
      <c r="D15" s="177" t="s">
        <v>40</v>
      </c>
      <c r="E15" s="7" t="s">
        <v>326</v>
      </c>
      <c r="F15" s="8">
        <f>14.59-7</f>
        <v>7.59</v>
      </c>
    </row>
    <row r="16" spans="1:52">
      <c r="A16" s="18">
        <v>45295</v>
      </c>
      <c r="B16" s="19" t="str">
        <f>UPPER(TEXT(Tabela14[[#This Row],[DATA]],"MMM"))</f>
        <v>JAN</v>
      </c>
      <c r="C16" s="226" t="s">
        <v>324</v>
      </c>
      <c r="D16" s="177" t="s">
        <v>40</v>
      </c>
      <c r="E16" s="111" t="s">
        <v>327</v>
      </c>
      <c r="F16" s="8">
        <v>79</v>
      </c>
    </row>
    <row r="17" spans="1:8" ht="27">
      <c r="A17" s="18">
        <v>45297</v>
      </c>
      <c r="B17" s="23" t="str">
        <f>UPPER(TEXT(Tabela14[[#This Row],[DATA]],"MMM"))</f>
        <v>JAN</v>
      </c>
      <c r="C17" s="23"/>
      <c r="D17" s="179" t="s">
        <v>40</v>
      </c>
      <c r="E17" s="28" t="s">
        <v>328</v>
      </c>
      <c r="F17" s="27">
        <v>13.51</v>
      </c>
    </row>
    <row r="18" spans="1:8">
      <c r="A18" s="18">
        <v>45298</v>
      </c>
      <c r="B18" s="23" t="str">
        <f>UPPER(TEXT(Tabela14[[#This Row],[DATA]],"MMM"))</f>
        <v>JAN</v>
      </c>
      <c r="C18" s="23" t="s">
        <v>324</v>
      </c>
      <c r="D18" s="179" t="s">
        <v>40</v>
      </c>
      <c r="E18" s="24" t="s">
        <v>329</v>
      </c>
      <c r="F18" s="25">
        <v>34</v>
      </c>
    </row>
    <row r="19" spans="1:8">
      <c r="A19" s="225">
        <v>45298</v>
      </c>
      <c r="B19" s="226" t="str">
        <f>UPPER(TEXT(Tabela14[[#This Row],[DATA]],"MMM"))</f>
        <v>JAN</v>
      </c>
      <c r="C19" s="226" t="s">
        <v>324</v>
      </c>
      <c r="D19" s="178" t="s">
        <v>40</v>
      </c>
      <c r="E19" s="20" t="s">
        <v>330</v>
      </c>
      <c r="F19" s="21">
        <v>52.5</v>
      </c>
    </row>
    <row r="20" spans="1:8" ht="27">
      <c r="A20" s="225">
        <v>45298</v>
      </c>
      <c r="B20" s="226" t="str">
        <f>UPPER(TEXT(Tabela14[[#This Row],[DATA]],"MMM"))</f>
        <v>JAN</v>
      </c>
      <c r="C20" s="226"/>
      <c r="D20" s="178" t="s">
        <v>40</v>
      </c>
      <c r="E20" s="55" t="s">
        <v>331</v>
      </c>
      <c r="F20" s="56">
        <f>14.98+12.6+24.92</f>
        <v>52.5</v>
      </c>
    </row>
    <row r="21" spans="1:8" ht="27">
      <c r="A21" s="18">
        <v>45299</v>
      </c>
      <c r="B21" s="23" t="str">
        <f>UPPER(TEXT(Tabela14[[#This Row],[DATA]],"MMM"))</f>
        <v>JAN</v>
      </c>
      <c r="C21" s="23"/>
      <c r="D21" s="179" t="s">
        <v>40</v>
      </c>
      <c r="E21" s="28" t="s">
        <v>216</v>
      </c>
      <c r="F21" s="27">
        <v>10.6</v>
      </c>
    </row>
    <row r="22" spans="1:8">
      <c r="A22" s="18">
        <v>45302</v>
      </c>
      <c r="B22" s="23" t="str">
        <f>UPPER(TEXT(Tabela14[[#This Row],[DATA]],"MMM"))</f>
        <v>JAN</v>
      </c>
      <c r="C22" s="23"/>
      <c r="D22" s="179" t="s">
        <v>40</v>
      </c>
      <c r="E22" s="24" t="s">
        <v>332</v>
      </c>
      <c r="F22" s="25">
        <v>22.9</v>
      </c>
    </row>
    <row r="23" spans="1:8">
      <c r="A23" s="225">
        <v>45303</v>
      </c>
      <c r="B23" s="23" t="str">
        <f>UPPER(TEXT(Tabela14[[#This Row],[DATA]],"MMM"))</f>
        <v>JAN</v>
      </c>
      <c r="C23" s="23"/>
      <c r="D23" s="178" t="s">
        <v>40</v>
      </c>
      <c r="E23" s="24" t="s">
        <v>333</v>
      </c>
      <c r="F23" s="25">
        <v>5.75</v>
      </c>
    </row>
    <row r="24" spans="1:8">
      <c r="A24" s="18">
        <v>45303</v>
      </c>
      <c r="B24" s="226" t="str">
        <f>UPPER(TEXT(Tabela14[[#This Row],[DATA]],"MMM"))</f>
        <v>JAN</v>
      </c>
      <c r="C24" s="226" t="s">
        <v>324</v>
      </c>
      <c r="D24" s="178" t="s">
        <v>40</v>
      </c>
      <c r="E24" s="20" t="s">
        <v>334</v>
      </c>
      <c r="F24" s="21">
        <v>19.98</v>
      </c>
    </row>
    <row r="25" spans="1:8">
      <c r="A25" s="18">
        <v>45304</v>
      </c>
      <c r="B25" s="23" t="str">
        <f>UPPER(TEXT(Tabela14[[#This Row],[DATA]],"MMM"))</f>
        <v>JAN</v>
      </c>
      <c r="C25" s="23" t="s">
        <v>324</v>
      </c>
      <c r="D25" s="178" t="s">
        <v>40</v>
      </c>
      <c r="E25" s="24" t="s">
        <v>335</v>
      </c>
      <c r="F25" s="25">
        <v>35.96</v>
      </c>
    </row>
    <row r="26" spans="1:8" ht="27">
      <c r="A26" s="18">
        <v>45305</v>
      </c>
      <c r="B26" s="23" t="str">
        <f>UPPER(TEXT(Tabela14[[#This Row],[DATA]],"MMM"))</f>
        <v>JAN</v>
      </c>
      <c r="C26" s="23"/>
      <c r="D26" s="179" t="s">
        <v>40</v>
      </c>
      <c r="E26" s="28" t="s">
        <v>216</v>
      </c>
      <c r="F26" s="27">
        <f>9.2+12.38+10.89+5</f>
        <v>37.47</v>
      </c>
      <c r="H26" s="74"/>
    </row>
    <row r="27" spans="1:8">
      <c r="A27" s="225">
        <v>45305</v>
      </c>
      <c r="B27" s="226" t="str">
        <f>UPPER(TEXT(Tabela14[[#This Row],[DATA]],"MMM"))</f>
        <v>JAN</v>
      </c>
      <c r="C27" s="226" t="s">
        <v>324</v>
      </c>
      <c r="D27" s="178" t="s">
        <v>40</v>
      </c>
      <c r="E27" s="20" t="s">
        <v>336</v>
      </c>
      <c r="F27" s="21">
        <v>39.409999999999997</v>
      </c>
    </row>
    <row r="28" spans="1:8">
      <c r="A28" s="18">
        <v>45308</v>
      </c>
      <c r="B28" s="23" t="str">
        <f>UPPER(TEXT(Tabela14[[#This Row],[DATA]],"MMM"))</f>
        <v>JAN</v>
      </c>
      <c r="C28" s="23"/>
      <c r="D28" s="179" t="s">
        <v>40</v>
      </c>
      <c r="E28" s="216" t="s">
        <v>149</v>
      </c>
      <c r="F28" s="158">
        <v>35</v>
      </c>
    </row>
    <row r="29" spans="1:8">
      <c r="A29" s="225">
        <v>45310</v>
      </c>
      <c r="B29" s="226" t="str">
        <f>UPPER(TEXT(Tabela14[[#This Row],[DATA]],"MMM"))</f>
        <v>JAN</v>
      </c>
      <c r="C29" s="226"/>
      <c r="D29" s="178" t="s">
        <v>40</v>
      </c>
      <c r="E29" s="20" t="s">
        <v>333</v>
      </c>
      <c r="F29" s="21">
        <v>5.75</v>
      </c>
      <c r="H29" s="143"/>
    </row>
    <row r="30" spans="1:8" ht="27">
      <c r="A30" s="18">
        <v>45310</v>
      </c>
      <c r="B30" s="23" t="str">
        <f>UPPER(TEXT(Tabela14[[#This Row],[DATA]],"MMM"))</f>
        <v>JAN</v>
      </c>
      <c r="C30" s="23"/>
      <c r="D30" s="179" t="s">
        <v>40</v>
      </c>
      <c r="E30" s="99" t="s">
        <v>337</v>
      </c>
      <c r="F30" s="100">
        <f>13.55+9.27</f>
        <v>22.82</v>
      </c>
    </row>
    <row r="31" spans="1:8" ht="27">
      <c r="A31" s="225">
        <v>45311</v>
      </c>
      <c r="B31" s="226" t="str">
        <f>UPPER(TEXT(Tabela14[[#This Row],[DATA]],"MMM"))</f>
        <v>JAN</v>
      </c>
      <c r="C31" s="226"/>
      <c r="D31" s="178" t="s">
        <v>40</v>
      </c>
      <c r="E31" s="55" t="s">
        <v>200</v>
      </c>
      <c r="F31" s="56">
        <f>27.26/3*2+9.81</f>
        <v>27.983333333333334</v>
      </c>
    </row>
    <row r="32" spans="1:8">
      <c r="A32" s="225">
        <v>45311</v>
      </c>
      <c r="B32" s="226" t="str">
        <f>UPPER(TEXT(Tabela14[[#This Row],[DATA]],"MMM"))</f>
        <v>JAN</v>
      </c>
      <c r="C32" s="226"/>
      <c r="D32" s="178" t="s">
        <v>40</v>
      </c>
      <c r="E32" s="20" t="s">
        <v>338</v>
      </c>
      <c r="F32" s="21">
        <v>60</v>
      </c>
    </row>
    <row r="33" spans="1:8" ht="27">
      <c r="A33" s="18">
        <v>45312</v>
      </c>
      <c r="B33" s="23" t="str">
        <f>UPPER(TEXT(Tabela14[[#This Row],[DATA]],"MMM"))</f>
        <v>JAN</v>
      </c>
      <c r="C33" s="23"/>
      <c r="D33" s="179" t="s">
        <v>40</v>
      </c>
      <c r="E33" s="99" t="s">
        <v>339</v>
      </c>
      <c r="F33" s="100">
        <f>12.44+8.64</f>
        <v>21.08</v>
      </c>
    </row>
    <row r="34" spans="1:8">
      <c r="A34" s="18">
        <v>45315</v>
      </c>
      <c r="B34" s="23" t="str">
        <f>UPPER(TEXT(Tabela14[[#This Row],[DATA]],"MMM"))</f>
        <v>JAN</v>
      </c>
      <c r="C34" s="23"/>
      <c r="D34" s="179" t="s">
        <v>38</v>
      </c>
      <c r="E34" s="86" t="s">
        <v>340</v>
      </c>
      <c r="F34" s="87">
        <v>99.23</v>
      </c>
    </row>
    <row r="35" spans="1:8" ht="27">
      <c r="A35" s="18">
        <v>45317</v>
      </c>
      <c r="B35" s="23" t="str">
        <f>UPPER(TEXT(Tabela14[[#This Row],[DATA]],"MMM"))</f>
        <v>JAN</v>
      </c>
      <c r="C35" s="23"/>
      <c r="D35" s="179" t="s">
        <v>40</v>
      </c>
      <c r="E35" s="99" t="s">
        <v>216</v>
      </c>
      <c r="F35" s="100">
        <v>10.199999999999999</v>
      </c>
    </row>
    <row r="36" spans="1:8" ht="27">
      <c r="A36" s="18">
        <v>45319</v>
      </c>
      <c r="B36" s="23" t="str">
        <f>UPPER(TEXT(Tabela14[[#This Row],[DATA]],"MMM"))</f>
        <v>JAN</v>
      </c>
      <c r="C36" s="23"/>
      <c r="D36" s="179" t="s">
        <v>40</v>
      </c>
      <c r="E36" s="99" t="s">
        <v>341</v>
      </c>
      <c r="F36" s="38">
        <f>8.91+15.1+16.7</f>
        <v>40.709999999999994</v>
      </c>
    </row>
    <row r="37" spans="1:8">
      <c r="A37" s="225">
        <v>45319</v>
      </c>
      <c r="B37" s="226" t="str">
        <f>UPPER(TEXT(Tabela14[[#This Row],[DATA]],"MMM"))</f>
        <v>JAN</v>
      </c>
      <c r="C37" s="226" t="s">
        <v>324</v>
      </c>
      <c r="D37" s="178" t="s">
        <v>40</v>
      </c>
      <c r="E37" s="20" t="s">
        <v>342</v>
      </c>
      <c r="F37" s="38">
        <v>119.61</v>
      </c>
    </row>
    <row r="38" spans="1:8">
      <c r="A38" s="18">
        <v>45320</v>
      </c>
      <c r="B38" s="23" t="str">
        <f>UPPER(TEXT(Tabela14[[#This Row],[DATA]],"MMM"))</f>
        <v>JAN</v>
      </c>
      <c r="C38" s="23"/>
      <c r="D38" s="179" t="s">
        <v>40</v>
      </c>
      <c r="E38" s="37" t="s">
        <v>343</v>
      </c>
      <c r="F38" s="38">
        <v>10</v>
      </c>
    </row>
    <row r="39" spans="1:8">
      <c r="A39" s="225">
        <v>45320</v>
      </c>
      <c r="B39" s="226" t="str">
        <f>UPPER(TEXT(Tabela14[[#This Row],[DATA]],"MMM"))</f>
        <v>JAN</v>
      </c>
      <c r="C39" s="226"/>
      <c r="D39" s="178" t="s">
        <v>40</v>
      </c>
      <c r="E39" s="20" t="s">
        <v>344</v>
      </c>
      <c r="F39" s="21">
        <v>39.17</v>
      </c>
      <c r="H39" s="74"/>
    </row>
    <row r="40" spans="1:8">
      <c r="A40" s="18">
        <v>45323</v>
      </c>
      <c r="B40" s="226" t="str">
        <f>UPPER(TEXT(Tabela14[[#This Row],[DATA]],"MMM"))</f>
        <v>FEV</v>
      </c>
      <c r="C40" s="23"/>
      <c r="D40" s="179" t="s">
        <v>38</v>
      </c>
      <c r="E40" s="37" t="s">
        <v>317</v>
      </c>
      <c r="F40" s="38">
        <f>1242+764.99</f>
        <v>2006.99</v>
      </c>
    </row>
    <row r="41" spans="1:8">
      <c r="A41" s="225">
        <v>45323</v>
      </c>
      <c r="B41" s="226" t="str">
        <f>UPPER(TEXT(Tabela14[[#This Row],[DATA]],"MMM"))</f>
        <v>FEV</v>
      </c>
      <c r="C41" s="23"/>
      <c r="D41" s="179" t="s">
        <v>38</v>
      </c>
      <c r="E41" s="86" t="s">
        <v>345</v>
      </c>
      <c r="F41" s="87">
        <f>8119.64-3099.23-1000-4000</f>
        <v>20.409999999999854</v>
      </c>
    </row>
    <row r="42" spans="1:8">
      <c r="A42" s="18">
        <v>45324</v>
      </c>
      <c r="B42" s="23" t="str">
        <f>UPPER(TEXT(Tabela14[[#This Row],[DATA]],"MMM"))</f>
        <v>FEV</v>
      </c>
      <c r="C42" s="23"/>
      <c r="D42" s="179" t="s">
        <v>40</v>
      </c>
      <c r="E42" s="7" t="s">
        <v>123</v>
      </c>
      <c r="F42" s="113">
        <v>78</v>
      </c>
    </row>
    <row r="43" spans="1:8">
      <c r="A43" s="18">
        <v>45325</v>
      </c>
      <c r="B43" s="23" t="str">
        <f>UPPER(TEXT(Tabela14[[#This Row],[DATA]],"MMM"))</f>
        <v>FEV</v>
      </c>
      <c r="C43" s="23"/>
      <c r="D43" s="178" t="s">
        <v>40</v>
      </c>
      <c r="E43" s="50" t="s">
        <v>346</v>
      </c>
      <c r="F43" s="112">
        <v>0</v>
      </c>
    </row>
    <row r="44" spans="1:8">
      <c r="A44" s="18">
        <v>45325</v>
      </c>
      <c r="B44" s="23" t="str">
        <f>UPPER(TEXT(Tabela14[[#This Row],[DATA]],"MMM"))</f>
        <v>FEV</v>
      </c>
      <c r="C44" s="23"/>
      <c r="D44" s="179" t="s">
        <v>40</v>
      </c>
      <c r="E44" s="24" t="s">
        <v>216</v>
      </c>
      <c r="F44" s="21">
        <v>7.87</v>
      </c>
      <c r="G44" s="74"/>
    </row>
    <row r="45" spans="1:8">
      <c r="A45" s="225">
        <v>45325</v>
      </c>
      <c r="B45" s="23" t="str">
        <f>UPPER(TEXT(Tabela14[[#This Row],[DATA]],"MMM"))</f>
        <v>FEV</v>
      </c>
      <c r="C45" s="23"/>
      <c r="D45" s="179" t="s">
        <v>40</v>
      </c>
      <c r="E45" s="260" t="s">
        <v>347</v>
      </c>
      <c r="F45" s="157">
        <f>3.98+5.53</f>
        <v>9.51</v>
      </c>
    </row>
    <row r="46" spans="1:8">
      <c r="A46" s="18">
        <v>45325</v>
      </c>
      <c r="B46" s="23" t="str">
        <f>UPPER(TEXT(Tabela14[[#This Row],[DATA]],"MMM"))</f>
        <v>FEV</v>
      </c>
      <c r="C46" s="23"/>
      <c r="D46" s="179" t="s">
        <v>40</v>
      </c>
      <c r="E46" s="142" t="s">
        <v>348</v>
      </c>
      <c r="F46" s="112">
        <f>(25.9+14.9)/3</f>
        <v>13.6</v>
      </c>
    </row>
    <row r="47" spans="1:8">
      <c r="A47" s="225">
        <v>45325</v>
      </c>
      <c r="B47" s="23" t="str">
        <f>UPPER(TEXT(Tabela14[[#This Row],[DATA]],"MMM"))</f>
        <v>FEV</v>
      </c>
      <c r="C47" s="23"/>
      <c r="D47" s="179" t="s">
        <v>40</v>
      </c>
      <c r="E47" s="79" t="s">
        <v>349</v>
      </c>
      <c r="F47" s="80">
        <f>20</f>
        <v>20</v>
      </c>
    </row>
    <row r="48" spans="1:8">
      <c r="A48" s="18">
        <v>45325</v>
      </c>
      <c r="B48" s="23" t="str">
        <f>UPPER(TEXT(Tabela14[[#This Row],[DATA]],"MMM"))</f>
        <v>FEV</v>
      </c>
      <c r="C48" s="23" t="s">
        <v>324</v>
      </c>
      <c r="D48" s="179" t="s">
        <v>40</v>
      </c>
      <c r="E48" s="20" t="s">
        <v>350</v>
      </c>
      <c r="F48" s="21">
        <v>51.7</v>
      </c>
    </row>
    <row r="49" spans="1:8">
      <c r="A49" s="18">
        <v>45325</v>
      </c>
      <c r="B49" s="226" t="str">
        <f>UPPER(TEXT(Tabela14[[#This Row],[DATA]],"MMM"))</f>
        <v>FEV</v>
      </c>
      <c r="C49" s="226"/>
      <c r="D49" s="178" t="s">
        <v>40</v>
      </c>
      <c r="E49" s="7" t="s">
        <v>142</v>
      </c>
      <c r="F49" s="113">
        <v>58.99</v>
      </c>
    </row>
    <row r="50" spans="1:8">
      <c r="A50" s="18">
        <v>45325</v>
      </c>
      <c r="B50" s="226" t="str">
        <f>UPPER(TEXT(Tabela14[[#This Row],[DATA]],"MMM"))</f>
        <v>FEV</v>
      </c>
      <c r="C50" s="226"/>
      <c r="D50" s="178" t="s">
        <v>40</v>
      </c>
      <c r="E50" s="142" t="s">
        <v>351</v>
      </c>
      <c r="F50" s="112">
        <f>227.9/3</f>
        <v>75.966666666666669</v>
      </c>
    </row>
    <row r="51" spans="1:8">
      <c r="A51" s="18">
        <v>45325</v>
      </c>
      <c r="B51" s="23" t="str">
        <f>UPPER(TEXT(Tabela14[[#This Row],[DATA]],"MMM"))</f>
        <v>FEV</v>
      </c>
      <c r="C51" s="23" t="s">
        <v>324</v>
      </c>
      <c r="D51" s="178" t="s">
        <v>40</v>
      </c>
      <c r="E51" s="20" t="s">
        <v>352</v>
      </c>
      <c r="F51" s="21">
        <v>93.58</v>
      </c>
    </row>
    <row r="52" spans="1:8">
      <c r="A52" s="18">
        <v>45325</v>
      </c>
      <c r="B52" s="23" t="str">
        <f>UPPER(TEXT(Tabela14[[#This Row],[DATA]],"MMM"))</f>
        <v>FEV</v>
      </c>
      <c r="C52" s="23"/>
      <c r="D52" s="178" t="s">
        <v>40</v>
      </c>
      <c r="E52" s="249" t="s">
        <v>353</v>
      </c>
      <c r="F52" s="141">
        <f>333.17/3</f>
        <v>111.05666666666667</v>
      </c>
    </row>
    <row r="53" spans="1:8">
      <c r="A53" s="18">
        <v>45325</v>
      </c>
      <c r="B53" s="23" t="str">
        <f>UPPER(TEXT(Tabela14[[#This Row],[DATA]],"MMM"))</f>
        <v>FEV</v>
      </c>
      <c r="C53" s="23"/>
      <c r="D53" s="178" t="s">
        <v>40</v>
      </c>
      <c r="E53" s="249" t="s">
        <v>354</v>
      </c>
      <c r="F53" s="141">
        <f>395.56/3</f>
        <v>131.85333333333332</v>
      </c>
    </row>
    <row r="54" spans="1:8">
      <c r="A54" s="225">
        <v>45326</v>
      </c>
      <c r="B54" s="226" t="str">
        <f>UPPER(TEXT(Tabela14[[#This Row],[DATA]],"MMM"))</f>
        <v>FEV</v>
      </c>
      <c r="C54" s="226"/>
      <c r="D54" s="178" t="s">
        <v>40</v>
      </c>
      <c r="E54" s="20" t="s">
        <v>216</v>
      </c>
      <c r="F54" s="21">
        <v>11</v>
      </c>
    </row>
    <row r="55" spans="1:8">
      <c r="A55" s="225">
        <v>45326</v>
      </c>
      <c r="B55" s="226" t="str">
        <f>UPPER(TEXT(Tabela14[[#This Row],[DATA]],"MMM"))</f>
        <v>FEV</v>
      </c>
      <c r="C55" s="23"/>
      <c r="D55" s="178" t="s">
        <v>40</v>
      </c>
      <c r="E55" s="20" t="s">
        <v>216</v>
      </c>
      <c r="F55" s="21">
        <v>11.8</v>
      </c>
    </row>
    <row r="56" spans="1:8">
      <c r="A56" s="18">
        <v>45327</v>
      </c>
      <c r="B56" s="226" t="str">
        <f>UPPER(TEXT(Tabela14[[#This Row],[DATA]],"MMM"))</f>
        <v>FEV</v>
      </c>
      <c r="C56" s="226"/>
      <c r="D56" s="178" t="s">
        <v>40</v>
      </c>
      <c r="E56" s="101" t="s">
        <v>216</v>
      </c>
      <c r="F56" s="102">
        <v>9.2100000000000009</v>
      </c>
    </row>
    <row r="57" spans="1:8">
      <c r="A57" s="225">
        <v>45327</v>
      </c>
      <c r="B57" s="226" t="str">
        <f>UPPER(TEXT(Tabela14[[#This Row],[DATA]],"MMM"))</f>
        <v>FEV</v>
      </c>
      <c r="C57" s="226"/>
      <c r="D57" s="178" t="s">
        <v>40</v>
      </c>
      <c r="E57" s="20" t="s">
        <v>216</v>
      </c>
      <c r="F57" s="21">
        <v>16.77</v>
      </c>
    </row>
    <row r="58" spans="1:8">
      <c r="A58" s="225">
        <v>45327</v>
      </c>
      <c r="B58" s="23" t="str">
        <f>UPPER(TEXT(Tabela14[[#This Row],[DATA]],"MMM"))</f>
        <v>FEV</v>
      </c>
      <c r="C58" s="23"/>
      <c r="D58" s="178" t="s">
        <v>40</v>
      </c>
      <c r="E58" s="20" t="s">
        <v>216</v>
      </c>
      <c r="F58" s="21">
        <v>20.13</v>
      </c>
    </row>
    <row r="59" spans="1:8" ht="27">
      <c r="A59" s="225">
        <v>45327</v>
      </c>
      <c r="B59" s="226" t="str">
        <f>UPPER(TEXT(Tabela14[[#This Row],[DATA]],"MMM"))</f>
        <v>FEV</v>
      </c>
      <c r="C59" s="226"/>
      <c r="D59" s="178" t="s">
        <v>40</v>
      </c>
      <c r="E59" s="163" t="s">
        <v>355</v>
      </c>
      <c r="F59" s="164">
        <f>480/3</f>
        <v>160</v>
      </c>
    </row>
    <row r="60" spans="1:8" ht="27">
      <c r="A60" s="225">
        <v>45327</v>
      </c>
      <c r="B60" s="226" t="str">
        <f>UPPER(TEXT(Tabela14[[#This Row],[DATA]],"MMM"))</f>
        <v>FEV</v>
      </c>
      <c r="C60" s="226"/>
      <c r="D60" s="178" t="s">
        <v>356</v>
      </c>
      <c r="E60" s="154" t="s">
        <v>357</v>
      </c>
      <c r="F60" s="155">
        <v>11500</v>
      </c>
    </row>
    <row r="61" spans="1:8">
      <c r="A61" s="18">
        <v>45330</v>
      </c>
      <c r="B61" s="23" t="str">
        <f>UPPER(TEXT(Tabela14[[#This Row],[DATA]],"MMM"))</f>
        <v>FEV</v>
      </c>
      <c r="C61" s="23"/>
      <c r="D61" s="178" t="s">
        <v>40</v>
      </c>
      <c r="E61" s="101" t="s">
        <v>358</v>
      </c>
      <c r="F61" s="102">
        <v>6.6</v>
      </c>
    </row>
    <row r="62" spans="1:8">
      <c r="A62" s="18">
        <v>45331</v>
      </c>
      <c r="B62" s="23" t="str">
        <f>UPPER(TEXT(Tabela14[[#This Row],[DATA]],"MMM"))</f>
        <v>FEV</v>
      </c>
      <c r="C62" s="23"/>
      <c r="D62" s="178" t="s">
        <v>40</v>
      </c>
      <c r="E62" s="20" t="s">
        <v>359</v>
      </c>
      <c r="F62" s="38">
        <v>11.7</v>
      </c>
      <c r="H62" s="10">
        <f>COUNTA(E61:E63,E65:E68)</f>
        <v>7</v>
      </c>
    </row>
    <row r="63" spans="1:8">
      <c r="A63" s="18">
        <v>45332</v>
      </c>
      <c r="B63" s="23" t="str">
        <f>UPPER(TEXT(Tabela14[[#This Row],[DATA]],"MMM"))</f>
        <v>FEV</v>
      </c>
      <c r="C63" s="23"/>
      <c r="D63" s="178" t="s">
        <v>40</v>
      </c>
      <c r="E63" s="101" t="s">
        <v>360</v>
      </c>
      <c r="F63" s="102">
        <f>15.29/4*2</f>
        <v>7.6449999999999996</v>
      </c>
      <c r="H63" s="74">
        <f>SUM(F62:F63,F65:F68)</f>
        <v>162.255</v>
      </c>
    </row>
    <row r="64" spans="1:8">
      <c r="A64" s="225">
        <v>45332</v>
      </c>
      <c r="B64" s="226" t="str">
        <f>UPPER(TEXT(Tabela14[[#This Row],[DATA]],"MMM"))</f>
        <v>FEV</v>
      </c>
      <c r="C64" s="23"/>
      <c r="D64" s="178" t="s">
        <v>40</v>
      </c>
      <c r="E64" s="20" t="s">
        <v>361</v>
      </c>
      <c r="F64" s="21">
        <f>18.8/3*2</f>
        <v>12.533333333333333</v>
      </c>
    </row>
    <row r="65" spans="1:6">
      <c r="A65" s="225">
        <v>45332</v>
      </c>
      <c r="B65" s="226" t="str">
        <f>UPPER(TEXT(Tabela14[[#This Row],[DATA]],"MMM"))</f>
        <v>FEV</v>
      </c>
      <c r="C65" s="226"/>
      <c r="D65" s="178" t="s">
        <v>40</v>
      </c>
      <c r="E65" s="20" t="s">
        <v>362</v>
      </c>
      <c r="F65" s="21">
        <v>15.73</v>
      </c>
    </row>
    <row r="66" spans="1:6">
      <c r="A66" s="225">
        <v>45332</v>
      </c>
      <c r="B66" s="226" t="str">
        <f>UPPER(TEXT(Tabela14[[#This Row],[DATA]],"MMM"))</f>
        <v>FEV</v>
      </c>
      <c r="C66" s="226" t="s">
        <v>324</v>
      </c>
      <c r="D66" s="178" t="s">
        <v>40</v>
      </c>
      <c r="E66" s="20" t="s">
        <v>363</v>
      </c>
      <c r="F66" s="21">
        <f>32*2+(56/4*2)+3.5</f>
        <v>95.5</v>
      </c>
    </row>
    <row r="67" spans="1:6">
      <c r="A67" s="225">
        <v>45333</v>
      </c>
      <c r="B67" s="226" t="str">
        <f>UPPER(TEXT(Tabela14[[#This Row],[DATA]],"MMM"))</f>
        <v>FEV</v>
      </c>
      <c r="C67" s="226"/>
      <c r="D67" s="178" t="s">
        <v>40</v>
      </c>
      <c r="E67" s="20" t="s">
        <v>364</v>
      </c>
      <c r="F67" s="21">
        <v>11.99</v>
      </c>
    </row>
    <row r="68" spans="1:6">
      <c r="A68" s="18">
        <v>45333</v>
      </c>
      <c r="B68" s="23" t="str">
        <f>UPPER(TEXT(Tabela14[[#This Row],[DATA]],"MMM"))</f>
        <v>FEV</v>
      </c>
      <c r="C68" s="23"/>
      <c r="D68" s="179" t="s">
        <v>40</v>
      </c>
      <c r="E68" s="101" t="s">
        <v>365</v>
      </c>
      <c r="F68" s="102">
        <v>19.690000000000001</v>
      </c>
    </row>
    <row r="69" spans="1:6">
      <c r="A69" s="18">
        <v>45338</v>
      </c>
      <c r="B69" s="23" t="str">
        <f>UPPER(TEXT(Tabela14[[#This Row],[DATA]],"MMM"))</f>
        <v>FEV</v>
      </c>
      <c r="C69" s="23"/>
      <c r="D69" s="178" t="s">
        <v>40</v>
      </c>
      <c r="E69" s="37" t="s">
        <v>358</v>
      </c>
      <c r="F69" s="38">
        <v>6.7</v>
      </c>
    </row>
    <row r="70" spans="1:6">
      <c r="A70" s="225">
        <v>45339</v>
      </c>
      <c r="B70" s="23" t="str">
        <f>UPPER(TEXT(Tabela14[[#This Row],[DATA]],"MMM"))</f>
        <v>FEV</v>
      </c>
      <c r="C70" s="23"/>
      <c r="D70" s="179" t="s">
        <v>40</v>
      </c>
      <c r="E70" s="24" t="s">
        <v>216</v>
      </c>
      <c r="F70" s="25">
        <v>10.8</v>
      </c>
    </row>
    <row r="71" spans="1:6">
      <c r="A71" s="225">
        <v>45339</v>
      </c>
      <c r="B71" s="226" t="str">
        <f>UPPER(TEXT(Tabela14[[#This Row],[DATA]],"MMM"))</f>
        <v>FEV</v>
      </c>
      <c r="C71" s="23" t="s">
        <v>324</v>
      </c>
      <c r="D71" s="178" t="s">
        <v>40</v>
      </c>
      <c r="E71" s="20" t="s">
        <v>366</v>
      </c>
      <c r="F71" s="21">
        <v>38.9</v>
      </c>
    </row>
    <row r="72" spans="1:6">
      <c r="A72" s="18">
        <v>45339</v>
      </c>
      <c r="B72" s="226" t="str">
        <f>UPPER(TEXT(Tabela14[[#This Row],[DATA]],"MMM"))</f>
        <v>FEV</v>
      </c>
      <c r="C72" s="23"/>
      <c r="D72" s="178" t="s">
        <v>40</v>
      </c>
      <c r="E72" s="257" t="s">
        <v>367</v>
      </c>
      <c r="F72" s="193">
        <v>50</v>
      </c>
    </row>
    <row r="73" spans="1:6">
      <c r="A73" s="18">
        <v>45340</v>
      </c>
      <c r="B73" s="23" t="str">
        <f>UPPER(TEXT(Tabela14[[#This Row],[DATA]],"MMM"))</f>
        <v>FEV</v>
      </c>
      <c r="C73" s="23"/>
      <c r="D73" s="178" t="s">
        <v>40</v>
      </c>
      <c r="E73" s="37" t="s">
        <v>216</v>
      </c>
      <c r="F73" s="38">
        <v>8.1</v>
      </c>
    </row>
    <row r="74" spans="1:6">
      <c r="A74" s="225">
        <v>45340</v>
      </c>
      <c r="B74" s="226" t="str">
        <f>UPPER(TEXT(Tabela14[[#This Row],[DATA]],"MMM"))</f>
        <v>FEV</v>
      </c>
      <c r="C74" s="23"/>
      <c r="D74" s="178" t="s">
        <v>40</v>
      </c>
      <c r="E74" s="37" t="s">
        <v>216</v>
      </c>
      <c r="F74" s="21">
        <v>10.17</v>
      </c>
    </row>
    <row r="75" spans="1:6">
      <c r="A75" s="225">
        <v>45340</v>
      </c>
      <c r="B75" s="226" t="str">
        <f>UPPER(TEXT(Tabela14[[#This Row],[DATA]],"MMM"))</f>
        <v>FEV</v>
      </c>
      <c r="C75" s="226" t="s">
        <v>324</v>
      </c>
      <c r="D75" s="178" t="s">
        <v>40</v>
      </c>
      <c r="E75" s="20" t="s">
        <v>368</v>
      </c>
      <c r="F75" s="21">
        <v>30.3</v>
      </c>
    </row>
    <row r="76" spans="1:6">
      <c r="A76" s="18">
        <v>45343</v>
      </c>
      <c r="B76" s="23" t="str">
        <f>UPPER(TEXT(Tabela14[[#This Row],[DATA]],"MMM"))</f>
        <v>FEV</v>
      </c>
      <c r="C76" s="23"/>
      <c r="D76" s="179" t="s">
        <v>40</v>
      </c>
      <c r="E76" s="37" t="s">
        <v>369</v>
      </c>
      <c r="F76" s="38">
        <v>6.6</v>
      </c>
    </row>
    <row r="77" spans="1:6">
      <c r="A77" s="18">
        <v>45346</v>
      </c>
      <c r="B77" s="226" t="str">
        <f>UPPER(TEXT(Tabela14[[#This Row],[DATA]],"MMM"))</f>
        <v>FEV</v>
      </c>
      <c r="C77" s="226"/>
      <c r="D77" s="178" t="s">
        <v>40</v>
      </c>
      <c r="E77" s="20" t="s">
        <v>216</v>
      </c>
      <c r="F77" s="21">
        <v>10.24</v>
      </c>
    </row>
    <row r="78" spans="1:6">
      <c r="A78" s="18">
        <v>45347</v>
      </c>
      <c r="B78" s="23" t="str">
        <f>UPPER(TEXT(Tabela14[[#This Row],[DATA]],"MMM"))</f>
        <v>FEV</v>
      </c>
      <c r="C78" s="23"/>
      <c r="D78" s="179" t="s">
        <v>40</v>
      </c>
      <c r="E78" s="37" t="s">
        <v>216</v>
      </c>
      <c r="F78" s="38">
        <v>10.199999999999999</v>
      </c>
    </row>
    <row r="79" spans="1:6">
      <c r="A79" s="225">
        <v>45347</v>
      </c>
      <c r="B79" s="226" t="str">
        <f>UPPER(TEXT(Tabela14[[#This Row],[DATA]],"MMM"))</f>
        <v>FEV</v>
      </c>
      <c r="C79" s="23" t="s">
        <v>324</v>
      </c>
      <c r="D79" s="179" t="s">
        <v>40</v>
      </c>
      <c r="E79" s="20" t="s">
        <v>370</v>
      </c>
      <c r="F79" s="21">
        <v>48</v>
      </c>
    </row>
    <row r="80" spans="1:6" ht="27">
      <c r="A80" s="18">
        <v>45349</v>
      </c>
      <c r="B80" s="23" t="str">
        <f>UPPER(TEXT(Tabela14[[#This Row],[DATA]],"MMM"))</f>
        <v>FEV</v>
      </c>
      <c r="C80" s="23"/>
      <c r="D80" s="179" t="s">
        <v>40</v>
      </c>
      <c r="E80" s="159" t="s">
        <v>371</v>
      </c>
      <c r="F80" s="298">
        <v>69.010000000000005</v>
      </c>
    </row>
    <row r="81" spans="1:6" ht="27">
      <c r="A81" s="18">
        <v>45349</v>
      </c>
      <c r="B81" s="226" t="str">
        <f>UPPER(TEXT(Tabela14[[#This Row],[DATA]],"MMM"))</f>
        <v>FEV</v>
      </c>
      <c r="C81" s="23"/>
      <c r="D81" s="179" t="s">
        <v>40</v>
      </c>
      <c r="E81" s="159" t="s">
        <v>372</v>
      </c>
      <c r="F81" s="160">
        <v>101.51</v>
      </c>
    </row>
    <row r="82" spans="1:6">
      <c r="A82" s="18">
        <v>45352</v>
      </c>
      <c r="B82" s="226" t="str">
        <f>UPPER(TEXT(Tabela14[[#This Row],[DATA]],"MMM"))</f>
        <v>MAR</v>
      </c>
      <c r="C82" s="23"/>
      <c r="D82" s="178" t="s">
        <v>38</v>
      </c>
      <c r="E82" s="20" t="s">
        <v>39</v>
      </c>
      <c r="F82" s="21">
        <v>2168</v>
      </c>
    </row>
    <row r="83" spans="1:6">
      <c r="A83" s="18">
        <v>45352</v>
      </c>
      <c r="B83" s="226" t="str">
        <f>UPPER(TEXT(Tabela14[[#This Row],[DATA]],"MMM"))</f>
        <v>MAR</v>
      </c>
      <c r="C83" s="226"/>
      <c r="D83" s="178" t="s">
        <v>40</v>
      </c>
      <c r="E83" s="50" t="s">
        <v>346</v>
      </c>
      <c r="F83" s="112">
        <v>0</v>
      </c>
    </row>
    <row r="84" spans="1:6">
      <c r="A84" s="18">
        <v>45352</v>
      </c>
      <c r="B84" s="23" t="str">
        <f>UPPER(TEXT(Tabela14[[#This Row],[DATA]],"MMM"))</f>
        <v>MAR</v>
      </c>
      <c r="C84" s="23"/>
      <c r="D84" s="178" t="s">
        <v>40</v>
      </c>
      <c r="E84" s="156" t="s">
        <v>373</v>
      </c>
      <c r="F84" s="157">
        <f>6.98+2.99+2</f>
        <v>11.97</v>
      </c>
    </row>
    <row r="85" spans="1:6">
      <c r="A85" s="18">
        <v>45352</v>
      </c>
      <c r="B85" s="23" t="str">
        <f>UPPER(TEXT(Tabela14[[#This Row],[DATA]],"MMM"))</f>
        <v>MAR</v>
      </c>
      <c r="C85" s="23"/>
      <c r="D85" s="178" t="s">
        <v>40</v>
      </c>
      <c r="E85" s="296" t="s">
        <v>348</v>
      </c>
      <c r="F85" s="112">
        <f>(25.9+14.9)/3</f>
        <v>13.6</v>
      </c>
    </row>
    <row r="86" spans="1:6">
      <c r="A86" s="18">
        <v>45352</v>
      </c>
      <c r="B86" s="23" t="str">
        <f>UPPER(TEXT(Tabela14[[#This Row],[DATA]],"MMM"))</f>
        <v>MAR</v>
      </c>
      <c r="C86" s="23"/>
      <c r="D86" s="178" t="s">
        <v>40</v>
      </c>
      <c r="E86" s="24" t="s">
        <v>216</v>
      </c>
      <c r="F86" s="21">
        <v>16.399999999999999</v>
      </c>
    </row>
    <row r="87" spans="1:6">
      <c r="A87" s="18">
        <v>45352</v>
      </c>
      <c r="B87" s="23" t="str">
        <f>UPPER(TEXT(Tabela14[[#This Row],[DATA]],"MMM"))</f>
        <v>MAR</v>
      </c>
      <c r="C87" s="23"/>
      <c r="D87" s="178" t="s">
        <v>40</v>
      </c>
      <c r="E87" s="7" t="s">
        <v>142</v>
      </c>
      <c r="F87" s="113">
        <v>58.99</v>
      </c>
    </row>
    <row r="88" spans="1:6">
      <c r="A88" s="18">
        <v>45352</v>
      </c>
      <c r="B88" s="23" t="str">
        <f>UPPER(TEXT(Tabela14[[#This Row],[DATA]],"MMM"))</f>
        <v>MAR</v>
      </c>
      <c r="C88" s="23"/>
      <c r="D88" s="178" t="s">
        <v>40</v>
      </c>
      <c r="E88" s="142" t="s">
        <v>351</v>
      </c>
      <c r="F88" s="112">
        <f>227.9/3</f>
        <v>75.966666666666669</v>
      </c>
    </row>
    <row r="89" spans="1:6">
      <c r="A89" s="18">
        <v>45352</v>
      </c>
      <c r="B89" s="23" t="str">
        <f>UPPER(TEXT(Tabela14[[#This Row],[DATA]],"MMM"))</f>
        <v>MAR</v>
      </c>
      <c r="C89" s="23"/>
      <c r="D89" s="178" t="s">
        <v>40</v>
      </c>
      <c r="E89" s="7" t="s">
        <v>123</v>
      </c>
      <c r="F89" s="113">
        <v>78</v>
      </c>
    </row>
    <row r="90" spans="1:6">
      <c r="A90" s="18">
        <v>45352</v>
      </c>
      <c r="B90" s="23" t="str">
        <f>UPPER(TEXT(Tabela14[[#This Row],[DATA]],"MMM"))</f>
        <v>MAR</v>
      </c>
      <c r="C90" s="23"/>
      <c r="D90" s="178" t="s">
        <v>40</v>
      </c>
      <c r="E90" s="249" t="s">
        <v>374</v>
      </c>
      <c r="F90" s="141">
        <f>321.06/3</f>
        <v>107.02</v>
      </c>
    </row>
    <row r="91" spans="1:6">
      <c r="A91" s="18">
        <v>45352</v>
      </c>
      <c r="B91" s="23" t="str">
        <f>UPPER(TEXT(Tabela14[[#This Row],[DATA]],"MMM"))</f>
        <v>MAR</v>
      </c>
      <c r="C91" s="23"/>
      <c r="D91" s="178" t="s">
        <v>40</v>
      </c>
      <c r="E91" s="249" t="s">
        <v>375</v>
      </c>
      <c r="F91" s="141">
        <f>325.81/3</f>
        <v>108.60333333333334</v>
      </c>
    </row>
    <row r="92" spans="1:6">
      <c r="A92" s="225">
        <v>45353</v>
      </c>
      <c r="B92" s="226" t="str">
        <f>UPPER(TEXT(Tabela14[[#This Row],[DATA]],"MMM"))</f>
        <v>MAR</v>
      </c>
      <c r="C92" s="226"/>
      <c r="D92" s="178" t="s">
        <v>40</v>
      </c>
      <c r="E92" s="161" t="s">
        <v>216</v>
      </c>
      <c r="F92" s="162">
        <v>9.52</v>
      </c>
    </row>
    <row r="93" spans="1:6">
      <c r="A93" s="225">
        <v>45353</v>
      </c>
      <c r="B93" s="226" t="str">
        <f>UPPER(TEXT(Tabela14[[#This Row],[DATA]],"MMM"))</f>
        <v>MAR</v>
      </c>
      <c r="C93" s="23" t="s">
        <v>324</v>
      </c>
      <c r="D93" s="178" t="s">
        <v>40</v>
      </c>
      <c r="E93" s="20" t="s">
        <v>376</v>
      </c>
      <c r="F93" s="21">
        <v>19.760000000000002</v>
      </c>
    </row>
    <row r="94" spans="1:6">
      <c r="A94" s="225">
        <v>45353</v>
      </c>
      <c r="B94" s="226" t="str">
        <f>UPPER(TEXT(Tabela14[[#This Row],[DATA]],"MMM"))</f>
        <v>MAR</v>
      </c>
      <c r="C94" s="226"/>
      <c r="D94" s="178" t="s">
        <v>40</v>
      </c>
      <c r="E94" s="165" t="s">
        <v>377</v>
      </c>
      <c r="F94" s="166">
        <f>40/2</f>
        <v>20</v>
      </c>
    </row>
    <row r="95" spans="1:6">
      <c r="A95" s="225">
        <v>45353</v>
      </c>
      <c r="B95" s="226" t="str">
        <f>UPPER(TEXT(Tabela14[[#This Row],[DATA]],"MMM"))</f>
        <v>MAR</v>
      </c>
      <c r="C95" s="226"/>
      <c r="D95" s="178" t="s">
        <v>40</v>
      </c>
      <c r="E95" s="165" t="s">
        <v>378</v>
      </c>
      <c r="F95" s="166">
        <f>150.96/3</f>
        <v>50.32</v>
      </c>
    </row>
    <row r="96" spans="1:6">
      <c r="A96" s="225">
        <v>45353</v>
      </c>
      <c r="B96" s="226" t="str">
        <f>UPPER(TEXT(Tabela14[[#This Row],[DATA]],"MMM"))</f>
        <v>MAR</v>
      </c>
      <c r="C96" s="23" t="s">
        <v>324</v>
      </c>
      <c r="D96" s="178" t="s">
        <v>40</v>
      </c>
      <c r="E96" s="20" t="s">
        <v>379</v>
      </c>
      <c r="F96" s="21">
        <v>138.80000000000001</v>
      </c>
    </row>
    <row r="97" spans="1:6">
      <c r="A97" s="225">
        <v>45354</v>
      </c>
      <c r="B97" s="226" t="str">
        <f>UPPER(TEXT(Tabela14[[#This Row],[DATA]],"MMM"))</f>
        <v>MAR</v>
      </c>
      <c r="C97" s="23" t="s">
        <v>324</v>
      </c>
      <c r="D97" s="178" t="s">
        <v>40</v>
      </c>
      <c r="E97" s="20" t="s">
        <v>380</v>
      </c>
      <c r="F97" s="21">
        <v>10</v>
      </c>
    </row>
    <row r="98" spans="1:6">
      <c r="A98" s="225">
        <v>45354</v>
      </c>
      <c r="B98" s="226" t="str">
        <f>UPPER(TEXT(Tabela14[[#This Row],[DATA]],"MMM"))</f>
        <v>MAR</v>
      </c>
      <c r="C98" s="226" t="s">
        <v>324</v>
      </c>
      <c r="D98" s="178" t="s">
        <v>40</v>
      </c>
      <c r="E98" s="20" t="s">
        <v>376</v>
      </c>
      <c r="F98" s="21">
        <f>14.04+2</f>
        <v>16.04</v>
      </c>
    </row>
    <row r="99" spans="1:6">
      <c r="A99" s="225">
        <v>45354</v>
      </c>
      <c r="B99" s="226" t="str">
        <f>UPPER(TEXT(Tabela14[[#This Row],[DATA]],"MMM"))</f>
        <v>MAR</v>
      </c>
      <c r="C99" s="226"/>
      <c r="D99" s="178" t="s">
        <v>40</v>
      </c>
      <c r="E99" s="165" t="s">
        <v>381</v>
      </c>
      <c r="F99" s="166">
        <f>169.92/3</f>
        <v>56.639999999999993</v>
      </c>
    </row>
    <row r="100" spans="1:6">
      <c r="A100" s="225">
        <v>45356</v>
      </c>
      <c r="B100" s="226" t="str">
        <f>UPPER(TEXT(Tabela14[[#This Row],[DATA]],"MMM"))</f>
        <v>MAR</v>
      </c>
      <c r="C100" s="23"/>
      <c r="D100" s="178" t="s">
        <v>40</v>
      </c>
      <c r="E100" s="161" t="s">
        <v>382</v>
      </c>
      <c r="F100" s="162">
        <v>20</v>
      </c>
    </row>
    <row r="101" spans="1:6" ht="27">
      <c r="A101" s="225">
        <v>45357</v>
      </c>
      <c r="B101" s="23" t="str">
        <f>UPPER(TEXT(Tabela14[[#This Row],[DATA]],"MMM"))</f>
        <v>MAR</v>
      </c>
      <c r="C101" s="23"/>
      <c r="D101" s="178" t="s">
        <v>40</v>
      </c>
      <c r="E101" s="163" t="s">
        <v>383</v>
      </c>
      <c r="F101" s="164">
        <f>480/3</f>
        <v>160</v>
      </c>
    </row>
    <row r="102" spans="1:6">
      <c r="A102" s="225">
        <v>45359</v>
      </c>
      <c r="B102" s="23" t="str">
        <f>UPPER(TEXT(Tabela14[[#This Row],[DATA]],"MMM"))</f>
        <v>MAR</v>
      </c>
      <c r="C102" s="23"/>
      <c r="D102" s="179" t="s">
        <v>40</v>
      </c>
      <c r="E102" s="37" t="s">
        <v>216</v>
      </c>
      <c r="F102" s="38">
        <v>14.97</v>
      </c>
    </row>
    <row r="103" spans="1:6">
      <c r="A103" s="225">
        <v>45360</v>
      </c>
      <c r="B103" s="23" t="str">
        <f>UPPER(TEXT(Tabela14[[#This Row],[DATA]],"MMM"))</f>
        <v>MAR</v>
      </c>
      <c r="C103" s="23"/>
      <c r="D103" s="179" t="s">
        <v>40</v>
      </c>
      <c r="E103" s="293" t="s">
        <v>384</v>
      </c>
      <c r="F103" s="294">
        <v>20</v>
      </c>
    </row>
    <row r="104" spans="1:6">
      <c r="A104" s="225">
        <v>45360</v>
      </c>
      <c r="B104" s="226" t="str">
        <f>UPPER(TEXT(Tabela14[[#This Row],[DATA]],"MMM"))</f>
        <v>MAR</v>
      </c>
      <c r="C104" s="23"/>
      <c r="D104" s="179" t="s">
        <v>40</v>
      </c>
      <c r="E104" s="20" t="s">
        <v>385</v>
      </c>
      <c r="F104" s="21">
        <f>21.49+6+11+(47/2)</f>
        <v>61.989999999999995</v>
      </c>
    </row>
    <row r="105" spans="1:6">
      <c r="A105" s="225">
        <v>45361</v>
      </c>
      <c r="B105" s="23" t="str">
        <f>UPPER(TEXT(Tabela14[[#This Row],[DATA]],"MMM"))</f>
        <v>MAR</v>
      </c>
      <c r="C105" s="23"/>
      <c r="D105" s="179" t="s">
        <v>40</v>
      </c>
      <c r="E105" s="24" t="s">
        <v>216</v>
      </c>
      <c r="F105" s="25">
        <v>9.86</v>
      </c>
    </row>
    <row r="106" spans="1:6">
      <c r="A106" s="225">
        <v>45361</v>
      </c>
      <c r="B106" s="226" t="str">
        <f>UPPER(TEXT(Tabela14[[#This Row],[DATA]],"MMM"))</f>
        <v>MAR</v>
      </c>
      <c r="C106" s="23"/>
      <c r="D106" s="179" t="s">
        <v>40</v>
      </c>
      <c r="E106" s="20" t="s">
        <v>386</v>
      </c>
      <c r="F106" s="21">
        <v>39.99</v>
      </c>
    </row>
    <row r="107" spans="1:6" ht="27">
      <c r="A107" s="225">
        <v>45361</v>
      </c>
      <c r="B107" s="226" t="str">
        <f>UPPER(TEXT(Tabela14[[#This Row],[DATA]],"MMM"))</f>
        <v>MAR</v>
      </c>
      <c r="C107" s="23"/>
      <c r="D107" s="179" t="s">
        <v>40</v>
      </c>
      <c r="E107" s="286" t="s">
        <v>387</v>
      </c>
      <c r="F107" s="291">
        <v>130</v>
      </c>
    </row>
    <row r="108" spans="1:6">
      <c r="A108" s="225">
        <v>45363</v>
      </c>
      <c r="B108" s="23" t="str">
        <f>UPPER(TEXT(Tabela14[[#This Row],[DATA]],"MMM"))</f>
        <v>MAR</v>
      </c>
      <c r="C108" s="23"/>
      <c r="D108" s="179" t="s">
        <v>40</v>
      </c>
      <c r="E108" s="165" t="s">
        <v>388</v>
      </c>
      <c r="F108" s="166">
        <f>213.92/4</f>
        <v>53.48</v>
      </c>
    </row>
    <row r="109" spans="1:6">
      <c r="A109" s="225">
        <v>45364</v>
      </c>
      <c r="B109" s="23" t="str">
        <f>UPPER(TEXT(Tabela14[[#This Row],[DATA]],"MMM"))</f>
        <v>MAR</v>
      </c>
      <c r="C109" s="23"/>
      <c r="D109" s="179" t="s">
        <v>40</v>
      </c>
      <c r="E109" s="165" t="s">
        <v>389</v>
      </c>
      <c r="F109" s="166">
        <f>32.52/2</f>
        <v>16.260000000000002</v>
      </c>
    </row>
    <row r="110" spans="1:6">
      <c r="A110" s="225">
        <v>45364</v>
      </c>
      <c r="B110" s="226" t="str">
        <f>UPPER(TEXT(Tabela14[[#This Row],[DATA]],"MMM"))</f>
        <v>MAR</v>
      </c>
      <c r="C110" s="23"/>
      <c r="D110" s="179" t="s">
        <v>40</v>
      </c>
      <c r="E110" s="165" t="s">
        <v>389</v>
      </c>
      <c r="F110" s="166">
        <f>32.52/2</f>
        <v>16.260000000000002</v>
      </c>
    </row>
    <row r="111" spans="1:6">
      <c r="A111" s="225">
        <v>45365</v>
      </c>
      <c r="B111" s="23" t="str">
        <f>UPPER(TEXT(Tabela14[[#This Row],[DATA]],"MMM"))</f>
        <v>MAR</v>
      </c>
      <c r="C111" s="23"/>
      <c r="D111" s="179" t="s">
        <v>40</v>
      </c>
      <c r="E111" s="216" t="s">
        <v>390</v>
      </c>
      <c r="F111" s="158">
        <v>50</v>
      </c>
    </row>
    <row r="112" spans="1:6">
      <c r="A112" s="225">
        <v>45366</v>
      </c>
      <c r="B112" s="23" t="str">
        <f>UPPER(TEXT(Tabela14[[#This Row],[DATA]],"MMM"))</f>
        <v>MAR</v>
      </c>
      <c r="C112" s="23"/>
      <c r="D112" s="179" t="s">
        <v>40</v>
      </c>
      <c r="E112" s="37" t="s">
        <v>391</v>
      </c>
      <c r="F112" s="38">
        <f>(16.29/3)*2</f>
        <v>10.86</v>
      </c>
    </row>
    <row r="113" spans="1:7">
      <c r="A113" s="225">
        <v>45366</v>
      </c>
      <c r="B113" s="226" t="str">
        <f>UPPER(TEXT(Tabela14[[#This Row],[DATA]],"MMM"))</f>
        <v>MAR</v>
      </c>
      <c r="C113" s="23"/>
      <c r="D113" s="179" t="s">
        <v>40</v>
      </c>
      <c r="E113" s="37" t="s">
        <v>391</v>
      </c>
      <c r="F113" s="38">
        <f>(33.48/3)*2</f>
        <v>22.319999999999997</v>
      </c>
    </row>
    <row r="114" spans="1:7">
      <c r="A114" s="225">
        <v>45367</v>
      </c>
      <c r="B114" s="23" t="str">
        <f>UPPER(TEXT(Tabela14[[#This Row],[DATA]],"MMM"))</f>
        <v>MAR</v>
      </c>
      <c r="C114" s="23" t="s">
        <v>324</v>
      </c>
      <c r="D114" s="179" t="s">
        <v>40</v>
      </c>
      <c r="E114" s="37" t="s">
        <v>392</v>
      </c>
      <c r="F114" s="38">
        <v>43.36</v>
      </c>
    </row>
    <row r="115" spans="1:7">
      <c r="A115" s="225">
        <v>45367</v>
      </c>
      <c r="B115" s="226" t="str">
        <f>UPPER(TEXT(Tabela14[[#This Row],[DATA]],"MMM"))</f>
        <v>MAR</v>
      </c>
      <c r="C115" s="23"/>
      <c r="D115" s="179" t="s">
        <v>40</v>
      </c>
      <c r="E115" s="174" t="s">
        <v>393</v>
      </c>
      <c r="F115" s="175">
        <v>64.010000000000005</v>
      </c>
      <c r="G115" s="210">
        <f>F115/10.906</f>
        <v>5.8692462864478268</v>
      </c>
    </row>
    <row r="116" spans="1:7">
      <c r="A116" s="225">
        <v>45368</v>
      </c>
      <c r="B116" s="23" t="str">
        <f>UPPER(TEXT(Tabela14[[#This Row],[DATA]],"MMM"))</f>
        <v>MAR</v>
      </c>
      <c r="C116" s="23"/>
      <c r="D116" s="179" t="s">
        <v>40</v>
      </c>
      <c r="E116" s="37" t="s">
        <v>216</v>
      </c>
      <c r="F116" s="38">
        <v>15.7</v>
      </c>
    </row>
    <row r="117" spans="1:7">
      <c r="A117" s="225">
        <v>45372</v>
      </c>
      <c r="B117" s="23" t="str">
        <f>UPPER(TEXT(Tabela14[[#This Row],[DATA]],"MMM"))</f>
        <v>MAR</v>
      </c>
      <c r="C117" s="23" t="s">
        <v>324</v>
      </c>
      <c r="D117" s="179" t="s">
        <v>40</v>
      </c>
      <c r="E117" s="37" t="s">
        <v>394</v>
      </c>
      <c r="F117" s="38">
        <v>67.099999999999994</v>
      </c>
    </row>
    <row r="118" spans="1:7">
      <c r="A118" s="225">
        <v>45373</v>
      </c>
      <c r="B118" s="23" t="str">
        <f>UPPER(TEXT(Tabela14[[#This Row],[DATA]],"MMM"))</f>
        <v>MAR</v>
      </c>
      <c r="C118" s="23" t="s">
        <v>324</v>
      </c>
      <c r="D118" s="179" t="s">
        <v>40</v>
      </c>
      <c r="E118" s="37" t="s">
        <v>395</v>
      </c>
      <c r="F118" s="38">
        <v>68</v>
      </c>
    </row>
    <row r="119" spans="1:7">
      <c r="A119" s="225">
        <v>45375</v>
      </c>
      <c r="B119" s="23" t="str">
        <f>UPPER(TEXT(Tabela14[[#This Row],[DATA]],"MMM"))</f>
        <v>MAR</v>
      </c>
      <c r="C119" s="23"/>
      <c r="D119" s="179" t="s">
        <v>40</v>
      </c>
      <c r="E119" s="37" t="s">
        <v>216</v>
      </c>
      <c r="F119" s="25">
        <v>7.7</v>
      </c>
    </row>
    <row r="120" spans="1:7">
      <c r="A120" s="225">
        <v>45375</v>
      </c>
      <c r="B120" s="226" t="str">
        <f>UPPER(TEXT(Tabela14[[#This Row],[DATA]],"MMM"))</f>
        <v>MAR</v>
      </c>
      <c r="C120" s="23"/>
      <c r="D120" s="179" t="s">
        <v>40</v>
      </c>
      <c r="E120" s="37" t="s">
        <v>216</v>
      </c>
      <c r="F120" s="21">
        <v>11.47</v>
      </c>
    </row>
    <row r="121" spans="1:7">
      <c r="A121" s="225">
        <v>45375</v>
      </c>
      <c r="B121" s="226" t="str">
        <f>UPPER(TEXT(Tabela14[[#This Row],[DATA]],"MMM"))</f>
        <v>MAR</v>
      </c>
      <c r="C121" s="23"/>
      <c r="D121" s="179" t="s">
        <v>40</v>
      </c>
      <c r="E121" s="37" t="s">
        <v>216</v>
      </c>
      <c r="F121" s="102">
        <v>13.01</v>
      </c>
    </row>
    <row r="122" spans="1:7">
      <c r="A122" s="225">
        <v>45376</v>
      </c>
      <c r="B122" s="226" t="str">
        <f>UPPER(TEXT(Tabela14[[#This Row],[DATA]],"MMM"))</f>
        <v>MAR</v>
      </c>
      <c r="C122" s="226"/>
      <c r="D122" s="178" t="s">
        <v>40</v>
      </c>
      <c r="E122" s="20" t="s">
        <v>396</v>
      </c>
      <c r="F122" s="21">
        <v>26.92</v>
      </c>
    </row>
    <row r="123" spans="1:7">
      <c r="A123" s="225">
        <v>45376</v>
      </c>
      <c r="B123" s="226" t="str">
        <f>UPPER(TEXT(Tabela14[[#This Row],[DATA]],"MMM"))</f>
        <v>MAR</v>
      </c>
      <c r="C123" s="226"/>
      <c r="D123" s="176" t="s">
        <v>31</v>
      </c>
      <c r="E123" s="20" t="s">
        <v>397</v>
      </c>
      <c r="F123" s="180">
        <v>30.48</v>
      </c>
    </row>
    <row r="124" spans="1:7">
      <c r="A124" s="225">
        <v>45376</v>
      </c>
      <c r="B124" s="226" t="str">
        <f>UPPER(TEXT(Tabela14[[#This Row],[DATA]],"MMM"))</f>
        <v>MAR</v>
      </c>
      <c r="C124" s="226"/>
      <c r="D124" s="176" t="s">
        <v>31</v>
      </c>
      <c r="E124" s="20" t="s">
        <v>398</v>
      </c>
      <c r="F124" s="180">
        <v>25.98</v>
      </c>
    </row>
    <row r="125" spans="1:7">
      <c r="A125" s="225">
        <v>45376</v>
      </c>
      <c r="B125" s="226" t="str">
        <f>UPPER(TEXT(Tabela14[[#This Row],[DATA]],"MMM"))</f>
        <v>MAR</v>
      </c>
      <c r="C125" s="226"/>
      <c r="D125" s="176" t="s">
        <v>31</v>
      </c>
      <c r="E125" s="20" t="s">
        <v>399</v>
      </c>
      <c r="F125" s="180">
        <v>23.68</v>
      </c>
    </row>
    <row r="126" spans="1:7">
      <c r="A126" s="225">
        <v>45376</v>
      </c>
      <c r="B126" s="226" t="str">
        <f>UPPER(TEXT(Tabela14[[#This Row],[DATA]],"MMM"))</f>
        <v>MAR</v>
      </c>
      <c r="C126" s="226"/>
      <c r="D126" s="176" t="s">
        <v>31</v>
      </c>
      <c r="E126" s="20" t="s">
        <v>400</v>
      </c>
      <c r="F126" s="180">
        <v>18.48</v>
      </c>
    </row>
    <row r="127" spans="1:7">
      <c r="A127" s="225">
        <v>45376</v>
      </c>
      <c r="B127" s="226" t="str">
        <f>UPPER(TEXT(Tabela14[[#This Row],[DATA]],"MMM"))</f>
        <v>MAR</v>
      </c>
      <c r="C127" s="226"/>
      <c r="D127" s="176" t="s">
        <v>31</v>
      </c>
      <c r="E127" s="20" t="s">
        <v>401</v>
      </c>
      <c r="F127" s="180">
        <v>18.48</v>
      </c>
    </row>
    <row r="128" spans="1:7">
      <c r="A128" s="225">
        <v>45376</v>
      </c>
      <c r="B128" s="226" t="str">
        <f>UPPER(TEXT(Tabela14[[#This Row],[DATA]],"MMM"))</f>
        <v>MAR</v>
      </c>
      <c r="C128" s="23"/>
      <c r="D128" s="176" t="s">
        <v>31</v>
      </c>
      <c r="E128" s="20" t="s">
        <v>402</v>
      </c>
      <c r="F128" s="180">
        <v>17.579999999999998</v>
      </c>
    </row>
    <row r="129" spans="1:6">
      <c r="A129" s="225">
        <v>45376</v>
      </c>
      <c r="B129" s="226" t="str">
        <f>UPPER(TEXT(Tabela14[[#This Row],[DATA]],"MMM"))</f>
        <v>MAR</v>
      </c>
      <c r="C129" s="226"/>
      <c r="D129" s="176" t="s">
        <v>31</v>
      </c>
      <c r="E129" s="20" t="s">
        <v>403</v>
      </c>
      <c r="F129" s="180">
        <v>13.68</v>
      </c>
    </row>
    <row r="130" spans="1:6">
      <c r="A130" s="225">
        <v>45376</v>
      </c>
      <c r="B130" s="226" t="str">
        <f>UPPER(TEXT(Tabela14[[#This Row],[DATA]],"MMM"))</f>
        <v>MAR</v>
      </c>
      <c r="C130" s="226"/>
      <c r="D130" s="176" t="s">
        <v>31</v>
      </c>
      <c r="E130" s="20" t="s">
        <v>404</v>
      </c>
      <c r="F130" s="180">
        <v>9.18</v>
      </c>
    </row>
    <row r="131" spans="1:6">
      <c r="A131" s="225">
        <v>45376</v>
      </c>
      <c r="B131" s="226" t="str">
        <f>UPPER(TEXT(Tabela14[[#This Row],[DATA]],"MMM"))</f>
        <v>MAR</v>
      </c>
      <c r="C131" s="23"/>
      <c r="D131" s="176" t="s">
        <v>31</v>
      </c>
      <c r="E131" s="20" t="s">
        <v>405</v>
      </c>
      <c r="F131" s="180">
        <v>8.7799999999999994</v>
      </c>
    </row>
    <row r="132" spans="1:6">
      <c r="A132" s="225">
        <v>45376</v>
      </c>
      <c r="B132" s="226" t="str">
        <f>UPPER(TEXT(Tabela14[[#This Row],[DATA]],"MMM"))</f>
        <v>MAR</v>
      </c>
      <c r="C132" s="226"/>
      <c r="D132" s="176" t="s">
        <v>31</v>
      </c>
      <c r="E132" s="20" t="s">
        <v>406</v>
      </c>
      <c r="F132" s="180">
        <v>0.95</v>
      </c>
    </row>
    <row r="133" spans="1:6">
      <c r="A133" s="225">
        <v>45379</v>
      </c>
      <c r="B133" s="23" t="str">
        <f>UPPER(TEXT(Tabela14[[#This Row],[DATA]],"MMM"))</f>
        <v>MAR</v>
      </c>
      <c r="C133" s="23" t="s">
        <v>324</v>
      </c>
      <c r="D133" s="179" t="s">
        <v>40</v>
      </c>
      <c r="E133" s="37" t="s">
        <v>407</v>
      </c>
      <c r="F133" s="38">
        <v>45</v>
      </c>
    </row>
    <row r="134" spans="1:6">
      <c r="A134" s="225">
        <v>45380</v>
      </c>
      <c r="B134" s="23" t="str">
        <f>UPPER(TEXT(Tabela14[[#This Row],[DATA]],"MMM"))</f>
        <v>MAR</v>
      </c>
      <c r="C134" s="23" t="s">
        <v>324</v>
      </c>
      <c r="D134" s="179" t="s">
        <v>40</v>
      </c>
      <c r="E134" s="37" t="s">
        <v>334</v>
      </c>
      <c r="F134" s="38">
        <v>15.98</v>
      </c>
    </row>
    <row r="135" spans="1:6" ht="27">
      <c r="A135" s="225">
        <v>45380</v>
      </c>
      <c r="B135" s="226" t="str">
        <f>UPPER(TEXT(Tabela14[[#This Row],[DATA]],"MMM"))</f>
        <v>MAR</v>
      </c>
      <c r="C135" s="23"/>
      <c r="D135" s="179" t="s">
        <v>40</v>
      </c>
      <c r="E135" s="55" t="s">
        <v>408</v>
      </c>
      <c r="F135" s="56">
        <v>33.799999999999997</v>
      </c>
    </row>
    <row r="136" spans="1:6" ht="27">
      <c r="A136" s="225">
        <v>45380</v>
      </c>
      <c r="B136" s="226" t="str">
        <f>UPPER(TEXT(Tabela14[[#This Row],[DATA]],"MMM"))</f>
        <v>MAR</v>
      </c>
      <c r="C136" s="23"/>
      <c r="D136" s="179" t="s">
        <v>40</v>
      </c>
      <c r="E136" s="55" t="s">
        <v>409</v>
      </c>
      <c r="F136" s="56">
        <v>35.54</v>
      </c>
    </row>
    <row r="137" spans="1:6">
      <c r="A137" s="225">
        <v>45380</v>
      </c>
      <c r="B137" s="226" t="str">
        <f>UPPER(TEXT(Tabela14[[#This Row],[DATA]],"MMM"))</f>
        <v>MAR</v>
      </c>
      <c r="C137" s="23" t="s">
        <v>324</v>
      </c>
      <c r="D137" s="179" t="s">
        <v>40</v>
      </c>
      <c r="E137" s="20" t="s">
        <v>410</v>
      </c>
      <c r="F137" s="21">
        <v>55.43</v>
      </c>
    </row>
    <row r="138" spans="1:6">
      <c r="A138" s="225">
        <v>45381</v>
      </c>
      <c r="B138" s="23" t="str">
        <f>UPPER(TEXT(Tabela14[[#This Row],[DATA]],"MMM"))</f>
        <v>MAR</v>
      </c>
      <c r="C138" s="23"/>
      <c r="D138" s="179" t="s">
        <v>40</v>
      </c>
      <c r="E138" s="24" t="s">
        <v>216</v>
      </c>
      <c r="F138" s="25">
        <f>7.4-3.7</f>
        <v>3.7</v>
      </c>
    </row>
    <row r="139" spans="1:6">
      <c r="A139" s="225">
        <v>45381</v>
      </c>
      <c r="B139" s="226" t="str">
        <f>UPPER(TEXT(Tabela14[[#This Row],[DATA]],"MMM"))</f>
        <v>MAR</v>
      </c>
      <c r="C139" s="23"/>
      <c r="D139" s="179" t="s">
        <v>40</v>
      </c>
      <c r="E139" s="101" t="s">
        <v>216</v>
      </c>
      <c r="F139" s="102">
        <f>12.01-6</f>
        <v>6.01</v>
      </c>
    </row>
    <row r="140" spans="1:6">
      <c r="A140" s="225">
        <v>45381</v>
      </c>
      <c r="B140" s="226" t="str">
        <f>UPPER(TEXT(Tabela14[[#This Row],[DATA]],"MMM"))</f>
        <v>MAR</v>
      </c>
      <c r="C140" s="23" t="s">
        <v>324</v>
      </c>
      <c r="D140" s="179" t="s">
        <v>40</v>
      </c>
      <c r="E140" s="20" t="s">
        <v>411</v>
      </c>
      <c r="F140" s="21">
        <v>169.98</v>
      </c>
    </row>
    <row r="141" spans="1:6">
      <c r="A141" s="225">
        <v>45382</v>
      </c>
      <c r="B141" s="23" t="str">
        <f>UPPER(TEXT(Tabela14[[#This Row],[DATA]],"MMM"))</f>
        <v>MAR</v>
      </c>
      <c r="C141" s="23"/>
      <c r="D141" s="179" t="s">
        <v>40</v>
      </c>
      <c r="E141" s="37" t="s">
        <v>216</v>
      </c>
      <c r="F141" s="38">
        <v>16.739999999999998</v>
      </c>
    </row>
    <row r="142" spans="1:6">
      <c r="A142" s="225">
        <v>45382</v>
      </c>
      <c r="B142" s="226" t="str">
        <f>UPPER(TEXT(Tabela14[[#This Row],[DATA]],"MMM"))</f>
        <v>MAR</v>
      </c>
      <c r="C142" s="23"/>
      <c r="D142" s="179" t="s">
        <v>40</v>
      </c>
      <c r="E142" s="20" t="s">
        <v>216</v>
      </c>
      <c r="F142" s="21">
        <v>18.37</v>
      </c>
    </row>
    <row r="143" spans="1:6">
      <c r="A143" s="225">
        <v>45383</v>
      </c>
      <c r="B143" s="23" t="str">
        <f>UPPER(TEXT(Tabela14[[#This Row],[DATA]],"MMM"))</f>
        <v>ABR</v>
      </c>
      <c r="C143" s="23"/>
      <c r="D143" s="179" t="s">
        <v>38</v>
      </c>
      <c r="E143" s="20" t="s">
        <v>39</v>
      </c>
      <c r="F143" s="21">
        <v>2415</v>
      </c>
    </row>
    <row r="144" spans="1:6">
      <c r="A144" s="225">
        <v>45383</v>
      </c>
      <c r="B144" s="23" t="str">
        <f>UPPER(TEXT(Tabela14[[#This Row],[DATA]],"MMM"))</f>
        <v>ABR</v>
      </c>
      <c r="C144" s="23"/>
      <c r="D144" s="179" t="s">
        <v>40</v>
      </c>
      <c r="E144" s="249" t="s">
        <v>412</v>
      </c>
      <c r="F144" s="181">
        <v>0</v>
      </c>
    </row>
    <row r="145" spans="1:6">
      <c r="A145" s="225">
        <v>45383</v>
      </c>
      <c r="B145" s="23" t="str">
        <f>UPPER(TEXT(Tabela14[[#This Row],[DATA]],"MMM"))</f>
        <v>ABR</v>
      </c>
      <c r="C145" s="23" t="s">
        <v>324</v>
      </c>
      <c r="D145" s="179" t="s">
        <v>40</v>
      </c>
      <c r="E145" s="20" t="s">
        <v>413</v>
      </c>
      <c r="F145" s="193">
        <v>4.75</v>
      </c>
    </row>
    <row r="146" spans="1:6">
      <c r="A146" s="225">
        <v>45383</v>
      </c>
      <c r="B146" s="23" t="str">
        <f>UPPER(TEXT(Tabela14[[#This Row],[DATA]],"MMM"))</f>
        <v>ABR</v>
      </c>
      <c r="C146" s="23"/>
      <c r="D146" s="179" t="s">
        <v>40</v>
      </c>
      <c r="E146" s="260" t="s">
        <v>414</v>
      </c>
      <c r="F146" s="157">
        <f>6</f>
        <v>6</v>
      </c>
    </row>
    <row r="147" spans="1:6">
      <c r="A147" s="225">
        <v>45383</v>
      </c>
      <c r="B147" s="23" t="str">
        <f>UPPER(TEXT(Tabela14[[#This Row],[DATA]],"MMM"))</f>
        <v>ABR</v>
      </c>
      <c r="C147" s="23"/>
      <c r="D147" s="179" t="s">
        <v>40</v>
      </c>
      <c r="E147" s="296" t="s">
        <v>348</v>
      </c>
      <c r="F147" s="112">
        <f>(25.9+14.9)/3</f>
        <v>13.6</v>
      </c>
    </row>
    <row r="148" spans="1:6">
      <c r="A148" s="225">
        <v>45383</v>
      </c>
      <c r="B148" s="23" t="str">
        <f>UPPER(TEXT(Tabela14[[#This Row],[DATA]],"MMM"))</f>
        <v>ABR</v>
      </c>
      <c r="C148" s="23"/>
      <c r="D148" s="179" t="s">
        <v>40</v>
      </c>
      <c r="E148" s="182" t="s">
        <v>415</v>
      </c>
      <c r="F148" s="190">
        <v>16.260000000000002</v>
      </c>
    </row>
    <row r="149" spans="1:6">
      <c r="A149" s="225">
        <v>45383</v>
      </c>
      <c r="B149" s="23" t="str">
        <f>UPPER(TEXT(Tabela14[[#This Row],[DATA]],"MMM"))</f>
        <v>ABR</v>
      </c>
      <c r="C149" s="23"/>
      <c r="D149" s="179" t="s">
        <v>40</v>
      </c>
      <c r="E149" s="182" t="s">
        <v>415</v>
      </c>
      <c r="F149" s="190">
        <v>16.260000000000002</v>
      </c>
    </row>
    <row r="150" spans="1:6">
      <c r="A150" s="225">
        <v>45383</v>
      </c>
      <c r="B150" s="23" t="str">
        <f>UPPER(TEXT(Tabela14[[#This Row],[DATA]],"MMM"))</f>
        <v>ABR</v>
      </c>
      <c r="C150" s="23"/>
      <c r="D150" s="179" t="s">
        <v>40</v>
      </c>
      <c r="E150" s="182" t="s">
        <v>416</v>
      </c>
      <c r="F150" s="190">
        <v>20</v>
      </c>
    </row>
    <row r="151" spans="1:6">
      <c r="A151" s="225">
        <v>45383</v>
      </c>
      <c r="B151" s="23" t="str">
        <f>UPPER(TEXT(Tabela14[[#This Row],[DATA]],"MMM"))</f>
        <v>ABR</v>
      </c>
      <c r="C151" s="23"/>
      <c r="D151" s="179" t="s">
        <v>40</v>
      </c>
      <c r="E151" s="50" t="s">
        <v>417</v>
      </c>
      <c r="F151" s="112">
        <f>150/3</f>
        <v>50</v>
      </c>
    </row>
    <row r="152" spans="1:6">
      <c r="A152" s="225">
        <v>45383</v>
      </c>
      <c r="B152" s="23" t="str">
        <f>UPPER(TEXT(Tabela14[[#This Row],[DATA]],"MMM"))</f>
        <v>ABR</v>
      </c>
      <c r="C152" s="23"/>
      <c r="D152" s="179" t="s">
        <v>40</v>
      </c>
      <c r="E152" s="191" t="s">
        <v>418</v>
      </c>
      <c r="F152" s="192">
        <v>50.32</v>
      </c>
    </row>
    <row r="153" spans="1:6">
      <c r="A153" s="225">
        <v>45383</v>
      </c>
      <c r="B153" s="226" t="str">
        <f>UPPER(TEXT(Tabela14[[#This Row],[DATA]],"MMM"))</f>
        <v>ABR</v>
      </c>
      <c r="C153" s="23"/>
      <c r="D153" s="179" t="s">
        <v>40</v>
      </c>
      <c r="E153" s="191" t="s">
        <v>419</v>
      </c>
      <c r="F153" s="192">
        <v>53.48</v>
      </c>
    </row>
    <row r="154" spans="1:6">
      <c r="A154" s="225">
        <v>45383</v>
      </c>
      <c r="B154" s="226" t="str">
        <f>UPPER(TEXT(Tabela14[[#This Row],[DATA]],"MMM"))</f>
        <v>ABR</v>
      </c>
      <c r="C154" s="23"/>
      <c r="D154" s="179" t="s">
        <v>40</v>
      </c>
      <c r="E154" s="191" t="s">
        <v>420</v>
      </c>
      <c r="F154" s="192">
        <v>56.639999999999993</v>
      </c>
    </row>
    <row r="155" spans="1:6">
      <c r="A155" s="225">
        <v>45383</v>
      </c>
      <c r="B155" s="226" t="str">
        <f>UPPER(TEXT(Tabela14[[#This Row],[DATA]],"MMM"))</f>
        <v>ABR</v>
      </c>
      <c r="C155" s="23"/>
      <c r="D155" s="179" t="s">
        <v>40</v>
      </c>
      <c r="E155" s="7" t="s">
        <v>142</v>
      </c>
      <c r="F155" s="113">
        <v>58.99</v>
      </c>
    </row>
    <row r="156" spans="1:6">
      <c r="A156" s="225">
        <v>45383</v>
      </c>
      <c r="B156" s="226" t="str">
        <f>UPPER(TEXT(Tabela14[[#This Row],[DATA]],"MMM"))</f>
        <v>ABR</v>
      </c>
      <c r="C156" s="23"/>
      <c r="D156" s="179" t="s">
        <v>40</v>
      </c>
      <c r="E156" s="249" t="s">
        <v>421</v>
      </c>
      <c r="F156" s="141">
        <f>191.62/3</f>
        <v>63.873333333333335</v>
      </c>
    </row>
    <row r="157" spans="1:6">
      <c r="A157" s="225">
        <v>45383</v>
      </c>
      <c r="B157" s="226" t="str">
        <f>UPPER(TEXT(Tabela14[[#This Row],[DATA]],"MMM"))</f>
        <v>ABR</v>
      </c>
      <c r="C157" s="23"/>
      <c r="D157" s="179" t="s">
        <v>40</v>
      </c>
      <c r="E157" s="142" t="s">
        <v>351</v>
      </c>
      <c r="F157" s="112">
        <f>227.9/3</f>
        <v>75.966666666666669</v>
      </c>
    </row>
    <row r="158" spans="1:6">
      <c r="A158" s="225">
        <v>45383</v>
      </c>
      <c r="B158" s="226" t="str">
        <f>UPPER(TEXT(Tabela14[[#This Row],[DATA]],"MMM"))</f>
        <v>ABR</v>
      </c>
      <c r="C158" s="23"/>
      <c r="D158" s="179" t="s">
        <v>40</v>
      </c>
      <c r="E158" s="7" t="s">
        <v>123</v>
      </c>
      <c r="F158" s="113">
        <v>78</v>
      </c>
    </row>
    <row r="159" spans="1:6">
      <c r="A159" s="225">
        <v>45383</v>
      </c>
      <c r="B159" s="226" t="str">
        <f>UPPER(TEXT(Tabela14[[#This Row],[DATA]],"MMM"))</f>
        <v>ABR</v>
      </c>
      <c r="C159" s="23"/>
      <c r="D159" s="179" t="s">
        <v>40</v>
      </c>
      <c r="E159" s="184" t="s">
        <v>422</v>
      </c>
      <c r="F159" s="190">
        <v>160</v>
      </c>
    </row>
    <row r="160" spans="1:6">
      <c r="A160" s="225">
        <v>45385</v>
      </c>
      <c r="B160" s="226" t="str">
        <f>UPPER(TEXT(Tabela14[[#This Row],[DATA]],"MMM"))</f>
        <v>ABR</v>
      </c>
      <c r="C160" s="23"/>
      <c r="D160" s="179" t="s">
        <v>40</v>
      </c>
      <c r="E160" s="174" t="s">
        <v>423</v>
      </c>
      <c r="F160" s="21">
        <v>40</v>
      </c>
    </row>
    <row r="161" spans="1:6">
      <c r="A161" s="225">
        <v>45386</v>
      </c>
      <c r="B161" s="226" t="str">
        <f>UPPER(TEXT(Tabela14[[#This Row],[DATA]],"MMM"))</f>
        <v>ABR</v>
      </c>
      <c r="C161" s="23"/>
      <c r="D161" s="179" t="s">
        <v>40</v>
      </c>
      <c r="E161" s="20" t="s">
        <v>216</v>
      </c>
      <c r="F161" s="21">
        <v>9.75</v>
      </c>
    </row>
    <row r="162" spans="1:6">
      <c r="A162" s="225">
        <v>45386</v>
      </c>
      <c r="B162" s="226" t="str">
        <f>UPPER(TEXT(Tabela14[[#This Row],[DATA]],"MMM"))</f>
        <v>ABR</v>
      </c>
      <c r="C162" s="23"/>
      <c r="D162" s="179" t="s">
        <v>40</v>
      </c>
      <c r="E162" s="20" t="s">
        <v>216</v>
      </c>
      <c r="F162" s="21">
        <v>12.96</v>
      </c>
    </row>
    <row r="163" spans="1:6">
      <c r="A163" s="225">
        <v>45387</v>
      </c>
      <c r="B163" s="226" t="str">
        <f>UPPER(TEXT(Tabela14[[#This Row],[DATA]],"MMM"))</f>
        <v>ABR</v>
      </c>
      <c r="C163" s="23" t="s">
        <v>324</v>
      </c>
      <c r="D163" s="179" t="s">
        <v>40</v>
      </c>
      <c r="E163" s="20" t="s">
        <v>424</v>
      </c>
      <c r="F163" s="21">
        <v>27.97</v>
      </c>
    </row>
    <row r="164" spans="1:6" ht="27">
      <c r="A164" s="225">
        <v>45387</v>
      </c>
      <c r="B164" s="226" t="str">
        <f>UPPER(TEXT(Tabela14[[#This Row],[DATA]],"MMM"))</f>
        <v>ABR</v>
      </c>
      <c r="C164" s="23"/>
      <c r="D164" s="179" t="s">
        <v>40</v>
      </c>
      <c r="E164" s="55" t="s">
        <v>425</v>
      </c>
      <c r="F164" s="56">
        <v>60</v>
      </c>
    </row>
    <row r="165" spans="1:6">
      <c r="A165" s="225">
        <v>45388</v>
      </c>
      <c r="B165" s="226" t="str">
        <f>UPPER(TEXT(Tabela14[[#This Row],[DATA]],"MMM"))</f>
        <v>ABR</v>
      </c>
      <c r="C165" s="23" t="s">
        <v>324</v>
      </c>
      <c r="D165" s="179" t="s">
        <v>40</v>
      </c>
      <c r="E165" s="20" t="s">
        <v>426</v>
      </c>
      <c r="F165" s="21">
        <v>21.21</v>
      </c>
    </row>
    <row r="166" spans="1:6">
      <c r="A166" s="225">
        <v>45388</v>
      </c>
      <c r="B166" s="226" t="str">
        <f>UPPER(TEXT(Tabela14[[#This Row],[DATA]],"MMM"))</f>
        <v>ABR</v>
      </c>
      <c r="C166" s="23" t="s">
        <v>324</v>
      </c>
      <c r="D166" s="179" t="s">
        <v>40</v>
      </c>
      <c r="E166" s="20" t="s">
        <v>427</v>
      </c>
      <c r="F166" s="21">
        <v>58</v>
      </c>
    </row>
    <row r="167" spans="1:6" ht="27">
      <c r="A167" s="225">
        <v>45388</v>
      </c>
      <c r="B167" s="226" t="str">
        <f>UPPER(TEXT(Tabela14[[#This Row],[DATA]],"MMM"))</f>
        <v>ABR</v>
      </c>
      <c r="C167" s="23"/>
      <c r="D167" s="179" t="s">
        <v>40</v>
      </c>
      <c r="E167" s="55" t="s">
        <v>428</v>
      </c>
      <c r="F167" s="56">
        <f>71.81+12.1</f>
        <v>83.91</v>
      </c>
    </row>
    <row r="168" spans="1:6">
      <c r="A168" s="225">
        <v>45389</v>
      </c>
      <c r="B168" s="226" t="str">
        <f>UPPER(TEXT(Tabela14[[#This Row],[DATA]],"MMM"))</f>
        <v>ABR</v>
      </c>
      <c r="C168" s="23" t="s">
        <v>324</v>
      </c>
      <c r="D168" s="179" t="s">
        <v>40</v>
      </c>
      <c r="E168" s="20" t="s">
        <v>426</v>
      </c>
      <c r="F168" s="21">
        <v>47.02</v>
      </c>
    </row>
    <row r="169" spans="1:6">
      <c r="A169" s="225">
        <v>45390</v>
      </c>
      <c r="B169" s="23" t="str">
        <f>UPPER(TEXT(Tabela14[[#This Row],[DATA]],"MMM"))</f>
        <v>ABR</v>
      </c>
      <c r="C169" s="23"/>
      <c r="D169" s="179" t="s">
        <v>40</v>
      </c>
      <c r="E169" s="37" t="s">
        <v>429</v>
      </c>
      <c r="F169" s="38">
        <v>20</v>
      </c>
    </row>
    <row r="170" spans="1:6">
      <c r="A170" s="225">
        <v>45390</v>
      </c>
      <c r="B170" s="226" t="str">
        <f>UPPER(TEXT(Tabela14[[#This Row],[DATA]],"MMM"))</f>
        <v>ABR</v>
      </c>
      <c r="C170" s="23"/>
      <c r="D170" s="179" t="s">
        <v>40</v>
      </c>
      <c r="E170" s="20" t="s">
        <v>430</v>
      </c>
      <c r="F170" s="21">
        <v>49.91</v>
      </c>
    </row>
    <row r="171" spans="1:6" ht="27">
      <c r="A171" s="225">
        <v>45391</v>
      </c>
      <c r="B171" s="23" t="str">
        <f>UPPER(TEXT(Tabela14[[#This Row],[DATA]],"MMM"))</f>
        <v>ABR</v>
      </c>
      <c r="C171" s="23"/>
      <c r="D171" s="179" t="s">
        <v>40</v>
      </c>
      <c r="E171" s="99" t="s">
        <v>431</v>
      </c>
      <c r="F171" s="100">
        <v>113.99</v>
      </c>
    </row>
    <row r="172" spans="1:6" ht="27">
      <c r="A172" s="225">
        <v>45393</v>
      </c>
      <c r="B172" s="23" t="str">
        <f>UPPER(TEXT(Tabela14[[#This Row],[DATA]],"MMM"))</f>
        <v>ABR</v>
      </c>
      <c r="C172" s="23"/>
      <c r="D172" s="179" t="s">
        <v>40</v>
      </c>
      <c r="E172" s="299" t="s">
        <v>432</v>
      </c>
      <c r="F172" s="300">
        <v>149.37</v>
      </c>
    </row>
    <row r="173" spans="1:6">
      <c r="A173" s="225">
        <v>45394</v>
      </c>
      <c r="B173" s="23" t="str">
        <f>UPPER(TEXT(Tabela14[[#This Row],[DATA]],"MMM"))</f>
        <v>ABR</v>
      </c>
      <c r="C173" s="23" t="s">
        <v>324</v>
      </c>
      <c r="D173" s="179" t="s">
        <v>40</v>
      </c>
      <c r="E173" s="37" t="s">
        <v>433</v>
      </c>
      <c r="F173" s="38">
        <v>47.95</v>
      </c>
    </row>
    <row r="174" spans="1:6">
      <c r="A174" s="225">
        <v>45395</v>
      </c>
      <c r="B174" s="23" t="str">
        <f>UPPER(TEXT(Tabela14[[#This Row],[DATA]],"MMM"))</f>
        <v>ABR</v>
      </c>
      <c r="C174" s="23"/>
      <c r="D174" s="179" t="s">
        <v>40</v>
      </c>
      <c r="E174" s="24" t="s">
        <v>434</v>
      </c>
      <c r="F174" s="25">
        <v>16</v>
      </c>
    </row>
    <row r="175" spans="1:6">
      <c r="A175" s="225">
        <v>45395</v>
      </c>
      <c r="B175" s="226" t="str">
        <f>UPPER(TEXT(Tabela14[[#This Row],[DATA]],"MMM"))</f>
        <v>ABR</v>
      </c>
      <c r="C175" s="23"/>
      <c r="D175" s="179" t="s">
        <v>40</v>
      </c>
      <c r="E175" s="20" t="s">
        <v>435</v>
      </c>
      <c r="F175" s="21">
        <v>35.799999999999997</v>
      </c>
    </row>
    <row r="176" spans="1:6">
      <c r="A176" s="225">
        <v>45395</v>
      </c>
      <c r="B176" s="226" t="str">
        <f>UPPER(TEXT(Tabela14[[#This Row],[DATA]],"MMM"))</f>
        <v>ABR</v>
      </c>
      <c r="C176" s="23"/>
      <c r="D176" s="179" t="s">
        <v>40</v>
      </c>
      <c r="E176" s="257" t="s">
        <v>149</v>
      </c>
      <c r="F176" s="193">
        <v>50</v>
      </c>
    </row>
    <row r="177" spans="1:6">
      <c r="A177" s="225">
        <v>45396</v>
      </c>
      <c r="B177" s="23" t="str">
        <f>UPPER(TEXT(Tabela14[[#This Row],[DATA]],"MMM"))</f>
        <v>ABR</v>
      </c>
      <c r="C177" s="23" t="s">
        <v>324</v>
      </c>
      <c r="D177" s="179" t="s">
        <v>40</v>
      </c>
      <c r="E177" s="37" t="s">
        <v>436</v>
      </c>
      <c r="F177" s="38">
        <v>32</v>
      </c>
    </row>
    <row r="178" spans="1:6">
      <c r="A178" s="225">
        <v>45400</v>
      </c>
      <c r="B178" s="23" t="str">
        <f>UPPER(TEXT(Tabela14[[#This Row],[DATA]],"MMM"))</f>
        <v>ABR</v>
      </c>
      <c r="C178" s="23" t="s">
        <v>324</v>
      </c>
      <c r="D178" s="178" t="s">
        <v>40</v>
      </c>
      <c r="E178" s="20" t="s">
        <v>437</v>
      </c>
      <c r="F178" s="21">
        <f>101+15-50</f>
        <v>66</v>
      </c>
    </row>
    <row r="179" spans="1:6">
      <c r="A179" s="225">
        <v>45400</v>
      </c>
      <c r="B179" s="226" t="str">
        <f>UPPER(TEXT(Tabela14[[#This Row],[DATA]],"MMM"))</f>
        <v>ABR</v>
      </c>
      <c r="C179" s="226"/>
      <c r="D179" s="178" t="s">
        <v>40</v>
      </c>
      <c r="E179" s="174" t="s">
        <v>438</v>
      </c>
      <c r="F179" s="175">
        <v>67.040000000000006</v>
      </c>
    </row>
    <row r="180" spans="1:6">
      <c r="A180" s="225">
        <v>45402</v>
      </c>
      <c r="B180" s="23" t="str">
        <f>UPPER(TEXT(Tabela14[[#This Row],[DATA]],"MMM"))</f>
        <v>ABR</v>
      </c>
      <c r="C180" s="23" t="s">
        <v>324</v>
      </c>
      <c r="D180" s="178" t="s">
        <v>40</v>
      </c>
      <c r="E180" s="37" t="s">
        <v>439</v>
      </c>
      <c r="F180" s="38">
        <f>58+24-9</f>
        <v>73</v>
      </c>
    </row>
    <row r="181" spans="1:6">
      <c r="A181" s="225">
        <v>45403</v>
      </c>
      <c r="B181" s="23" t="str">
        <f>UPPER(TEXT(Tabela14[[#This Row],[DATA]],"MMM"))</f>
        <v>ABR</v>
      </c>
      <c r="C181" s="23" t="s">
        <v>324</v>
      </c>
      <c r="D181" s="178" t="s">
        <v>40</v>
      </c>
      <c r="E181" s="37" t="s">
        <v>440</v>
      </c>
      <c r="F181" s="38">
        <v>46</v>
      </c>
    </row>
    <row r="182" spans="1:6">
      <c r="A182" s="225">
        <v>45406</v>
      </c>
      <c r="B182" s="23" t="str">
        <f>UPPER(TEXT(Tabela14[[#This Row],[DATA]],"MMM"))</f>
        <v>ABR</v>
      </c>
      <c r="C182" s="23" t="s">
        <v>324</v>
      </c>
      <c r="D182" s="178" t="s">
        <v>40</v>
      </c>
      <c r="E182" s="37" t="s">
        <v>441</v>
      </c>
      <c r="F182" s="38">
        <v>10.5</v>
      </c>
    </row>
    <row r="183" spans="1:6">
      <c r="A183" s="225">
        <v>45407</v>
      </c>
      <c r="B183" s="23" t="str">
        <f>UPPER(TEXT(Tabela14[[#This Row],[DATA]],"MMM"))</f>
        <v>ABR</v>
      </c>
      <c r="C183" s="226" t="s">
        <v>324</v>
      </c>
      <c r="D183" s="178" t="s">
        <v>40</v>
      </c>
      <c r="E183" s="37" t="s">
        <v>442</v>
      </c>
      <c r="F183" s="38">
        <v>40</v>
      </c>
    </row>
    <row r="184" spans="1:6">
      <c r="A184" s="225">
        <v>45408</v>
      </c>
      <c r="B184" s="23" t="str">
        <f>UPPER(TEXT(Tabela14[[#This Row],[DATA]],"MMM"))</f>
        <v>ABR</v>
      </c>
      <c r="C184" s="23" t="s">
        <v>324</v>
      </c>
      <c r="D184" s="178" t="s">
        <v>40</v>
      </c>
      <c r="E184" s="38" t="s">
        <v>443</v>
      </c>
      <c r="F184" s="38">
        <v>75.900000000000006</v>
      </c>
    </row>
    <row r="185" spans="1:6">
      <c r="A185" s="225">
        <v>45409</v>
      </c>
      <c r="B185" s="226" t="str">
        <f>UPPER(TEXT(Tabela14[[#This Row],[DATA]],"MMM"))</f>
        <v>ABR</v>
      </c>
      <c r="C185" s="226" t="s">
        <v>324</v>
      </c>
      <c r="D185" s="178" t="s">
        <v>40</v>
      </c>
      <c r="E185" s="21" t="s">
        <v>376</v>
      </c>
      <c r="F185" s="21">
        <v>8.9</v>
      </c>
    </row>
    <row r="186" spans="1:6">
      <c r="A186" s="225">
        <v>45409</v>
      </c>
      <c r="B186" s="23" t="str">
        <f>UPPER(TEXT(Tabela14[[#This Row],[DATA]],"MMM"))</f>
        <v>ABR</v>
      </c>
      <c r="C186" s="23" t="s">
        <v>324</v>
      </c>
      <c r="D186" s="178" t="s">
        <v>40</v>
      </c>
      <c r="E186" s="37" t="s">
        <v>444</v>
      </c>
      <c r="F186" s="38">
        <f>101+10</f>
        <v>111</v>
      </c>
    </row>
    <row r="187" spans="1:6">
      <c r="A187" s="225">
        <v>45410</v>
      </c>
      <c r="B187" s="23" t="str">
        <f>UPPER(TEXT(Tabela14[[#This Row],[DATA]],"MMM"))</f>
        <v>ABR</v>
      </c>
      <c r="C187" s="23" t="s">
        <v>324</v>
      </c>
      <c r="D187" s="178" t="s">
        <v>40</v>
      </c>
      <c r="E187" s="38" t="s">
        <v>376</v>
      </c>
      <c r="F187" s="38">
        <v>9.48</v>
      </c>
    </row>
    <row r="188" spans="1:6">
      <c r="A188" s="225">
        <v>45410</v>
      </c>
      <c r="B188" s="226" t="str">
        <f>UPPER(TEXT(Tabela14[[#This Row],[DATA]],"MMM"))</f>
        <v>ABR</v>
      </c>
      <c r="C188" s="23"/>
      <c r="D188" s="178" t="s">
        <v>40</v>
      </c>
      <c r="E188" s="21" t="s">
        <v>445</v>
      </c>
      <c r="F188" s="21">
        <v>16.760000000000002</v>
      </c>
    </row>
    <row r="189" spans="1:6">
      <c r="A189" s="225">
        <v>45413</v>
      </c>
      <c r="B189" s="23" t="str">
        <f>UPPER(TEXT(Tabela14[[#This Row],[DATA]],"MMM"))</f>
        <v>MAI</v>
      </c>
      <c r="C189" s="23"/>
      <c r="D189" s="179" t="s">
        <v>38</v>
      </c>
      <c r="E189" s="20" t="s">
        <v>39</v>
      </c>
      <c r="F189" s="21">
        <v>2248</v>
      </c>
    </row>
    <row r="190" spans="1:6">
      <c r="A190" s="225">
        <v>45413</v>
      </c>
      <c r="B190" s="226" t="str">
        <f>UPPER(TEXT(Tabela14[[#This Row],[DATA]],"MMM"))</f>
        <v>MAI</v>
      </c>
      <c r="C190" s="23"/>
      <c r="D190" s="179" t="s">
        <v>40</v>
      </c>
      <c r="E190" s="50" t="s">
        <v>446</v>
      </c>
      <c r="F190" s="112">
        <v>0</v>
      </c>
    </row>
    <row r="191" spans="1:6">
      <c r="A191" s="225">
        <v>45413</v>
      </c>
      <c r="B191" s="226" t="str">
        <f>UPPER(TEXT(Tabela14[[#This Row],[DATA]],"MMM"))</f>
        <v>MAI</v>
      </c>
      <c r="C191" s="23" t="s">
        <v>324</v>
      </c>
      <c r="D191" s="179" t="s">
        <v>40</v>
      </c>
      <c r="E191" s="20" t="s">
        <v>413</v>
      </c>
      <c r="F191" s="113">
        <v>4.95</v>
      </c>
    </row>
    <row r="192" spans="1:6">
      <c r="A192" s="225">
        <v>45413</v>
      </c>
      <c r="B192" s="226" t="str">
        <f>UPPER(TEXT(Tabela14[[#This Row],[DATA]],"MMM"))</f>
        <v>MAI</v>
      </c>
      <c r="C192" s="23"/>
      <c r="D192" s="179" t="s">
        <v>40</v>
      </c>
      <c r="E192" s="296" t="s">
        <v>348</v>
      </c>
      <c r="F192" s="112">
        <f>(25.9+19.9)/3</f>
        <v>15.266666666666666</v>
      </c>
    </row>
    <row r="193" spans="1:6" ht="27">
      <c r="A193" s="225">
        <v>45413</v>
      </c>
      <c r="B193" s="226" t="str">
        <f>UPPER(TEXT(Tabela14[[#This Row],[DATA]],"MMM"))</f>
        <v>MAI</v>
      </c>
      <c r="C193" s="23"/>
      <c r="D193" s="179" t="s">
        <v>40</v>
      </c>
      <c r="E193" s="288" t="s">
        <v>447</v>
      </c>
      <c r="F193" s="220">
        <f>150.96/3</f>
        <v>50.32</v>
      </c>
    </row>
    <row r="194" spans="1:6">
      <c r="A194" s="225">
        <v>45413</v>
      </c>
      <c r="B194" s="226" t="str">
        <f>UPPER(TEXT(Tabela14[[#This Row],[DATA]],"MMM"))</f>
        <v>MAI</v>
      </c>
      <c r="C194" s="23" t="s">
        <v>324</v>
      </c>
      <c r="D194" s="179" t="s">
        <v>40</v>
      </c>
      <c r="E194" s="20" t="s">
        <v>448</v>
      </c>
      <c r="F194" s="21">
        <v>50.99</v>
      </c>
    </row>
    <row r="195" spans="1:6" ht="27">
      <c r="A195" s="225">
        <v>45413</v>
      </c>
      <c r="B195" s="226" t="str">
        <f>UPPER(TEXT(Tabela14[[#This Row],[DATA]],"MMM"))</f>
        <v>MAI</v>
      </c>
      <c r="C195" s="23"/>
      <c r="D195" s="179" t="s">
        <v>40</v>
      </c>
      <c r="E195" s="221" t="s">
        <v>449</v>
      </c>
      <c r="F195" s="222">
        <f>213.92/4</f>
        <v>53.48</v>
      </c>
    </row>
    <row r="196" spans="1:6" ht="27">
      <c r="A196" s="225">
        <v>45413</v>
      </c>
      <c r="B196" s="226" t="str">
        <f>UPPER(TEXT(Tabela14[[#This Row],[DATA]],"MMM"))</f>
        <v>MAI</v>
      </c>
      <c r="C196" s="23"/>
      <c r="D196" s="179" t="s">
        <v>40</v>
      </c>
      <c r="E196" s="219" t="s">
        <v>450</v>
      </c>
      <c r="F196" s="220">
        <f>56.63</f>
        <v>56.63</v>
      </c>
    </row>
    <row r="197" spans="1:6">
      <c r="A197" s="225">
        <v>45413</v>
      </c>
      <c r="B197" s="226" t="str">
        <f>UPPER(TEXT(Tabela14[[#This Row],[DATA]],"MMM"))</f>
        <v>MAI</v>
      </c>
      <c r="C197" s="23"/>
      <c r="D197" s="179" t="s">
        <v>40</v>
      </c>
      <c r="E197" s="7" t="s">
        <v>142</v>
      </c>
      <c r="F197" s="113">
        <v>63.99</v>
      </c>
    </row>
    <row r="198" spans="1:6" ht="27">
      <c r="A198" s="225">
        <v>45413</v>
      </c>
      <c r="B198" s="226" t="str">
        <f>UPPER(TEXT(Tabela14[[#This Row],[DATA]],"MMM"))</f>
        <v>MAI</v>
      </c>
      <c r="C198" s="23"/>
      <c r="D198" s="179" t="s">
        <v>40</v>
      </c>
      <c r="E198" s="287" t="s">
        <v>451</v>
      </c>
      <c r="F198" s="218">
        <v>65</v>
      </c>
    </row>
    <row r="199" spans="1:6">
      <c r="A199" s="225">
        <v>45413</v>
      </c>
      <c r="B199" s="226" t="str">
        <f>UPPER(TEXT(Tabela14[[#This Row],[DATA]],"MMM"))</f>
        <v>MAI</v>
      </c>
      <c r="C199" s="23"/>
      <c r="D199" s="179" t="s">
        <v>40</v>
      </c>
      <c r="E199" s="142" t="s">
        <v>351</v>
      </c>
      <c r="F199" s="112">
        <f>227.9/3</f>
        <v>75.966666666666669</v>
      </c>
    </row>
    <row r="200" spans="1:6">
      <c r="A200" s="225">
        <v>45413</v>
      </c>
      <c r="B200" s="226" t="str">
        <f>UPPER(TEXT(Tabela14[[#This Row],[DATA]],"MMM"))</f>
        <v>MAI</v>
      </c>
      <c r="C200" s="23"/>
      <c r="D200" s="179" t="s">
        <v>40</v>
      </c>
      <c r="E200" s="7" t="s">
        <v>123</v>
      </c>
      <c r="F200" s="113">
        <v>78</v>
      </c>
    </row>
    <row r="201" spans="1:6">
      <c r="A201" s="225">
        <v>45413</v>
      </c>
      <c r="B201" s="226" t="str">
        <f>UPPER(TEXT(Tabela14[[#This Row],[DATA]],"MMM"))</f>
        <v>MAI</v>
      </c>
      <c r="C201" s="23"/>
      <c r="D201" s="179" t="s">
        <v>40</v>
      </c>
      <c r="E201" s="249" t="s">
        <v>452</v>
      </c>
      <c r="F201" s="141">
        <f>338.25/3</f>
        <v>112.75</v>
      </c>
    </row>
    <row r="202" spans="1:6">
      <c r="A202" s="225">
        <v>45413</v>
      </c>
      <c r="B202" s="226" t="str">
        <f>UPPER(TEXT(Tabela14[[#This Row],[DATA]],"MMM"))</f>
        <v>MAI</v>
      </c>
      <c r="C202" s="23"/>
      <c r="D202" s="179" t="s">
        <v>40</v>
      </c>
      <c r="E202" s="249" t="s">
        <v>453</v>
      </c>
      <c r="F202" s="181">
        <f>724.19/3</f>
        <v>241.39666666666668</v>
      </c>
    </row>
    <row r="203" spans="1:6" ht="27">
      <c r="A203" s="225">
        <v>45415</v>
      </c>
      <c r="B203" s="23" t="str">
        <f>UPPER(TEXT(Tabela14[[#This Row],[DATA]],"MMM"))</f>
        <v>MAI</v>
      </c>
      <c r="C203" s="23"/>
      <c r="D203" s="179" t="s">
        <v>40</v>
      </c>
      <c r="E203" s="99" t="s">
        <v>454</v>
      </c>
      <c r="F203" s="100">
        <v>40</v>
      </c>
    </row>
    <row r="204" spans="1:6">
      <c r="A204" s="225">
        <v>45416</v>
      </c>
      <c r="B204" s="23" t="str">
        <f>UPPER(TEXT(Tabela14[[#This Row],[DATA]],"MMM"))</f>
        <v>MAI</v>
      </c>
      <c r="C204" s="23"/>
      <c r="D204" s="179" t="s">
        <v>40</v>
      </c>
      <c r="E204" s="24" t="s">
        <v>455</v>
      </c>
      <c r="F204" s="25">
        <v>15.43</v>
      </c>
    </row>
    <row r="205" spans="1:6">
      <c r="A205" s="225">
        <v>45416</v>
      </c>
      <c r="B205" s="226" t="str">
        <f>UPPER(TEXT(Tabela14[[#This Row],[DATA]],"MMM"))</f>
        <v>MAI</v>
      </c>
      <c r="C205" s="23" t="s">
        <v>324</v>
      </c>
      <c r="D205" s="179" t="s">
        <v>40</v>
      </c>
      <c r="E205" s="20" t="s">
        <v>456</v>
      </c>
      <c r="F205" s="21">
        <v>28</v>
      </c>
    </row>
    <row r="206" spans="1:6">
      <c r="A206" s="225">
        <v>45416</v>
      </c>
      <c r="B206" s="226" t="str">
        <f>UPPER(TEXT(Tabela14[[#This Row],[DATA]],"MMM"))</f>
        <v>MAI</v>
      </c>
      <c r="C206" s="23" t="s">
        <v>324</v>
      </c>
      <c r="D206" s="179" t="s">
        <v>40</v>
      </c>
      <c r="E206" s="101" t="s">
        <v>457</v>
      </c>
      <c r="F206" s="102">
        <v>73.5</v>
      </c>
    </row>
    <row r="207" spans="1:6">
      <c r="A207" s="225">
        <v>45417</v>
      </c>
      <c r="B207" s="23" t="str">
        <f>UPPER(TEXT(Tabela14[[#This Row],[DATA]],"MMM"))</f>
        <v>MAI</v>
      </c>
      <c r="C207" s="23" t="s">
        <v>324</v>
      </c>
      <c r="D207" s="179" t="s">
        <v>40</v>
      </c>
      <c r="E207" s="24" t="s">
        <v>458</v>
      </c>
      <c r="F207" s="25">
        <v>19</v>
      </c>
    </row>
    <row r="208" spans="1:6">
      <c r="A208" s="225">
        <v>45417</v>
      </c>
      <c r="B208" s="226" t="str">
        <f>UPPER(TEXT(Tabela14[[#This Row],[DATA]],"MMM"))</f>
        <v>MAI</v>
      </c>
      <c r="C208" s="23" t="s">
        <v>324</v>
      </c>
      <c r="D208" s="179" t="s">
        <v>40</v>
      </c>
      <c r="E208" s="101" t="s">
        <v>456</v>
      </c>
      <c r="F208" s="102">
        <f>51-25</f>
        <v>26</v>
      </c>
    </row>
    <row r="209" spans="1:9">
      <c r="A209" s="225">
        <v>45421</v>
      </c>
      <c r="B209" s="23" t="str">
        <f>UPPER(TEXT(Tabela14[[#This Row],[DATA]],"MMM"))</f>
        <v>MAI</v>
      </c>
      <c r="C209" s="23"/>
      <c r="D209" s="179" t="s">
        <v>40</v>
      </c>
      <c r="E209" s="20" t="s">
        <v>459</v>
      </c>
      <c r="F209" s="21">
        <v>33.86</v>
      </c>
    </row>
    <row r="210" spans="1:9">
      <c r="A210" s="225">
        <v>45424</v>
      </c>
      <c r="B210" s="23" t="str">
        <f>UPPER(TEXT(Tabela14[[#This Row],[DATA]],"MMM"))</f>
        <v>MAI</v>
      </c>
      <c r="C210" s="23" t="s">
        <v>324</v>
      </c>
      <c r="D210" s="179" t="s">
        <v>40</v>
      </c>
      <c r="E210" s="37" t="s">
        <v>460</v>
      </c>
      <c r="F210" s="38">
        <v>60</v>
      </c>
    </row>
    <row r="211" spans="1:9" ht="27">
      <c r="A211" s="225">
        <v>45424</v>
      </c>
      <c r="B211" s="226" t="str">
        <f>UPPER(TEXT(Tabela14[[#This Row],[DATA]],"MMM"))</f>
        <v>MAI</v>
      </c>
      <c r="C211" s="23"/>
      <c r="D211" s="179" t="s">
        <v>40</v>
      </c>
      <c r="E211" s="55" t="s">
        <v>461</v>
      </c>
      <c r="F211" s="56">
        <f>189.9/3</f>
        <v>63.300000000000004</v>
      </c>
    </row>
    <row r="212" spans="1:9" ht="27">
      <c r="A212" s="225">
        <v>45425</v>
      </c>
      <c r="B212" s="23" t="str">
        <f>UPPER(TEXT(Tabela14[[#This Row],[DATA]],"MMM"))</f>
        <v>MAI</v>
      </c>
      <c r="C212" s="23"/>
      <c r="D212" s="179" t="s">
        <v>40</v>
      </c>
      <c r="E212" s="99" t="s">
        <v>462</v>
      </c>
      <c r="F212" s="100">
        <v>165.67</v>
      </c>
    </row>
    <row r="213" spans="1:9">
      <c r="A213" s="225">
        <v>45428</v>
      </c>
      <c r="B213" s="226" t="str">
        <f>UPPER(TEXT(Tabela14[[#This Row],[DATA]],"MMM"))</f>
        <v>MAI</v>
      </c>
      <c r="C213" s="23" t="s">
        <v>324</v>
      </c>
      <c r="D213" s="179" t="s">
        <v>40</v>
      </c>
      <c r="E213" s="20" t="s">
        <v>463</v>
      </c>
      <c r="F213" s="21">
        <v>54</v>
      </c>
      <c r="G213" s="10" t="s">
        <v>464</v>
      </c>
      <c r="H213" s="10" t="s">
        <v>465</v>
      </c>
    </row>
    <row r="214" spans="1:9">
      <c r="A214" s="225">
        <v>45428</v>
      </c>
      <c r="B214" s="23" t="str">
        <f>UPPER(TEXT(Tabela14[[#This Row],[DATA]],"MMM"))</f>
        <v>MAI</v>
      </c>
      <c r="C214" s="23"/>
      <c r="D214" s="179" t="s">
        <v>40</v>
      </c>
      <c r="E214" s="213" t="s">
        <v>466</v>
      </c>
      <c r="F214" s="214">
        <v>75.209999999999994</v>
      </c>
      <c r="G214" s="210">
        <f>F214/12.21</f>
        <v>6.1597051597051591</v>
      </c>
      <c r="H214" s="210">
        <f>12.21*G115</f>
        <v>71.663497157527971</v>
      </c>
      <c r="I214" s="10" t="s">
        <v>467</v>
      </c>
    </row>
    <row r="215" spans="1:9">
      <c r="A215" s="225">
        <v>45429</v>
      </c>
      <c r="B215" s="23" t="str">
        <f>UPPER(TEXT(Tabela14[[#This Row],[DATA]],"MMM"))</f>
        <v>MAI</v>
      </c>
      <c r="C215" s="23"/>
      <c r="D215" s="179" t="s">
        <v>40</v>
      </c>
      <c r="E215" s="37" t="s">
        <v>468</v>
      </c>
      <c r="F215" s="38">
        <v>30.01</v>
      </c>
    </row>
    <row r="216" spans="1:9">
      <c r="A216" s="225">
        <v>45430</v>
      </c>
      <c r="B216" s="23" t="str">
        <f>UPPER(TEXT(Tabela14[[#This Row],[DATA]],"MMM"))</f>
        <v>MAI</v>
      </c>
      <c r="C216" s="23" t="s">
        <v>324</v>
      </c>
      <c r="D216" s="179" t="s">
        <v>40</v>
      </c>
      <c r="E216" s="101" t="s">
        <v>469</v>
      </c>
      <c r="F216" s="102">
        <f>183.9-55.55-55</f>
        <v>73.350000000000023</v>
      </c>
    </row>
    <row r="217" spans="1:9">
      <c r="A217" s="225">
        <v>45431</v>
      </c>
      <c r="B217" s="23" t="str">
        <f>UPPER(TEXT(Tabela14[[#This Row],[DATA]],"MMM"))</f>
        <v>MAI</v>
      </c>
      <c r="C217" s="23" t="s">
        <v>324</v>
      </c>
      <c r="D217" s="179" t="s">
        <v>40</v>
      </c>
      <c r="E217" s="37" t="s">
        <v>426</v>
      </c>
      <c r="F217" s="38">
        <v>25.21</v>
      </c>
    </row>
    <row r="218" spans="1:9">
      <c r="A218" s="225">
        <v>45431</v>
      </c>
      <c r="B218" s="226" t="str">
        <f>UPPER(TEXT(Tabela14[[#This Row],[DATA]],"MMM"))</f>
        <v>MAI</v>
      </c>
      <c r="C218" s="23" t="s">
        <v>324</v>
      </c>
      <c r="D218" s="179" t="s">
        <v>40</v>
      </c>
      <c r="E218" s="20" t="s">
        <v>392</v>
      </c>
      <c r="F218" s="21">
        <v>45.3</v>
      </c>
    </row>
    <row r="219" spans="1:9">
      <c r="A219" s="225">
        <v>45435</v>
      </c>
      <c r="B219" s="23" t="str">
        <f>UPPER(TEXT(Tabela14[[#This Row],[DATA]],"MMM"))</f>
        <v>MAI</v>
      </c>
      <c r="C219" s="23"/>
      <c r="D219" s="179" t="s">
        <v>40</v>
      </c>
      <c r="E219" s="24" t="s">
        <v>470</v>
      </c>
      <c r="F219" s="25">
        <v>13</v>
      </c>
    </row>
    <row r="220" spans="1:9" ht="27">
      <c r="A220" s="225">
        <v>45435</v>
      </c>
      <c r="B220" s="226" t="str">
        <f>UPPER(TEXT(Tabela14[[#This Row],[DATA]],"MMM"))</f>
        <v>MAI</v>
      </c>
      <c r="C220" s="23"/>
      <c r="D220" s="179" t="s">
        <v>40</v>
      </c>
      <c r="E220" s="55" t="s">
        <v>471</v>
      </c>
      <c r="F220" s="56">
        <f>139.9/4+0.02</f>
        <v>34.995000000000005</v>
      </c>
    </row>
    <row r="221" spans="1:9">
      <c r="A221" s="225">
        <v>45435</v>
      </c>
      <c r="B221" s="226" t="str">
        <f>UPPER(TEXT(Tabela14[[#This Row],[DATA]],"MMM"))</f>
        <v>MAI</v>
      </c>
      <c r="C221" s="23" t="s">
        <v>324</v>
      </c>
      <c r="D221" s="179" t="s">
        <v>40</v>
      </c>
      <c r="E221" s="101" t="s">
        <v>439</v>
      </c>
      <c r="F221" s="102">
        <v>72.900000000000006</v>
      </c>
    </row>
    <row r="222" spans="1:9">
      <c r="A222" s="225">
        <v>45437</v>
      </c>
      <c r="B222" s="23" t="str">
        <f>UPPER(TEXT(Tabela14[[#This Row],[DATA]],"MMM"))</f>
        <v>MAI</v>
      </c>
      <c r="C222" s="23" t="s">
        <v>324</v>
      </c>
      <c r="D222" s="179" t="s">
        <v>40</v>
      </c>
      <c r="E222" s="24" t="s">
        <v>472</v>
      </c>
      <c r="F222" s="25">
        <v>18.16</v>
      </c>
      <c r="G222" s="10" t="s">
        <v>473</v>
      </c>
    </row>
    <row r="223" spans="1:9">
      <c r="A223" s="225">
        <v>45437</v>
      </c>
      <c r="B223" s="226" t="str">
        <f>UPPER(TEXT(Tabela14[[#This Row],[DATA]],"MMM"))</f>
        <v>MAI</v>
      </c>
      <c r="C223" s="23"/>
      <c r="D223" s="179" t="s">
        <v>40</v>
      </c>
      <c r="E223" s="101" t="s">
        <v>474</v>
      </c>
      <c r="F223" s="102">
        <v>21.99</v>
      </c>
      <c r="G223" s="10" t="s">
        <v>473</v>
      </c>
    </row>
    <row r="224" spans="1:9">
      <c r="A224" s="225">
        <v>45442</v>
      </c>
      <c r="B224" s="23" t="str">
        <f>UPPER(TEXT(Tabela14[[#This Row],[DATA]],"MMM"))</f>
        <v>MAI</v>
      </c>
      <c r="C224" s="23" t="s">
        <v>324</v>
      </c>
      <c r="D224" s="179" t="s">
        <v>40</v>
      </c>
      <c r="E224" s="37" t="s">
        <v>376</v>
      </c>
      <c r="F224" s="38">
        <v>12</v>
      </c>
      <c r="G224" s="10" t="s">
        <v>473</v>
      </c>
    </row>
    <row r="225" spans="1:7">
      <c r="A225" s="225">
        <v>45443</v>
      </c>
      <c r="B225" s="226" t="str">
        <f>UPPER(TEXT(Tabela14[[#This Row],[DATA]],"MMM"))</f>
        <v>MAI</v>
      </c>
      <c r="C225" s="23"/>
      <c r="D225" s="179" t="s">
        <v>40</v>
      </c>
      <c r="E225" s="20" t="s">
        <v>475</v>
      </c>
      <c r="F225" s="21">
        <v>14.99</v>
      </c>
      <c r="G225" s="10" t="s">
        <v>473</v>
      </c>
    </row>
    <row r="226" spans="1:7">
      <c r="A226" s="225">
        <v>45443</v>
      </c>
      <c r="B226" s="226" t="str">
        <f>UPPER(TEXT(Tabela14[[#This Row],[DATA]],"MMM"))</f>
        <v>MAI</v>
      </c>
      <c r="C226" s="23" t="s">
        <v>324</v>
      </c>
      <c r="D226" s="179" t="s">
        <v>40</v>
      </c>
      <c r="E226" s="20" t="s">
        <v>476</v>
      </c>
      <c r="F226" s="21">
        <v>60.04</v>
      </c>
      <c r="G226" s="10" t="s">
        <v>473</v>
      </c>
    </row>
    <row r="227" spans="1:7" ht="27">
      <c r="A227" s="225">
        <v>45443</v>
      </c>
      <c r="B227" s="23" t="str">
        <f>UPPER(TEXT(Tabela14[[#This Row],[DATA]],"MMM"))</f>
        <v>MAI</v>
      </c>
      <c r="C227" s="23" t="s">
        <v>324</v>
      </c>
      <c r="D227" s="179" t="s">
        <v>40</v>
      </c>
      <c r="E227" s="99" t="s">
        <v>477</v>
      </c>
      <c r="F227" s="100">
        <v>109.14</v>
      </c>
      <c r="G227" s="10" t="s">
        <v>473</v>
      </c>
    </row>
    <row r="228" spans="1:7">
      <c r="A228" s="225">
        <v>45444</v>
      </c>
      <c r="B228" s="23" t="str">
        <f>UPPER(TEXT(Tabela14[[#This Row],[DATA]],"MMM"))</f>
        <v>JUN</v>
      </c>
      <c r="C228" s="23"/>
      <c r="D228" s="179" t="s">
        <v>38</v>
      </c>
      <c r="E228" s="20" t="s">
        <v>39</v>
      </c>
      <c r="F228" s="212">
        <f>2370</f>
        <v>2370</v>
      </c>
    </row>
    <row r="229" spans="1:7">
      <c r="A229" s="225">
        <v>45444</v>
      </c>
      <c r="B229" s="226" t="str">
        <f>UPPER(TEXT(Tabela14[[#This Row],[DATA]],"MMM"))</f>
        <v>JUN</v>
      </c>
      <c r="C229" s="23"/>
      <c r="D229" s="179" t="s">
        <v>38</v>
      </c>
      <c r="E229" s="20" t="s">
        <v>478</v>
      </c>
      <c r="F229" s="212">
        <v>115</v>
      </c>
    </row>
    <row r="230" spans="1:7">
      <c r="A230" s="225">
        <v>45444</v>
      </c>
      <c r="B230" s="226" t="str">
        <f>UPPER(TEXT(Tabela14[[#This Row],[DATA]],"MMM"))</f>
        <v>JUN</v>
      </c>
      <c r="C230" s="23" t="s">
        <v>324</v>
      </c>
      <c r="D230" s="179" t="s">
        <v>40</v>
      </c>
      <c r="E230" s="50" t="s">
        <v>413</v>
      </c>
      <c r="F230" s="112">
        <v>4.95</v>
      </c>
    </row>
    <row r="231" spans="1:7">
      <c r="A231" s="225">
        <v>45444</v>
      </c>
      <c r="B231" s="226" t="str">
        <f>UPPER(TEXT(Tabela14[[#This Row],[DATA]],"MMM"))</f>
        <v>JUN</v>
      </c>
      <c r="C231" s="23"/>
      <c r="D231" s="179" t="s">
        <v>40</v>
      </c>
      <c r="E231" s="142" t="s">
        <v>348</v>
      </c>
      <c r="F231" s="112">
        <f>(25.9+19.9)/3</f>
        <v>15.266666666666666</v>
      </c>
    </row>
    <row r="232" spans="1:7">
      <c r="A232" s="225">
        <v>45444</v>
      </c>
      <c r="B232" s="226" t="str">
        <f>UPPER(TEXT(Tabela14[[#This Row],[DATA]],"MMM"))</f>
        <v>JUN</v>
      </c>
      <c r="C232" s="23"/>
      <c r="D232" s="179" t="s">
        <v>40</v>
      </c>
      <c r="E232" s="182" t="s">
        <v>479</v>
      </c>
      <c r="F232" s="183">
        <f>213.92/4</f>
        <v>53.48</v>
      </c>
    </row>
    <row r="233" spans="1:7">
      <c r="A233" s="225">
        <v>45444</v>
      </c>
      <c r="B233" s="226" t="str">
        <f>UPPER(TEXT(Tabela14[[#This Row],[DATA]],"MMM"))</f>
        <v>JUN</v>
      </c>
      <c r="C233" s="23"/>
      <c r="D233" s="179" t="s">
        <v>40</v>
      </c>
      <c r="E233" s="31" t="s">
        <v>480</v>
      </c>
      <c r="F233" s="141">
        <f>186.42/3</f>
        <v>62.139999999999993</v>
      </c>
    </row>
    <row r="234" spans="1:7">
      <c r="A234" s="225">
        <v>45444</v>
      </c>
      <c r="B234" s="226" t="str">
        <f>UPPER(TEXT(Tabela14[[#This Row],[DATA]],"MMM"))</f>
        <v>JUN</v>
      </c>
      <c r="C234" s="23"/>
      <c r="D234" s="179" t="s">
        <v>40</v>
      </c>
      <c r="E234" s="32" t="s">
        <v>142</v>
      </c>
      <c r="F234" s="113">
        <v>63.99</v>
      </c>
    </row>
    <row r="235" spans="1:7">
      <c r="A235" s="225">
        <v>45444</v>
      </c>
      <c r="B235" s="226" t="str">
        <f>UPPER(TEXT(Tabela14[[#This Row],[DATA]],"MMM"))</f>
        <v>JUN</v>
      </c>
      <c r="C235" s="23"/>
      <c r="D235" s="179" t="s">
        <v>40</v>
      </c>
      <c r="E235" s="142" t="s">
        <v>351</v>
      </c>
      <c r="F235" s="112">
        <f>227.9/3</f>
        <v>75.966666666666669</v>
      </c>
    </row>
    <row r="236" spans="1:7">
      <c r="A236" s="225">
        <v>45444</v>
      </c>
      <c r="B236" s="226" t="str">
        <f>UPPER(TEXT(Tabela14[[#This Row],[DATA]],"MMM"))</f>
        <v>JUN</v>
      </c>
      <c r="C236" s="23" t="s">
        <v>324</v>
      </c>
      <c r="D236" s="179" t="s">
        <v>40</v>
      </c>
      <c r="E236" s="101" t="s">
        <v>481</v>
      </c>
      <c r="F236" s="21">
        <v>77.900000000000006</v>
      </c>
    </row>
    <row r="237" spans="1:7">
      <c r="A237" s="225">
        <v>45444</v>
      </c>
      <c r="B237" s="226" t="str">
        <f>UPPER(TEXT(Tabela14[[#This Row],[DATA]],"MMM"))</f>
        <v>JUN</v>
      </c>
      <c r="C237" s="23"/>
      <c r="D237" s="179" t="s">
        <v>40</v>
      </c>
      <c r="E237" s="7" t="s">
        <v>123</v>
      </c>
      <c r="F237" s="113">
        <v>78</v>
      </c>
    </row>
    <row r="238" spans="1:7">
      <c r="A238" s="225">
        <v>45444</v>
      </c>
      <c r="B238" s="226" t="str">
        <f>UPPER(TEXT(Tabela14[[#This Row],[DATA]],"MMM"))</f>
        <v>JUN</v>
      </c>
      <c r="C238" s="23"/>
      <c r="D238" s="179" t="s">
        <v>40</v>
      </c>
      <c r="E238" s="43" t="s">
        <v>482</v>
      </c>
      <c r="F238" s="261">
        <f>250/3</f>
        <v>83.333333333333329</v>
      </c>
    </row>
    <row r="239" spans="1:7">
      <c r="A239" s="225">
        <v>45444</v>
      </c>
      <c r="B239" s="226" t="str">
        <f>UPPER(TEXT(Tabela14[[#This Row],[DATA]],"MMM"))</f>
        <v>JUN</v>
      </c>
      <c r="C239" s="23"/>
      <c r="D239" s="179" t="s">
        <v>40</v>
      </c>
      <c r="E239" s="31" t="s">
        <v>483</v>
      </c>
      <c r="F239" s="289">
        <f>446.24/3</f>
        <v>148.74666666666667</v>
      </c>
    </row>
    <row r="240" spans="1:7">
      <c r="A240" s="225">
        <v>45445</v>
      </c>
      <c r="B240" s="226" t="str">
        <f>UPPER(TEXT(Tabela14[[#This Row],[DATA]],"MMM"))</f>
        <v>JUN</v>
      </c>
      <c r="C240" s="23" t="s">
        <v>324</v>
      </c>
      <c r="D240" s="179" t="s">
        <v>40</v>
      </c>
      <c r="E240" s="20" t="s">
        <v>484</v>
      </c>
      <c r="F240" s="21">
        <f>16+10-12</f>
        <v>14</v>
      </c>
      <c r="G240" s="10" t="s">
        <v>473</v>
      </c>
    </row>
    <row r="241" spans="1:7">
      <c r="A241" s="225">
        <v>45445</v>
      </c>
      <c r="B241" s="226" t="str">
        <f>UPPER(TEXT(Tabela14[[#This Row],[DATA]],"MMM"))</f>
        <v>JUN</v>
      </c>
      <c r="C241" s="23"/>
      <c r="D241" s="179" t="s">
        <v>40</v>
      </c>
      <c r="E241" s="20" t="s">
        <v>485</v>
      </c>
      <c r="F241" s="21">
        <v>27.95</v>
      </c>
    </row>
    <row r="242" spans="1:7">
      <c r="A242" s="225">
        <v>45446</v>
      </c>
      <c r="B242" s="226" t="str">
        <f>UPPER(TEXT(Tabela14[[#This Row],[DATA]],"MMM"))</f>
        <v>JUN</v>
      </c>
      <c r="C242" s="23"/>
      <c r="D242" s="179" t="s">
        <v>40</v>
      </c>
      <c r="E242" s="20" t="s">
        <v>486</v>
      </c>
      <c r="F242" s="21">
        <v>7.6</v>
      </c>
    </row>
    <row r="243" spans="1:7">
      <c r="A243" s="225">
        <v>45446</v>
      </c>
      <c r="B243" s="23" t="str">
        <f>UPPER(TEXT(Tabela14[[#This Row],[DATA]],"MMM"))</f>
        <v>JUN</v>
      </c>
      <c r="C243" s="23"/>
      <c r="D243" s="179" t="s">
        <v>40</v>
      </c>
      <c r="E243" s="37" t="s">
        <v>487</v>
      </c>
      <c r="F243" s="38">
        <v>19.899999999999999</v>
      </c>
    </row>
    <row r="244" spans="1:7">
      <c r="A244" s="225">
        <v>45447</v>
      </c>
      <c r="B244" s="226" t="str">
        <f>UPPER(TEXT(Tabela14[[#This Row],[DATA]],"MMM"))</f>
        <v>JUN</v>
      </c>
      <c r="C244" s="23"/>
      <c r="D244" s="179" t="s">
        <v>40</v>
      </c>
      <c r="E244" s="101" t="s">
        <v>488</v>
      </c>
      <c r="F244" s="102">
        <v>30</v>
      </c>
    </row>
    <row r="245" spans="1:7">
      <c r="A245" s="225">
        <v>45449</v>
      </c>
      <c r="B245" s="23" t="str">
        <f>UPPER(TEXT(Tabela14[[#This Row],[DATA]],"MMM"))</f>
        <v>JUN</v>
      </c>
      <c r="C245" s="23" t="s">
        <v>324</v>
      </c>
      <c r="D245" s="179" t="s">
        <v>40</v>
      </c>
      <c r="E245" s="37" t="s">
        <v>489</v>
      </c>
      <c r="F245" s="38">
        <v>63</v>
      </c>
      <c r="G245" s="10" t="s">
        <v>473</v>
      </c>
    </row>
    <row r="246" spans="1:7">
      <c r="A246" s="225">
        <v>45450</v>
      </c>
      <c r="B246" s="23" t="str">
        <f>UPPER(TEXT(Tabela14[[#This Row],[DATA]],"MMM"))</f>
        <v>JUN</v>
      </c>
      <c r="C246" s="23" t="s">
        <v>324</v>
      </c>
      <c r="D246" s="179" t="s">
        <v>40</v>
      </c>
      <c r="E246" s="37" t="s">
        <v>490</v>
      </c>
      <c r="F246" s="38">
        <v>73.3</v>
      </c>
    </row>
    <row r="247" spans="1:7">
      <c r="A247" s="225">
        <v>45451</v>
      </c>
      <c r="B247" s="23" t="str">
        <f>UPPER(TEXT(Tabela14[[#This Row],[DATA]],"MMM"))</f>
        <v>JUN</v>
      </c>
      <c r="C247" s="23"/>
      <c r="D247" s="179" t="s">
        <v>40</v>
      </c>
      <c r="E247" s="37" t="s">
        <v>216</v>
      </c>
      <c r="F247" s="38">
        <v>10.81</v>
      </c>
    </row>
    <row r="248" spans="1:7">
      <c r="A248" s="225">
        <v>45451</v>
      </c>
      <c r="B248" s="23" t="str">
        <f>UPPER(TEXT(Tabela14[[#This Row],[DATA]],"MMM"))</f>
        <v>JUN</v>
      </c>
      <c r="C248" s="23" t="s">
        <v>324</v>
      </c>
      <c r="D248" s="179" t="s">
        <v>40</v>
      </c>
      <c r="E248" s="24" t="s">
        <v>491</v>
      </c>
      <c r="F248" s="25">
        <f>26.72-10</f>
        <v>16.72</v>
      </c>
      <c r="G248" s="10" t="s">
        <v>473</v>
      </c>
    </row>
    <row r="249" spans="1:7">
      <c r="A249" s="225">
        <v>45451</v>
      </c>
      <c r="B249" s="226" t="str">
        <f>UPPER(TEXT(Tabela14[[#This Row],[DATA]],"MMM"))</f>
        <v>JUN</v>
      </c>
      <c r="C249" s="23" t="s">
        <v>324</v>
      </c>
      <c r="D249" s="179" t="s">
        <v>40</v>
      </c>
      <c r="E249" s="20" t="s">
        <v>492</v>
      </c>
      <c r="F249" s="21">
        <v>21</v>
      </c>
    </row>
    <row r="250" spans="1:7">
      <c r="A250" s="225">
        <v>45451</v>
      </c>
      <c r="B250" s="226" t="str">
        <f>UPPER(TEXT(Tabela14[[#This Row],[DATA]],"MMM"))</f>
        <v>JUN</v>
      </c>
      <c r="C250" s="23" t="s">
        <v>324</v>
      </c>
      <c r="D250" s="179" t="s">
        <v>40</v>
      </c>
      <c r="E250" s="20" t="s">
        <v>493</v>
      </c>
      <c r="F250" s="21">
        <f>29*2</f>
        <v>58</v>
      </c>
    </row>
    <row r="251" spans="1:7">
      <c r="A251" s="225">
        <v>45453</v>
      </c>
      <c r="B251" s="226" t="str">
        <f>UPPER(TEXT(Tabela14[[#This Row],[DATA]],"MMM"))</f>
        <v>JUN</v>
      </c>
      <c r="C251" s="23"/>
      <c r="D251" s="179" t="s">
        <v>40</v>
      </c>
      <c r="E251" s="20" t="s">
        <v>494</v>
      </c>
      <c r="F251" s="21">
        <f>45+12.8</f>
        <v>57.8</v>
      </c>
      <c r="G251" s="10" t="s">
        <v>495</v>
      </c>
    </row>
    <row r="252" spans="1:7" ht="27">
      <c r="A252" s="225">
        <v>45454</v>
      </c>
      <c r="B252" s="226" t="str">
        <f>UPPER(TEXT(Tabela14[[#This Row],[DATA]],"MMM"))</f>
        <v>JUN</v>
      </c>
      <c r="C252" s="23" t="s">
        <v>324</v>
      </c>
      <c r="D252" s="179" t="s">
        <v>40</v>
      </c>
      <c r="E252" s="103" t="s">
        <v>496</v>
      </c>
      <c r="F252" s="104">
        <v>137.80000000000001</v>
      </c>
    </row>
    <row r="253" spans="1:7">
      <c r="A253" s="225">
        <v>45456</v>
      </c>
      <c r="B253" s="23" t="str">
        <f>UPPER(TEXT(Tabela14[[#This Row],[DATA]],"MMM"))</f>
        <v>JUN</v>
      </c>
      <c r="C253" s="226" t="s">
        <v>324</v>
      </c>
      <c r="D253" s="179" t="s">
        <v>40</v>
      </c>
      <c r="E253" s="101" t="s">
        <v>497</v>
      </c>
      <c r="F253" s="102">
        <v>26.4</v>
      </c>
    </row>
    <row r="254" spans="1:7">
      <c r="A254" s="225">
        <v>45457</v>
      </c>
      <c r="B254" s="23" t="str">
        <f>UPPER(TEXT(Tabela14[[#This Row],[DATA]],"MMM"))</f>
        <v>JUN</v>
      </c>
      <c r="C254" s="23" t="s">
        <v>324</v>
      </c>
      <c r="D254" s="179" t="s">
        <v>40</v>
      </c>
      <c r="E254" s="37" t="s">
        <v>498</v>
      </c>
      <c r="F254" s="38">
        <f>24+2.5</f>
        <v>26.5</v>
      </c>
    </row>
    <row r="255" spans="1:7">
      <c r="A255" s="225">
        <v>45458</v>
      </c>
      <c r="B255" s="23" t="str">
        <f>UPPER(TEXT(Tabela14[[#This Row],[DATA]],"MMM"))</f>
        <v>JUN</v>
      </c>
      <c r="C255" s="23" t="s">
        <v>324</v>
      </c>
      <c r="D255" s="179" t="s">
        <v>40</v>
      </c>
      <c r="E255" s="20" t="s">
        <v>472</v>
      </c>
      <c r="F255" s="21">
        <v>3.11</v>
      </c>
    </row>
    <row r="256" spans="1:7">
      <c r="A256" s="225">
        <v>45458</v>
      </c>
      <c r="B256" s="226" t="str">
        <f>UPPER(TEXT(Tabela14[[#This Row],[DATA]],"MMM"))</f>
        <v>JUN</v>
      </c>
      <c r="C256" s="23" t="s">
        <v>324</v>
      </c>
      <c r="D256" s="179" t="s">
        <v>40</v>
      </c>
      <c r="E256" s="20" t="s">
        <v>499</v>
      </c>
      <c r="F256" s="21">
        <v>28</v>
      </c>
    </row>
    <row r="257" spans="1:7" ht="108">
      <c r="A257" s="225">
        <v>45458</v>
      </c>
      <c r="B257" s="226" t="str">
        <f>UPPER(TEXT(Tabela14[[#This Row],[DATA]],"MMM"))</f>
        <v>JUN</v>
      </c>
      <c r="C257" s="23" t="s">
        <v>324</v>
      </c>
      <c r="D257" s="179" t="s">
        <v>40</v>
      </c>
      <c r="E257" s="297" t="s">
        <v>500</v>
      </c>
      <c r="F257" s="104">
        <f>7+25+16+11</f>
        <v>59</v>
      </c>
    </row>
    <row r="258" spans="1:7" ht="27">
      <c r="A258" s="225">
        <v>45458</v>
      </c>
      <c r="B258" s="23" t="str">
        <f>UPPER(TEXT(Tabela14[[#This Row],[DATA]],"MMM"))</f>
        <v>JUN</v>
      </c>
      <c r="C258" s="23" t="s">
        <v>324</v>
      </c>
      <c r="D258" s="179" t="s">
        <v>40</v>
      </c>
      <c r="E258" s="99" t="s">
        <v>501</v>
      </c>
      <c r="F258" s="100">
        <v>72.900000000000006</v>
      </c>
      <c r="G258" s="10" t="s">
        <v>473</v>
      </c>
    </row>
    <row r="259" spans="1:7" ht="22.5" customHeight="1">
      <c r="A259" s="225">
        <v>45458</v>
      </c>
      <c r="B259" s="23" t="str">
        <f>UPPER(TEXT(Tabela14[[#This Row],[DATA]],"MMM"))</f>
        <v>JUN</v>
      </c>
      <c r="C259" s="23"/>
      <c r="D259" s="179" t="s">
        <v>40</v>
      </c>
      <c r="E259" s="99" t="s">
        <v>502</v>
      </c>
      <c r="F259" s="100">
        <v>225</v>
      </c>
    </row>
    <row r="260" spans="1:7">
      <c r="A260" s="225">
        <v>45459</v>
      </c>
      <c r="B260" s="23" t="str">
        <f>UPPER(TEXT(Tabela14[[#This Row],[DATA]],"MMM"))</f>
        <v>JUN</v>
      </c>
      <c r="C260" s="23" t="s">
        <v>324</v>
      </c>
      <c r="D260" s="179" t="s">
        <v>40</v>
      </c>
      <c r="E260" s="37" t="s">
        <v>503</v>
      </c>
      <c r="F260" s="38">
        <f>30-13.36</f>
        <v>16.64</v>
      </c>
    </row>
    <row r="261" spans="1:7">
      <c r="A261" s="225">
        <v>45459</v>
      </c>
      <c r="B261" s="23" t="str">
        <f>UPPER(TEXT(Tabela14[[#This Row],[DATA]],"MMM"))</f>
        <v>JUN</v>
      </c>
      <c r="C261" s="23" t="s">
        <v>324</v>
      </c>
      <c r="D261" s="179" t="s">
        <v>40</v>
      </c>
      <c r="E261" s="37" t="s">
        <v>504</v>
      </c>
      <c r="F261" s="38">
        <v>60</v>
      </c>
    </row>
    <row r="262" spans="1:7">
      <c r="A262" s="225">
        <v>45461</v>
      </c>
      <c r="B262" s="23" t="str">
        <f>UPPER(TEXT(Tabela14[[#This Row],[DATA]],"MMM"))</f>
        <v>JUN</v>
      </c>
      <c r="C262" s="23"/>
      <c r="D262" s="179" t="s">
        <v>40</v>
      </c>
      <c r="E262" s="213" t="s">
        <v>505</v>
      </c>
      <c r="F262" s="214">
        <v>68</v>
      </c>
    </row>
    <row r="263" spans="1:7" ht="27">
      <c r="A263" s="225">
        <v>45464</v>
      </c>
      <c r="B263" s="23" t="str">
        <f>UPPER(TEXT(Tabela14[[#This Row],[DATA]],"MMM"))</f>
        <v>JUN</v>
      </c>
      <c r="C263" s="23" t="s">
        <v>324</v>
      </c>
      <c r="D263" s="179" t="s">
        <v>40</v>
      </c>
      <c r="E263" s="37" t="s">
        <v>506</v>
      </c>
      <c r="F263" s="100">
        <v>67.900000000000006</v>
      </c>
      <c r="G263" s="10">
        <f>'FINANÇAS 2024'!C24-60</f>
        <v>-60</v>
      </c>
    </row>
    <row r="264" spans="1:7">
      <c r="A264" s="225">
        <v>45465</v>
      </c>
      <c r="B264" s="23" t="str">
        <f>UPPER(TEXT(Tabela14[[#This Row],[DATA]],"MMM"))</f>
        <v>JUN</v>
      </c>
      <c r="C264" s="23"/>
      <c r="D264" s="179" t="s">
        <v>40</v>
      </c>
      <c r="E264" s="20" t="s">
        <v>507</v>
      </c>
      <c r="F264" s="21">
        <f>5.68*2</f>
        <v>11.36</v>
      </c>
      <c r="G264" s="10" t="s">
        <v>508</v>
      </c>
    </row>
    <row r="265" spans="1:7">
      <c r="A265" s="225">
        <v>45465</v>
      </c>
      <c r="B265" s="226" t="str">
        <f>UPPER(TEXT(Tabela14[[#This Row],[DATA]],"MMM"))</f>
        <v>JUN</v>
      </c>
      <c r="C265" s="23"/>
      <c r="D265" s="179" t="s">
        <v>40</v>
      </c>
      <c r="E265" s="24" t="s">
        <v>509</v>
      </c>
      <c r="F265" s="25">
        <v>12</v>
      </c>
    </row>
    <row r="266" spans="1:7">
      <c r="A266" s="225">
        <v>45465</v>
      </c>
      <c r="B266" s="226" t="str">
        <f>UPPER(TEXT(Tabela14[[#This Row],[DATA]],"MMM"))</f>
        <v>JUN</v>
      </c>
      <c r="C266" s="23" t="s">
        <v>324</v>
      </c>
      <c r="D266" s="179" t="s">
        <v>40</v>
      </c>
      <c r="E266" s="20" t="s">
        <v>510</v>
      </c>
      <c r="F266" s="21">
        <f>35.5-8</f>
        <v>27.5</v>
      </c>
    </row>
    <row r="267" spans="1:7">
      <c r="A267" s="225">
        <v>45465</v>
      </c>
      <c r="B267" s="226" t="str">
        <f>UPPER(TEXT(Tabela14[[#This Row],[DATA]],"MMM"))</f>
        <v>JUN</v>
      </c>
      <c r="C267" s="23"/>
      <c r="D267" s="179" t="s">
        <v>40</v>
      </c>
      <c r="E267" s="101" t="s">
        <v>511</v>
      </c>
      <c r="F267" s="102">
        <f>74-37</f>
        <v>37</v>
      </c>
    </row>
    <row r="268" spans="1:7">
      <c r="A268" s="225">
        <v>45471</v>
      </c>
      <c r="B268" s="226" t="str">
        <f>UPPER(TEXT(Tabela14[[#This Row],[DATA]],"MMM"))</f>
        <v>JUN</v>
      </c>
      <c r="C268" s="23"/>
      <c r="D268" s="179" t="s">
        <v>40</v>
      </c>
      <c r="E268" s="20" t="s">
        <v>216</v>
      </c>
      <c r="F268" s="21">
        <f>5.96*2</f>
        <v>11.92</v>
      </c>
    </row>
    <row r="269" spans="1:7">
      <c r="A269" s="225">
        <v>45471</v>
      </c>
      <c r="B269" s="226" t="str">
        <f>UPPER(TEXT(Tabela14[[#This Row],[DATA]],"MMM"))</f>
        <v>JUN</v>
      </c>
      <c r="C269" s="23" t="s">
        <v>324</v>
      </c>
      <c r="D269" s="179" t="s">
        <v>40</v>
      </c>
      <c r="E269" s="20" t="s">
        <v>512</v>
      </c>
      <c r="F269" s="21">
        <f>(26.9-7+11.37-1.47)/4*2+(10.8+7.9)</f>
        <v>33.6</v>
      </c>
    </row>
    <row r="270" spans="1:7">
      <c r="A270" s="225">
        <v>45472</v>
      </c>
      <c r="B270" s="23" t="str">
        <f>UPPER(TEXT(Tabela14[[#This Row],[DATA]],"MMM"))</f>
        <v>JUN</v>
      </c>
      <c r="C270" s="23" t="s">
        <v>324</v>
      </c>
      <c r="D270" s="179" t="s">
        <v>40</v>
      </c>
      <c r="E270" s="101" t="s">
        <v>513</v>
      </c>
      <c r="F270" s="102">
        <v>8.7799999999999994</v>
      </c>
    </row>
    <row r="271" spans="1:7">
      <c r="A271" s="225">
        <v>45474</v>
      </c>
      <c r="B271" s="23" t="str">
        <f>UPPER(TEXT(Tabela14[[#This Row],[DATA]],"MMM"))</f>
        <v>JUL</v>
      </c>
      <c r="C271" s="23"/>
      <c r="D271" s="178" t="s">
        <v>38</v>
      </c>
      <c r="E271" s="20" t="s">
        <v>514</v>
      </c>
      <c r="F271" s="212">
        <v>2164</v>
      </c>
    </row>
    <row r="272" spans="1:7">
      <c r="A272" s="225">
        <v>45474</v>
      </c>
      <c r="B272" s="226" t="str">
        <f>UPPER(TEXT(Tabela14[[#This Row],[DATA]],"MMM"))</f>
        <v>JUL</v>
      </c>
      <c r="C272" s="23"/>
      <c r="D272" s="178" t="s">
        <v>38</v>
      </c>
      <c r="E272" s="20" t="s">
        <v>515</v>
      </c>
      <c r="F272" s="212">
        <f>172*3</f>
        <v>516</v>
      </c>
    </row>
    <row r="273" spans="1:6">
      <c r="A273" s="225">
        <v>45474</v>
      </c>
      <c r="B273" s="226" t="str">
        <f>UPPER(TEXT(Tabela14[[#This Row],[DATA]],"MMM"))</f>
        <v>JUL</v>
      </c>
      <c r="C273" s="23" t="s">
        <v>324</v>
      </c>
      <c r="D273" s="178" t="s">
        <v>40</v>
      </c>
      <c r="E273" s="50" t="s">
        <v>413</v>
      </c>
      <c r="F273" s="112">
        <v>4.95</v>
      </c>
    </row>
    <row r="274" spans="1:6">
      <c r="A274" s="225">
        <v>45474</v>
      </c>
      <c r="B274" s="226" t="str">
        <f>UPPER(TEXT(Tabela14[[#This Row],[DATA]],"MMM"))</f>
        <v>JUL</v>
      </c>
      <c r="C274" s="23"/>
      <c r="D274" s="178" t="s">
        <v>40</v>
      </c>
      <c r="E274" s="142" t="s">
        <v>348</v>
      </c>
      <c r="F274" s="112">
        <f>(25.9+19.9)/3</f>
        <v>15.266666666666666</v>
      </c>
    </row>
    <row r="275" spans="1:6">
      <c r="A275" s="225">
        <v>45474</v>
      </c>
      <c r="B275" s="226" t="str">
        <f>UPPER(TEXT(Tabela14[[#This Row],[DATA]],"MMM"))</f>
        <v>JUL</v>
      </c>
      <c r="C275" s="226"/>
      <c r="D275" s="178" t="s">
        <v>40</v>
      </c>
      <c r="E275" s="249" t="s">
        <v>516</v>
      </c>
      <c r="F275" s="141">
        <f>149.64/3</f>
        <v>49.879999999999995</v>
      </c>
    </row>
    <row r="276" spans="1:6">
      <c r="A276" s="225">
        <v>45474</v>
      </c>
      <c r="B276" s="226" t="str">
        <f>UPPER(TEXT(Tabela14[[#This Row],[DATA]],"MMM"))</f>
        <v>JUL</v>
      </c>
      <c r="C276" s="226"/>
      <c r="D276" s="178" t="s">
        <v>40</v>
      </c>
      <c r="E276" s="296" t="s">
        <v>351</v>
      </c>
      <c r="F276" s="112">
        <f>188.79/3</f>
        <v>62.93</v>
      </c>
    </row>
    <row r="277" spans="1:6">
      <c r="A277" s="225">
        <v>45474</v>
      </c>
      <c r="B277" s="226" t="str">
        <f>UPPER(TEXT(Tabela14[[#This Row],[DATA]],"MMM"))</f>
        <v>JUL</v>
      </c>
      <c r="C277" s="23"/>
      <c r="D277" s="178" t="s">
        <v>40</v>
      </c>
      <c r="E277" s="32" t="s">
        <v>142</v>
      </c>
      <c r="F277" s="113">
        <v>63.99</v>
      </c>
    </row>
    <row r="278" spans="1:6">
      <c r="A278" s="225">
        <v>45474</v>
      </c>
      <c r="B278" s="226" t="str">
        <f>UPPER(TEXT(Tabela14[[#This Row],[DATA]],"MMM"))</f>
        <v>JUL</v>
      </c>
      <c r="C278" s="226"/>
      <c r="D278" s="178" t="s">
        <v>40</v>
      </c>
      <c r="E278" s="7" t="s">
        <v>123</v>
      </c>
      <c r="F278" s="113">
        <v>78</v>
      </c>
    </row>
    <row r="279" spans="1:6">
      <c r="A279" s="225">
        <v>45474</v>
      </c>
      <c r="B279" s="226" t="str">
        <f>UPPER(TEXT(Tabela14[[#This Row],[DATA]],"MMM"))</f>
        <v>JUL</v>
      </c>
      <c r="C279" s="23"/>
      <c r="D279" s="178" t="s">
        <v>40</v>
      </c>
      <c r="E279" s="50" t="s">
        <v>517</v>
      </c>
      <c r="F279" s="112">
        <f>470/3</f>
        <v>156.66666666666666</v>
      </c>
    </row>
    <row r="280" spans="1:6">
      <c r="A280" s="225">
        <v>45474</v>
      </c>
      <c r="B280" s="226" t="str">
        <f>UPPER(TEXT(Tabela14[[#This Row],[DATA]],"MMM"))</f>
        <v>JUL</v>
      </c>
      <c r="C280" s="226"/>
      <c r="D280" s="178" t="s">
        <v>40</v>
      </c>
      <c r="E280" s="249" t="s">
        <v>518</v>
      </c>
      <c r="F280" s="181">
        <f>525.51/3</f>
        <v>175.17</v>
      </c>
    </row>
    <row r="281" spans="1:6">
      <c r="A281" s="225">
        <v>45475</v>
      </c>
      <c r="B281" s="226" t="str">
        <f>UPPER(TEXT(Tabela14[[#This Row],[DATA]],"MMM"))</f>
        <v>JUL</v>
      </c>
      <c r="C281" s="23"/>
      <c r="D281" s="178" t="s">
        <v>40</v>
      </c>
      <c r="E281" s="257" t="s">
        <v>149</v>
      </c>
      <c r="F281" s="193">
        <v>50</v>
      </c>
    </row>
    <row r="282" spans="1:6" ht="27">
      <c r="A282" s="225">
        <v>45477</v>
      </c>
      <c r="B282" s="226" t="str">
        <f>UPPER(TEXT(Tabela14[[#This Row],[DATA]],"MMM"))</f>
        <v>JUL</v>
      </c>
      <c r="C282" s="226"/>
      <c r="D282" s="178" t="s">
        <v>40</v>
      </c>
      <c r="E282" s="223" t="s">
        <v>519</v>
      </c>
      <c r="F282" s="224">
        <v>1000</v>
      </c>
    </row>
    <row r="283" spans="1:6">
      <c r="A283" s="225">
        <v>45479</v>
      </c>
      <c r="B283" s="226" t="str">
        <f>UPPER(TEXT(Tabela14[[#This Row],[DATA]],"MMM"))</f>
        <v>JUL</v>
      </c>
      <c r="C283" s="226"/>
      <c r="D283" s="178" t="s">
        <v>40</v>
      </c>
      <c r="E283" s="24" t="s">
        <v>216</v>
      </c>
      <c r="F283" s="25">
        <f>8.94/3*2</f>
        <v>5.96</v>
      </c>
    </row>
    <row r="284" spans="1:6">
      <c r="A284" s="225">
        <v>45479</v>
      </c>
      <c r="B284" s="23" t="str">
        <f>UPPER(TEXT(Tabela14[[#This Row],[DATA]],"MMM"))</f>
        <v>JUL</v>
      </c>
      <c r="C284" s="23"/>
      <c r="D284" s="178" t="s">
        <v>40</v>
      </c>
      <c r="E284" s="20" t="s">
        <v>216</v>
      </c>
      <c r="F284" s="21">
        <f>10.96/3*2</f>
        <v>7.3066666666666675</v>
      </c>
    </row>
    <row r="285" spans="1:6">
      <c r="A285" s="225">
        <v>45479</v>
      </c>
      <c r="B285" s="226" t="str">
        <f>UPPER(TEXT(Tabela14[[#This Row],[DATA]],"MMM"))</f>
        <v>JUL</v>
      </c>
      <c r="C285" s="23" t="s">
        <v>324</v>
      </c>
      <c r="D285" s="178" t="s">
        <v>40</v>
      </c>
      <c r="E285" s="20" t="s">
        <v>472</v>
      </c>
      <c r="F285" s="21">
        <v>20.5</v>
      </c>
    </row>
    <row r="286" spans="1:6">
      <c r="A286" s="225">
        <v>45479</v>
      </c>
      <c r="B286" s="226" t="str">
        <f>UPPER(TEXT(Tabela14[[#This Row],[DATA]],"MMM"))</f>
        <v>JUL</v>
      </c>
      <c r="C286" s="23" t="s">
        <v>324</v>
      </c>
      <c r="D286" s="178" t="s">
        <v>40</v>
      </c>
      <c r="E286" s="20" t="s">
        <v>510</v>
      </c>
      <c r="F286" s="21">
        <f>35.5-8</f>
        <v>27.5</v>
      </c>
    </row>
    <row r="287" spans="1:6">
      <c r="A287" s="225">
        <v>45480</v>
      </c>
      <c r="B287" s="226" t="str">
        <f>UPPER(TEXT(Tabela14[[#This Row],[DATA]],"MMM"))</f>
        <v>JUL</v>
      </c>
      <c r="C287" s="226" t="s">
        <v>324</v>
      </c>
      <c r="D287" s="178" t="s">
        <v>40</v>
      </c>
      <c r="E287" s="101" t="s">
        <v>520</v>
      </c>
      <c r="F287" s="102">
        <v>28</v>
      </c>
    </row>
    <row r="288" spans="1:6" ht="27">
      <c r="A288" s="225">
        <v>45485</v>
      </c>
      <c r="B288" s="226" t="str">
        <f>UPPER(TEXT(Tabela14[[#This Row],[DATA]],"MMM"))</f>
        <v>JUL</v>
      </c>
      <c r="C288" s="226" t="s">
        <v>324</v>
      </c>
      <c r="D288" s="178" t="s">
        <v>40</v>
      </c>
      <c r="E288" s="103" t="s">
        <v>521</v>
      </c>
      <c r="F288" s="102">
        <v>78.8</v>
      </c>
    </row>
    <row r="289" spans="1:52">
      <c r="A289" s="225">
        <v>45486</v>
      </c>
      <c r="B289" s="23" t="str">
        <f>UPPER(TEXT(Tabela14[[#This Row],[DATA]],"MMM"))</f>
        <v>JUL</v>
      </c>
      <c r="C289" s="226" t="s">
        <v>324</v>
      </c>
      <c r="D289" s="178" t="s">
        <v>40</v>
      </c>
      <c r="E289" s="37" t="s">
        <v>481</v>
      </c>
      <c r="F289" s="25">
        <f>152.9-78</f>
        <v>74.900000000000006</v>
      </c>
    </row>
    <row r="290" spans="1:52">
      <c r="A290" s="225">
        <v>45487</v>
      </c>
      <c r="B290" s="23" t="str">
        <f>UPPER(TEXT(Tabela14[[#This Row],[DATA]],"MMM"))</f>
        <v>JUL</v>
      </c>
      <c r="C290" s="226" t="s">
        <v>324</v>
      </c>
      <c r="D290" s="178" t="s">
        <v>40</v>
      </c>
      <c r="E290" s="101" t="s">
        <v>522</v>
      </c>
      <c r="F290" s="102">
        <v>19</v>
      </c>
    </row>
    <row r="291" spans="1:52">
      <c r="A291" s="225">
        <v>45487</v>
      </c>
      <c r="B291" s="23" t="str">
        <f>UPPER(TEXT(Tabela14[[#This Row],[DATA]],"MMM"))</f>
        <v>JUL</v>
      </c>
      <c r="C291" s="23"/>
      <c r="D291" s="178" t="s">
        <v>40</v>
      </c>
      <c r="E291" s="20" t="s">
        <v>216</v>
      </c>
      <c r="F291" s="21">
        <v>19.91</v>
      </c>
    </row>
    <row r="292" spans="1:52">
      <c r="A292" s="225">
        <v>45490</v>
      </c>
      <c r="B292" s="23" t="str">
        <f>UPPER(TEXT(Tabela14[[#This Row],[DATA]],"MMM"))</f>
        <v>JUL</v>
      </c>
      <c r="C292" s="23"/>
      <c r="D292" s="178" t="s">
        <v>40</v>
      </c>
      <c r="E292" s="174" t="s">
        <v>523</v>
      </c>
      <c r="F292" s="175">
        <v>70.290000000000006</v>
      </c>
    </row>
    <row r="293" spans="1:52">
      <c r="A293" s="225">
        <v>45492</v>
      </c>
      <c r="B293" s="226" t="str">
        <f>UPPER(TEXT(Tabela14[[#This Row],[DATA]],"MMM"))</f>
        <v>JUL</v>
      </c>
      <c r="C293" s="23" t="s">
        <v>324</v>
      </c>
      <c r="D293" s="178" t="s">
        <v>40</v>
      </c>
      <c r="E293" s="101" t="s">
        <v>524</v>
      </c>
      <c r="F293" s="102">
        <v>40.98</v>
      </c>
    </row>
    <row r="294" spans="1:52">
      <c r="A294" s="225">
        <v>45493</v>
      </c>
      <c r="B294" s="23" t="str">
        <f>UPPER(TEXT(Tabela14[[#This Row],[DATA]],"MMM"))</f>
        <v>JUL</v>
      </c>
      <c r="C294" s="23" t="s">
        <v>324</v>
      </c>
      <c r="D294" s="178" t="s">
        <v>40</v>
      </c>
      <c r="E294" s="20" t="s">
        <v>525</v>
      </c>
      <c r="F294" s="21">
        <v>14.39</v>
      </c>
    </row>
    <row r="295" spans="1:52">
      <c r="A295" s="225">
        <v>45493</v>
      </c>
      <c r="B295" s="23" t="str">
        <f>UPPER(TEXT(Tabela14[[#This Row],[DATA]],"MMM"))</f>
        <v>JUL</v>
      </c>
      <c r="C295" s="23"/>
      <c r="D295" s="178" t="s">
        <v>40</v>
      </c>
      <c r="E295" s="24" t="s">
        <v>526</v>
      </c>
      <c r="F295" s="25">
        <v>23.59</v>
      </c>
    </row>
    <row r="296" spans="1:52">
      <c r="A296" s="225">
        <v>45493</v>
      </c>
      <c r="B296" s="226" t="str">
        <f>UPPER(TEXT(Tabela14[[#This Row],[DATA]],"MMM"))</f>
        <v>JUL</v>
      </c>
      <c r="C296" s="226" t="s">
        <v>324</v>
      </c>
      <c r="D296" s="178" t="s">
        <v>40</v>
      </c>
      <c r="E296" s="101" t="s">
        <v>527</v>
      </c>
      <c r="F296" s="102">
        <v>60.23</v>
      </c>
    </row>
    <row r="297" spans="1:52">
      <c r="A297" s="225">
        <v>45494</v>
      </c>
      <c r="B297" s="226" t="str">
        <f>UPPER(TEXT(Tabela14[[#This Row],[DATA]],"MMM"))</f>
        <v>JUL</v>
      </c>
      <c r="C297" s="226" t="s">
        <v>324</v>
      </c>
      <c r="D297" s="178" t="s">
        <v>40</v>
      </c>
      <c r="E297" s="20" t="s">
        <v>528</v>
      </c>
      <c r="F297" s="21">
        <v>21.48</v>
      </c>
    </row>
    <row r="298" spans="1:52">
      <c r="A298" s="225">
        <v>45494</v>
      </c>
      <c r="B298" s="23" t="str">
        <f>UPPER(TEXT(Tabela14[[#This Row],[DATA]],"MMM"))</f>
        <v>JUL</v>
      </c>
      <c r="C298" s="23" t="s">
        <v>324</v>
      </c>
      <c r="D298" s="178" t="s">
        <v>40</v>
      </c>
      <c r="E298" s="101" t="s">
        <v>529</v>
      </c>
      <c r="F298" s="102">
        <v>38</v>
      </c>
    </row>
    <row r="299" spans="1:52" ht="27">
      <c r="A299" s="225">
        <v>45496</v>
      </c>
      <c r="B299" s="226" t="str">
        <f>UPPER(TEXT(Tabela14[[#This Row],[DATA]],"MMM"))</f>
        <v>JUL</v>
      </c>
      <c r="C299" s="23"/>
      <c r="D299" s="178" t="s">
        <v>40</v>
      </c>
      <c r="E299" s="101" t="s">
        <v>530</v>
      </c>
      <c r="F299" s="104">
        <v>39</v>
      </c>
    </row>
    <row r="300" spans="1:52">
      <c r="A300" s="225">
        <v>45499</v>
      </c>
      <c r="B300" s="23" t="str">
        <f>UPPER(TEXT(Tabela14[[#This Row],[DATA]],"MMM"))</f>
        <v>JUL</v>
      </c>
      <c r="C300" s="23" t="s">
        <v>324</v>
      </c>
      <c r="D300" s="178" t="s">
        <v>40</v>
      </c>
      <c r="E300" s="101" t="s">
        <v>531</v>
      </c>
      <c r="F300" s="102">
        <v>15.16</v>
      </c>
    </row>
    <row r="301" spans="1:52">
      <c r="A301" s="225">
        <v>45500</v>
      </c>
      <c r="B301" s="23" t="str">
        <f>UPPER(TEXT(Tabela14[[#This Row],[DATA]],"MMM"))</f>
        <v>JUL</v>
      </c>
      <c r="C301" s="23"/>
      <c r="D301" s="178" t="s">
        <v>40</v>
      </c>
      <c r="E301" s="24" t="s">
        <v>532</v>
      </c>
      <c r="F301" s="25">
        <v>13.18</v>
      </c>
    </row>
    <row r="302" spans="1:52">
      <c r="A302" s="225">
        <v>45500</v>
      </c>
      <c r="B302" s="23" t="str">
        <f>UPPER(TEXT(Tabela14[[#This Row],[DATA]],"MMM"))</f>
        <v>JUL</v>
      </c>
      <c r="C302" s="23"/>
      <c r="D302" s="178" t="s">
        <v>40</v>
      </c>
      <c r="E302" s="24" t="s">
        <v>533</v>
      </c>
      <c r="F302" s="25">
        <v>13.9</v>
      </c>
    </row>
    <row r="303" spans="1:52" s="110" customFormat="1" ht="27">
      <c r="A303" s="225">
        <v>45500</v>
      </c>
      <c r="B303" s="226" t="str">
        <f>UPPER(TEXT(Tabela14[[#This Row],[DATA]],"MMM"))</f>
        <v>JUL</v>
      </c>
      <c r="C303" s="226"/>
      <c r="D303" s="178" t="s">
        <v>40</v>
      </c>
      <c r="E303" s="101" t="s">
        <v>534</v>
      </c>
      <c r="F303" s="102">
        <f>148-18.5-18.5-37-37</f>
        <v>37</v>
      </c>
      <c r="G303" s="109"/>
      <c r="H303" s="109"/>
      <c r="I303" s="109"/>
      <c r="J303" s="109"/>
      <c r="K303" s="109"/>
      <c r="L303" s="109"/>
      <c r="M303" s="109"/>
      <c r="N303" s="109"/>
      <c r="O303" s="109"/>
      <c r="P303" s="109"/>
      <c r="Q303" s="109"/>
      <c r="R303" s="109"/>
      <c r="S303" s="109"/>
      <c r="T303" s="109"/>
      <c r="U303" s="109"/>
      <c r="V303" s="109"/>
      <c r="W303" s="109"/>
      <c r="X303" s="109"/>
      <c r="Y303" s="109"/>
      <c r="Z303" s="109"/>
      <c r="AA303" s="109"/>
      <c r="AB303" s="109"/>
      <c r="AC303" s="109"/>
      <c r="AD303" s="109"/>
      <c r="AE303" s="109"/>
      <c r="AF303" s="109"/>
      <c r="AG303" s="109"/>
      <c r="AH303" s="109"/>
      <c r="AI303" s="109"/>
      <c r="AJ303" s="109"/>
      <c r="AK303" s="109"/>
      <c r="AL303" s="109"/>
      <c r="AM303" s="109"/>
      <c r="AN303" s="109"/>
      <c r="AO303" s="109"/>
      <c r="AP303" s="109"/>
      <c r="AQ303" s="109"/>
      <c r="AR303" s="109"/>
      <c r="AS303" s="109"/>
      <c r="AT303" s="109"/>
      <c r="AU303" s="109"/>
      <c r="AV303" s="109"/>
      <c r="AW303" s="109"/>
      <c r="AX303" s="109"/>
      <c r="AY303" s="109"/>
      <c r="AZ303" s="109"/>
    </row>
    <row r="304" spans="1:52" ht="27">
      <c r="A304" s="225">
        <v>45500</v>
      </c>
      <c r="B304" s="226" t="str">
        <f>UPPER(TEXT(Tabela14[[#This Row],[DATA]],"MMM"))</f>
        <v>JUL</v>
      </c>
      <c r="C304" s="23"/>
      <c r="D304" s="231" t="s">
        <v>40</v>
      </c>
      <c r="E304" s="55" t="s">
        <v>535</v>
      </c>
      <c r="F304" s="56">
        <v>80.94</v>
      </c>
    </row>
    <row r="305" spans="1:7" ht="27">
      <c r="A305" s="225">
        <v>45501</v>
      </c>
      <c r="B305" s="226" t="str">
        <f>UPPER(TEXT(Tabela14[[#This Row],[DATA]],"MMM"))</f>
        <v>JUL</v>
      </c>
      <c r="C305" s="226"/>
      <c r="D305" s="178" t="s">
        <v>40</v>
      </c>
      <c r="E305" s="55" t="s">
        <v>536</v>
      </c>
      <c r="F305" s="56">
        <v>29.9</v>
      </c>
    </row>
    <row r="306" spans="1:7" ht="27">
      <c r="A306" s="225">
        <v>45501</v>
      </c>
      <c r="B306" s="23" t="str">
        <f>UPPER(TEXT(Tabela14[[#This Row],[DATA]],"MMM"))</f>
        <v>JUL</v>
      </c>
      <c r="C306" s="23"/>
      <c r="D306" s="178" t="s">
        <v>40</v>
      </c>
      <c r="E306" s="55" t="s">
        <v>537</v>
      </c>
      <c r="F306" s="27">
        <v>55.51</v>
      </c>
    </row>
    <row r="307" spans="1:7">
      <c r="A307" s="225">
        <v>45501</v>
      </c>
      <c r="B307" s="226" t="str">
        <f>UPPER(TEXT(Tabela14[[#This Row],[DATA]],"MMM"))</f>
        <v>JUL</v>
      </c>
      <c r="C307" s="23" t="s">
        <v>324</v>
      </c>
      <c r="D307" s="178" t="s">
        <v>40</v>
      </c>
      <c r="E307" s="101" t="s">
        <v>538</v>
      </c>
      <c r="F307" s="102">
        <v>59.22</v>
      </c>
    </row>
    <row r="308" spans="1:7">
      <c r="A308" s="225">
        <v>45502</v>
      </c>
      <c r="B308" s="226" t="str">
        <f>UPPER(TEXT(Tabela14[[#This Row],[DATA]],"MMM"))</f>
        <v>JUL</v>
      </c>
      <c r="C308" s="226"/>
      <c r="D308" s="178" t="s">
        <v>40</v>
      </c>
      <c r="E308" s="101" t="s">
        <v>539</v>
      </c>
      <c r="F308" s="102">
        <v>18.989999999999998</v>
      </c>
    </row>
    <row r="309" spans="1:7" ht="27">
      <c r="A309" s="225">
        <v>45503</v>
      </c>
      <c r="B309" s="23" t="str">
        <f>UPPER(TEXT(Tabela14[[#This Row],[DATA]],"MMM"))</f>
        <v>JUL</v>
      </c>
      <c r="C309" s="23"/>
      <c r="D309" s="178" t="s">
        <v>40</v>
      </c>
      <c r="E309" s="99" t="s">
        <v>454</v>
      </c>
      <c r="F309" s="100">
        <v>35</v>
      </c>
    </row>
    <row r="310" spans="1:7" ht="27">
      <c r="A310" s="225">
        <v>45504</v>
      </c>
      <c r="B310" s="23" t="str">
        <f>UPPER(TEXT(Tabela14[[#This Row],[DATA]],"MMM"))</f>
        <v>JUL</v>
      </c>
      <c r="C310" s="23" t="s">
        <v>324</v>
      </c>
      <c r="D310" s="178" t="s">
        <v>40</v>
      </c>
      <c r="E310" s="37" t="s">
        <v>540</v>
      </c>
      <c r="F310" s="100">
        <v>7</v>
      </c>
    </row>
    <row r="311" spans="1:7">
      <c r="A311" s="225">
        <v>45505</v>
      </c>
      <c r="B311" s="23" t="str">
        <f>UPPER(TEXT(Tabela14[[#This Row],[DATA]],"MMM"))</f>
        <v>AGO</v>
      </c>
      <c r="C311" s="23"/>
      <c r="D311" s="178" t="s">
        <v>38</v>
      </c>
      <c r="E311" s="20" t="s">
        <v>39</v>
      </c>
      <c r="F311" s="212">
        <v>2733</v>
      </c>
    </row>
    <row r="312" spans="1:7" ht="27">
      <c r="A312" s="225">
        <v>45505</v>
      </c>
      <c r="B312" s="226" t="str">
        <f>UPPER(TEXT(Tabela14[[#This Row],[DATA]],"MMM"))</f>
        <v>AGO</v>
      </c>
      <c r="C312" s="226"/>
      <c r="D312" s="178" t="s">
        <v>38</v>
      </c>
      <c r="E312" s="55" t="s">
        <v>541</v>
      </c>
      <c r="F312" s="227">
        <v>132.94999999999999</v>
      </c>
    </row>
    <row r="313" spans="1:7" ht="27">
      <c r="A313" s="225">
        <v>45505</v>
      </c>
      <c r="B313" s="226" t="str">
        <f>UPPER(TEXT(Tabela14[[#This Row],[DATA]],"MMM"))</f>
        <v>AGO</v>
      </c>
      <c r="C313" s="226"/>
      <c r="D313" s="178" t="s">
        <v>38</v>
      </c>
      <c r="E313" s="55" t="s">
        <v>541</v>
      </c>
      <c r="F313" s="227">
        <v>132.54</v>
      </c>
    </row>
    <row r="314" spans="1:7">
      <c r="A314" s="225">
        <v>45505</v>
      </c>
      <c r="B314" s="226" t="str">
        <f>UPPER(TEXT(Tabela14[[#This Row],[DATA]],"MMM"))</f>
        <v>AGO</v>
      </c>
      <c r="C314" s="226" t="s">
        <v>324</v>
      </c>
      <c r="D314" s="178" t="s">
        <v>40</v>
      </c>
      <c r="E314" s="50" t="s">
        <v>413</v>
      </c>
      <c r="F314" s="112">
        <v>4.95</v>
      </c>
    </row>
    <row r="315" spans="1:7">
      <c r="A315" s="225">
        <v>45505</v>
      </c>
      <c r="B315" s="226" t="str">
        <f>UPPER(TEXT(Tabela14[[#This Row],[DATA]],"MMM"))</f>
        <v>AGO</v>
      </c>
      <c r="C315" s="226" t="s">
        <v>324</v>
      </c>
      <c r="D315" s="178" t="s">
        <v>40</v>
      </c>
      <c r="E315" s="20" t="s">
        <v>542</v>
      </c>
      <c r="F315" s="21">
        <v>6</v>
      </c>
    </row>
    <row r="316" spans="1:7">
      <c r="A316" s="225">
        <v>45505</v>
      </c>
      <c r="B316" s="226" t="str">
        <f>UPPER(TEXT(Tabela14[[#This Row],[DATA]],"MMM"))</f>
        <v>AGO</v>
      </c>
      <c r="C316" s="226"/>
      <c r="D316" s="178" t="s">
        <v>40</v>
      </c>
      <c r="E316" s="156" t="s">
        <v>543</v>
      </c>
      <c r="F316" s="157">
        <f>5+9.17</f>
        <v>14.17</v>
      </c>
    </row>
    <row r="317" spans="1:7" ht="27">
      <c r="A317" s="225">
        <v>45505</v>
      </c>
      <c r="B317" s="226" t="str">
        <f>UPPER(TEXT(Tabela14[[#This Row],[DATA]],"MMM"))</f>
        <v>AGO</v>
      </c>
      <c r="C317" s="226"/>
      <c r="D317" s="178" t="s">
        <v>40</v>
      </c>
      <c r="E317" s="259" t="s">
        <v>348</v>
      </c>
      <c r="F317" s="112">
        <f>(25.9+19.9)/3</f>
        <v>15.266666666666666</v>
      </c>
      <c r="G317" s="10" t="s">
        <v>544</v>
      </c>
    </row>
    <row r="318" spans="1:7" ht="27">
      <c r="A318" s="225">
        <v>45505</v>
      </c>
      <c r="B318" s="226" t="str">
        <f>UPPER(TEXT(Tabela14[[#This Row],[DATA]],"MMM"))</f>
        <v>AGO</v>
      </c>
      <c r="C318" s="226"/>
      <c r="D318" s="178" t="s">
        <v>40</v>
      </c>
      <c r="E318" s="229" t="s">
        <v>545</v>
      </c>
      <c r="F318" s="141">
        <f>134.72/3</f>
        <v>44.906666666666666</v>
      </c>
    </row>
    <row r="319" spans="1:7">
      <c r="A319" s="225">
        <v>45505</v>
      </c>
      <c r="B319" s="226" t="str">
        <f>UPPER(TEXT(Tabela14[[#This Row],[DATA]],"MMM"))</f>
        <v>AGO</v>
      </c>
      <c r="C319" s="226"/>
      <c r="D319" s="178" t="s">
        <v>40</v>
      </c>
      <c r="E319" s="257" t="s">
        <v>546</v>
      </c>
      <c r="F319" s="193">
        <v>50</v>
      </c>
    </row>
    <row r="320" spans="1:7" ht="27">
      <c r="A320" s="225">
        <v>45505</v>
      </c>
      <c r="B320" s="226" t="str">
        <f>UPPER(TEXT(Tabela14[[#This Row],[DATA]],"MMM"))</f>
        <v>AGO</v>
      </c>
      <c r="C320" s="226"/>
      <c r="D320" s="178" t="s">
        <v>40</v>
      </c>
      <c r="E320" s="230" t="s">
        <v>351</v>
      </c>
      <c r="F320" s="112">
        <f>188.79/3</f>
        <v>62.93</v>
      </c>
    </row>
    <row r="321" spans="1:7">
      <c r="A321" s="225">
        <v>45505</v>
      </c>
      <c r="B321" s="226" t="str">
        <f>UPPER(TEXT(Tabela14[[#This Row],[DATA]],"MMM"))</f>
        <v>AGO</v>
      </c>
      <c r="C321" s="226"/>
      <c r="D321" s="178" t="s">
        <v>40</v>
      </c>
      <c r="E321" s="7" t="s">
        <v>142</v>
      </c>
      <c r="F321" s="113">
        <v>63.99</v>
      </c>
    </row>
    <row r="322" spans="1:7">
      <c r="A322" s="225">
        <v>45505</v>
      </c>
      <c r="B322" s="226" t="str">
        <f>UPPER(TEXT(Tabela14[[#This Row],[DATA]],"MMM"))</f>
        <v>AGO</v>
      </c>
      <c r="C322" s="226"/>
      <c r="D322" s="178" t="s">
        <v>40</v>
      </c>
      <c r="E322" s="32" t="s">
        <v>123</v>
      </c>
      <c r="F322" s="292">
        <v>78</v>
      </c>
    </row>
    <row r="323" spans="1:7" ht="27">
      <c r="A323" s="225">
        <v>45505</v>
      </c>
      <c r="B323" s="226" t="str">
        <f>UPPER(TEXT(Tabela14[[#This Row],[DATA]],"MMM"))</f>
        <v>AGO</v>
      </c>
      <c r="C323" s="226"/>
      <c r="D323" s="178" t="s">
        <v>40</v>
      </c>
      <c r="E323" s="303" t="s">
        <v>517</v>
      </c>
      <c r="F323" s="261">
        <f>470/3</f>
        <v>156.66666666666666</v>
      </c>
      <c r="G323" s="74">
        <f>Tabela14[[#This Row],[VALOR]]/10.97</f>
        <v>14.281373442722575</v>
      </c>
    </row>
    <row r="324" spans="1:7" ht="27">
      <c r="A324" s="225">
        <v>45505</v>
      </c>
      <c r="B324" s="226" t="str">
        <f>UPPER(TEXT(Tabela14[[#This Row],[DATA]],"MMM"))</f>
        <v>AGO</v>
      </c>
      <c r="C324" s="23"/>
      <c r="D324" s="178" t="s">
        <v>40</v>
      </c>
      <c r="E324" s="229" t="s">
        <v>547</v>
      </c>
      <c r="F324" s="290">
        <f>813.08/3</f>
        <v>271.0266666666667</v>
      </c>
      <c r="G324" s="74">
        <f>Tabela14[[#This Row],[VALOR]]/10.247</f>
        <v>26.449367294492699</v>
      </c>
    </row>
    <row r="325" spans="1:7">
      <c r="A325" s="225">
        <v>45506</v>
      </c>
      <c r="B325" s="226" t="str">
        <f>UPPER(TEXT(Tabela14[[#This Row],[DATA]],"MMM"))</f>
        <v>AGO</v>
      </c>
      <c r="C325" s="23"/>
      <c r="D325" s="178" t="s">
        <v>40</v>
      </c>
      <c r="E325" s="20" t="s">
        <v>216</v>
      </c>
      <c r="F325" s="21">
        <v>14.24</v>
      </c>
    </row>
    <row r="326" spans="1:7">
      <c r="A326" s="225">
        <v>45506</v>
      </c>
      <c r="B326" s="226" t="str">
        <f>UPPER(TEXT(Tabela14[[#This Row],[DATA]],"MMM"))</f>
        <v>AGO</v>
      </c>
      <c r="C326" s="23" t="s">
        <v>324</v>
      </c>
      <c r="D326" s="178" t="s">
        <v>40</v>
      </c>
      <c r="E326" s="101" t="s">
        <v>548</v>
      </c>
      <c r="F326" s="102">
        <v>62.26</v>
      </c>
    </row>
    <row r="327" spans="1:7">
      <c r="A327" s="225">
        <v>45507</v>
      </c>
      <c r="B327" s="23" t="str">
        <f>UPPER(TEXT(Tabela14[[#This Row],[DATA]],"MMM"))</f>
        <v>AGO</v>
      </c>
      <c r="C327" s="23"/>
      <c r="D327" s="178" t="s">
        <v>40</v>
      </c>
      <c r="E327" s="101" t="s">
        <v>549</v>
      </c>
      <c r="F327" s="102">
        <v>43.97</v>
      </c>
    </row>
    <row r="328" spans="1:7">
      <c r="A328" s="225">
        <v>45508</v>
      </c>
      <c r="B328" s="226" t="str">
        <f>UPPER(TEXT(Tabela14[[#This Row],[DATA]],"MMM"))</f>
        <v>AGO</v>
      </c>
      <c r="C328" s="23"/>
      <c r="D328" s="178" t="s">
        <v>40</v>
      </c>
      <c r="E328" s="20" t="s">
        <v>550</v>
      </c>
      <c r="F328" s="21">
        <f>12.4-3.1</f>
        <v>9.3000000000000007</v>
      </c>
    </row>
    <row r="329" spans="1:7">
      <c r="A329" s="225">
        <v>45508</v>
      </c>
      <c r="B329" s="23" t="str">
        <f>UPPER(TEXT(Tabela14[[#This Row],[DATA]],"MMM"))</f>
        <v>AGO</v>
      </c>
      <c r="C329" s="23" t="s">
        <v>324</v>
      </c>
      <c r="D329" s="178" t="s">
        <v>40</v>
      </c>
      <c r="E329" s="24" t="s">
        <v>551</v>
      </c>
      <c r="F329" s="25">
        <f>186.97-60</f>
        <v>126.97</v>
      </c>
    </row>
    <row r="330" spans="1:7">
      <c r="A330" s="225">
        <v>45509</v>
      </c>
      <c r="B330" s="226" t="str">
        <f>UPPER(TEXT(Tabela14[[#This Row],[DATA]],"MMM"))</f>
        <v>AGO</v>
      </c>
      <c r="C330" s="23" t="s">
        <v>324</v>
      </c>
      <c r="D330" s="178" t="s">
        <v>40</v>
      </c>
      <c r="E330" s="101" t="s">
        <v>552</v>
      </c>
      <c r="F330" s="102">
        <v>8</v>
      </c>
    </row>
    <row r="331" spans="1:7" ht="27">
      <c r="A331" s="225">
        <v>45509</v>
      </c>
      <c r="B331" s="226" t="str">
        <f>UPPER(TEXT(Tabela14[[#This Row],[DATA]],"MMM"))</f>
        <v>AGO</v>
      </c>
      <c r="C331" s="23"/>
      <c r="D331" s="178" t="s">
        <v>40</v>
      </c>
      <c r="E331" s="55" t="s">
        <v>553</v>
      </c>
      <c r="F331" s="56">
        <v>146.99</v>
      </c>
      <c r="G331" s="74"/>
    </row>
    <row r="332" spans="1:7">
      <c r="A332" s="225">
        <v>45510</v>
      </c>
      <c r="B332" s="23" t="str">
        <f>UPPER(TEXT(Tabela14[[#This Row],[DATA]],"MMM"))</f>
        <v>AGO</v>
      </c>
      <c r="C332" s="23"/>
      <c r="D332" s="178" t="s">
        <v>40</v>
      </c>
      <c r="E332" s="213" t="s">
        <v>554</v>
      </c>
      <c r="F332" s="214">
        <v>68.56</v>
      </c>
    </row>
    <row r="333" spans="1:7" ht="27">
      <c r="A333" s="225">
        <v>45514</v>
      </c>
      <c r="B333" s="226" t="str">
        <f>UPPER(TEXT(Tabela14[[#This Row],[DATA]],"MMM"))</f>
        <v>AGO</v>
      </c>
      <c r="C333" s="226"/>
      <c r="D333" s="178" t="s">
        <v>40</v>
      </c>
      <c r="E333" s="103" t="s">
        <v>555</v>
      </c>
      <c r="F333" s="104">
        <v>29.9</v>
      </c>
    </row>
    <row r="334" spans="1:7">
      <c r="A334" s="225">
        <v>45514</v>
      </c>
      <c r="B334" s="23" t="str">
        <f>UPPER(TEXT(Tabela14[[#This Row],[DATA]],"MMM"))</f>
        <v>AGO</v>
      </c>
      <c r="C334" s="23" t="s">
        <v>324</v>
      </c>
      <c r="D334" s="178" t="s">
        <v>40</v>
      </c>
      <c r="E334" s="24" t="s">
        <v>556</v>
      </c>
      <c r="F334" s="25">
        <v>53</v>
      </c>
    </row>
    <row r="335" spans="1:7">
      <c r="A335" s="225">
        <v>45514</v>
      </c>
      <c r="B335" s="226" t="str">
        <f>UPPER(TEXT(Tabela14[[#This Row],[DATA]],"MMM"))</f>
        <v>AGO</v>
      </c>
      <c r="C335" s="226" t="s">
        <v>324</v>
      </c>
      <c r="D335" s="178" t="s">
        <v>40</v>
      </c>
      <c r="E335" s="20" t="s">
        <v>524</v>
      </c>
      <c r="F335" s="21">
        <v>59.99</v>
      </c>
    </row>
    <row r="336" spans="1:7">
      <c r="A336" s="225">
        <v>45515</v>
      </c>
      <c r="B336" s="226" t="str">
        <f>UPPER(TEXT(Tabela14[[#This Row],[DATA]],"MMM"))</f>
        <v>AGO</v>
      </c>
      <c r="C336" s="23"/>
      <c r="D336" s="178" t="s">
        <v>40</v>
      </c>
      <c r="E336" s="101" t="s">
        <v>557</v>
      </c>
      <c r="F336" s="102">
        <v>8</v>
      </c>
    </row>
    <row r="337" spans="1:8">
      <c r="A337" s="225">
        <v>45515</v>
      </c>
      <c r="B337" s="23" t="str">
        <f>UPPER(TEXT(Tabela14[[#This Row],[DATA]],"MMM"))</f>
        <v>AGO</v>
      </c>
      <c r="C337" s="23" t="s">
        <v>324</v>
      </c>
      <c r="D337" s="178" t="s">
        <v>40</v>
      </c>
      <c r="E337" s="20" t="s">
        <v>558</v>
      </c>
      <c r="F337" s="21">
        <v>53.5</v>
      </c>
    </row>
    <row r="338" spans="1:8">
      <c r="A338" s="225">
        <v>45515</v>
      </c>
      <c r="B338" s="226" t="str">
        <f>UPPER(TEXT(Tabela14[[#This Row],[DATA]],"MMM"))</f>
        <v>AGO</v>
      </c>
      <c r="C338" s="23"/>
      <c r="D338" s="178" t="s">
        <v>40</v>
      </c>
      <c r="E338" s="20" t="s">
        <v>559</v>
      </c>
      <c r="F338" s="21">
        <f>180/3</f>
        <v>60</v>
      </c>
    </row>
    <row r="339" spans="1:8">
      <c r="A339" s="225">
        <v>45516</v>
      </c>
      <c r="B339" s="226" t="str">
        <f>UPPER(TEXT(Tabela14[[#This Row],[DATA]],"MMM"))</f>
        <v>AGO</v>
      </c>
      <c r="C339" s="23" t="s">
        <v>324</v>
      </c>
      <c r="D339" s="178" t="s">
        <v>40</v>
      </c>
      <c r="E339" s="101" t="s">
        <v>552</v>
      </c>
      <c r="F339" s="102">
        <v>15.5</v>
      </c>
    </row>
    <row r="340" spans="1:8">
      <c r="A340" s="225">
        <v>45520</v>
      </c>
      <c r="B340" s="23" t="str">
        <f>UPPER(TEXT(Tabela14[[#This Row],[DATA]],"MMM"))</f>
        <v>AGO</v>
      </c>
      <c r="C340" s="23" t="s">
        <v>324</v>
      </c>
      <c r="D340" s="178" t="s">
        <v>40</v>
      </c>
      <c r="E340" s="101" t="s">
        <v>552</v>
      </c>
      <c r="F340" s="102">
        <v>13.5</v>
      </c>
    </row>
    <row r="341" spans="1:8" ht="27">
      <c r="A341" s="225">
        <v>45521</v>
      </c>
      <c r="B341" s="23" t="str">
        <f>UPPER(TEXT(Tabela14[[#This Row],[DATA]],"MMM"))</f>
        <v>AGO</v>
      </c>
      <c r="C341" s="23"/>
      <c r="D341" s="178" t="s">
        <v>40</v>
      </c>
      <c r="E341" s="103" t="s">
        <v>560</v>
      </c>
      <c r="F341" s="102">
        <v>10</v>
      </c>
      <c r="H341" s="74"/>
    </row>
    <row r="342" spans="1:8">
      <c r="A342" s="225">
        <v>45522</v>
      </c>
      <c r="B342" s="23" t="str">
        <f>UPPER(TEXT(Tabela14[[#This Row],[DATA]],"MMM"))</f>
        <v>AGO</v>
      </c>
      <c r="C342" s="23" t="s">
        <v>324</v>
      </c>
      <c r="D342" s="178" t="s">
        <v>40</v>
      </c>
      <c r="E342" s="101" t="s">
        <v>556</v>
      </c>
      <c r="F342" s="102">
        <v>54</v>
      </c>
    </row>
    <row r="343" spans="1:8">
      <c r="A343" s="225">
        <v>45523</v>
      </c>
      <c r="B343" s="23" t="str">
        <f>UPPER(TEXT(Tabela14[[#This Row],[DATA]],"MMM"))</f>
        <v>AGO</v>
      </c>
      <c r="C343" s="23" t="s">
        <v>324</v>
      </c>
      <c r="D343" s="178" t="s">
        <v>40</v>
      </c>
      <c r="E343" s="101" t="s">
        <v>552</v>
      </c>
      <c r="F343" s="102">
        <v>18</v>
      </c>
    </row>
    <row r="344" spans="1:8">
      <c r="A344" s="225">
        <v>45525</v>
      </c>
      <c r="B344" s="23" t="str">
        <f>UPPER(TEXT(Tabela14[[#This Row],[DATA]],"MMM"))</f>
        <v>AGO</v>
      </c>
      <c r="C344" s="23"/>
      <c r="D344" s="178" t="s">
        <v>40</v>
      </c>
      <c r="E344" s="174" t="s">
        <v>561</v>
      </c>
      <c r="F344" s="175">
        <v>64.25</v>
      </c>
    </row>
    <row r="345" spans="1:8">
      <c r="A345" s="225">
        <v>45527</v>
      </c>
      <c r="B345" s="23" t="str">
        <f>UPPER(TEXT(Tabela14[[#This Row],[DATA]],"MMM"))</f>
        <v>AGO</v>
      </c>
      <c r="C345" s="23" t="s">
        <v>324</v>
      </c>
      <c r="D345" s="178" t="s">
        <v>40</v>
      </c>
      <c r="E345" s="20" t="s">
        <v>552</v>
      </c>
      <c r="F345" s="21">
        <v>14.5</v>
      </c>
    </row>
    <row r="346" spans="1:8">
      <c r="A346" s="225">
        <v>45527</v>
      </c>
      <c r="B346" s="226" t="str">
        <f>UPPER(TEXT(Tabela14[[#This Row],[DATA]],"MMM"))</f>
        <v>AGO</v>
      </c>
      <c r="C346" s="226"/>
      <c r="D346" s="178" t="s">
        <v>40</v>
      </c>
      <c r="E346" s="101" t="s">
        <v>216</v>
      </c>
      <c r="F346" s="102">
        <v>26.94</v>
      </c>
    </row>
    <row r="347" spans="1:8">
      <c r="A347" s="225">
        <v>45528</v>
      </c>
      <c r="B347" s="23" t="str">
        <f>UPPER(TEXT(Tabela14[[#This Row],[DATA]],"MMM"))</f>
        <v>AGO</v>
      </c>
      <c r="C347" s="23" t="s">
        <v>324</v>
      </c>
      <c r="D347" s="178" t="s">
        <v>40</v>
      </c>
      <c r="E347" s="20" t="s">
        <v>562</v>
      </c>
      <c r="F347" s="21">
        <f>110.9-25-25</f>
        <v>60.900000000000006</v>
      </c>
    </row>
    <row r="348" spans="1:8">
      <c r="A348" s="225">
        <v>45528</v>
      </c>
      <c r="B348" s="226" t="str">
        <f>UPPER(TEXT(Tabela14[[#This Row],[DATA]],"MMM"))</f>
        <v>AGO</v>
      </c>
      <c r="C348" s="226" t="s">
        <v>324</v>
      </c>
      <c r="D348" s="178" t="s">
        <v>40</v>
      </c>
      <c r="E348" s="101" t="s">
        <v>563</v>
      </c>
      <c r="F348" s="102">
        <v>81.89</v>
      </c>
    </row>
    <row r="349" spans="1:8">
      <c r="A349" s="225">
        <v>45530</v>
      </c>
      <c r="B349" s="23" t="str">
        <f>UPPER(TEXT(Tabela14[[#This Row],[DATA]],"MMM"))</f>
        <v>AGO</v>
      </c>
      <c r="C349" s="23" t="s">
        <v>324</v>
      </c>
      <c r="D349" s="178" t="s">
        <v>40</v>
      </c>
      <c r="E349" s="101" t="s">
        <v>552</v>
      </c>
      <c r="F349" s="102">
        <v>11.5</v>
      </c>
    </row>
    <row r="350" spans="1:8">
      <c r="A350" s="225">
        <v>45533</v>
      </c>
      <c r="B350" s="23" t="str">
        <f>UPPER(TEXT(Tabela14[[#This Row],[DATA]],"MMM"))</f>
        <v>AGO</v>
      </c>
      <c r="C350" s="23" t="s">
        <v>324</v>
      </c>
      <c r="D350" s="178" t="s">
        <v>40</v>
      </c>
      <c r="E350" s="101" t="s">
        <v>564</v>
      </c>
      <c r="F350" s="102">
        <v>63</v>
      </c>
    </row>
    <row r="351" spans="1:8">
      <c r="A351" s="225">
        <v>45534</v>
      </c>
      <c r="B351" s="23" t="str">
        <f>UPPER(TEXT(Tabela14[[#This Row],[DATA]],"MMM"))</f>
        <v>AGO</v>
      </c>
      <c r="C351" s="23" t="s">
        <v>324</v>
      </c>
      <c r="D351" s="178" t="s">
        <v>40</v>
      </c>
      <c r="E351" s="101" t="s">
        <v>552</v>
      </c>
      <c r="F351" s="102">
        <v>7</v>
      </c>
    </row>
    <row r="352" spans="1:8">
      <c r="A352" s="225">
        <v>45535</v>
      </c>
      <c r="B352" s="226" t="str">
        <f>UPPER(TEXT(Tabela14[[#This Row],[DATA]],"MMM"))</f>
        <v>AGO</v>
      </c>
      <c r="C352" s="226"/>
      <c r="D352" s="178" t="s">
        <v>40</v>
      </c>
      <c r="E352" s="20" t="s">
        <v>565</v>
      </c>
      <c r="F352" s="21">
        <f>12.1/3*2</f>
        <v>8.0666666666666664</v>
      </c>
    </row>
    <row r="353" spans="1:8">
      <c r="A353" s="225">
        <v>45535</v>
      </c>
      <c r="B353" s="226" t="str">
        <f>UPPER(TEXT(Tabela14[[#This Row],[DATA]],"MMM"))</f>
        <v>AGO</v>
      </c>
      <c r="C353" s="226"/>
      <c r="D353" s="178" t="s">
        <v>40</v>
      </c>
      <c r="E353" s="20" t="s">
        <v>565</v>
      </c>
      <c r="F353" s="21">
        <f>16.6/3*2</f>
        <v>11.066666666666668</v>
      </c>
    </row>
    <row r="354" spans="1:8">
      <c r="A354" s="225">
        <v>45535</v>
      </c>
      <c r="B354" s="226" t="str">
        <f>UPPER(TEXT(Tabela14[[#This Row],[DATA]],"MMM"))</f>
        <v>AGO</v>
      </c>
      <c r="C354" s="23" t="s">
        <v>324</v>
      </c>
      <c r="D354" s="178" t="s">
        <v>40</v>
      </c>
      <c r="E354" s="20" t="s">
        <v>566</v>
      </c>
      <c r="F354" s="21">
        <f>18.2/3*2</f>
        <v>12.133333333333333</v>
      </c>
    </row>
    <row r="355" spans="1:8">
      <c r="A355" s="225">
        <v>45535</v>
      </c>
      <c r="B355" s="226" t="str">
        <f>UPPER(TEXT(Tabela14[[#This Row],[DATA]],"MMM"))</f>
        <v>AGO</v>
      </c>
      <c r="C355" s="226" t="s">
        <v>324</v>
      </c>
      <c r="D355" s="178" t="s">
        <v>40</v>
      </c>
      <c r="E355" s="20" t="s">
        <v>566</v>
      </c>
      <c r="F355" s="21">
        <f>19.57/3*2</f>
        <v>13.046666666666667</v>
      </c>
    </row>
    <row r="356" spans="1:8">
      <c r="A356" s="225">
        <v>45535</v>
      </c>
      <c r="B356" s="226" t="str">
        <f>UPPER(TEXT(Tabela14[[#This Row],[DATA]],"MMM"))</f>
        <v>AGO</v>
      </c>
      <c r="C356" s="23" t="s">
        <v>324</v>
      </c>
      <c r="D356" s="178" t="s">
        <v>40</v>
      </c>
      <c r="E356" s="50" t="s">
        <v>567</v>
      </c>
      <c r="F356" s="51">
        <f>39.9/3*2</f>
        <v>26.599999999999998</v>
      </c>
    </row>
    <row r="357" spans="1:8">
      <c r="A357" s="225">
        <v>45535</v>
      </c>
      <c r="B357" s="226" t="str">
        <f>UPPER(TEXT(Tabela14[[#This Row],[DATA]],"MMM"))</f>
        <v>AGO</v>
      </c>
      <c r="C357" s="23"/>
      <c r="D357" s="178" t="s">
        <v>40</v>
      </c>
      <c r="E357" s="50" t="s">
        <v>568</v>
      </c>
      <c r="F357" s="51">
        <f>79.9/5*2</f>
        <v>31.96</v>
      </c>
    </row>
    <row r="358" spans="1:8">
      <c r="A358" s="225">
        <v>45535</v>
      </c>
      <c r="B358" s="226" t="str">
        <f>UPPER(TEXT(Tabela14[[#This Row],[DATA]],"MMM"))</f>
        <v>AGO</v>
      </c>
      <c r="C358" s="226" t="s">
        <v>324</v>
      </c>
      <c r="D358" s="178" t="s">
        <v>40</v>
      </c>
      <c r="E358" s="50" t="s">
        <v>569</v>
      </c>
      <c r="F358" s="51">
        <f>185.86-(79.9+39.9)</f>
        <v>66.06</v>
      </c>
    </row>
    <row r="359" spans="1:8" ht="27">
      <c r="A359" s="225">
        <v>45535</v>
      </c>
      <c r="B359" s="23" t="str">
        <f>UPPER(TEXT(Tabela14[[#This Row],[DATA]],"MMM"))</f>
        <v>AGO</v>
      </c>
      <c r="C359" s="23" t="s">
        <v>324</v>
      </c>
      <c r="D359" s="178" t="s">
        <v>40</v>
      </c>
      <c r="E359" s="55" t="s">
        <v>570</v>
      </c>
      <c r="F359" s="56">
        <f>186.97+22.9-82.9</f>
        <v>126.97</v>
      </c>
    </row>
    <row r="360" spans="1:8">
      <c r="A360" s="225">
        <v>45536</v>
      </c>
      <c r="B360" s="226" t="str">
        <f>UPPER(TEXT(Tabela14[[#This Row],[DATA]],"MMM"))</f>
        <v>SET</v>
      </c>
      <c r="C360" s="23"/>
      <c r="D360" s="178" t="s">
        <v>38</v>
      </c>
      <c r="E360" s="24" t="s">
        <v>39</v>
      </c>
      <c r="F360" s="212">
        <v>2831</v>
      </c>
    </row>
    <row r="361" spans="1:8">
      <c r="A361" s="225">
        <v>45536</v>
      </c>
      <c r="B361" s="226" t="str">
        <f>UPPER(TEXT(Tabela14[[#This Row],[DATA]],"MMM"))</f>
        <v>SET</v>
      </c>
      <c r="C361" s="23" t="s">
        <v>324</v>
      </c>
      <c r="D361" s="178" t="s">
        <v>40</v>
      </c>
      <c r="E361" s="50" t="s">
        <v>413</v>
      </c>
      <c r="F361" s="112">
        <v>4.95</v>
      </c>
      <c r="H361" s="74"/>
    </row>
    <row r="362" spans="1:8">
      <c r="A362" s="225">
        <v>45536</v>
      </c>
      <c r="B362" s="226" t="str">
        <f>UPPER(TEXT(Tabela14[[#This Row],[DATA]],"MMM"))</f>
        <v>SET</v>
      </c>
      <c r="C362" s="23" t="s">
        <v>324</v>
      </c>
      <c r="D362" s="178" t="s">
        <v>40</v>
      </c>
      <c r="E362" s="20" t="s">
        <v>571</v>
      </c>
      <c r="F362" s="21">
        <v>6.99</v>
      </c>
    </row>
    <row r="363" spans="1:8" ht="27">
      <c r="A363" s="225">
        <v>45536</v>
      </c>
      <c r="B363" s="226" t="str">
        <f>UPPER(TEXT(Tabela14[[#This Row],[DATA]],"MMM"))</f>
        <v>SET</v>
      </c>
      <c r="C363" s="226"/>
      <c r="D363" s="178" t="s">
        <v>40</v>
      </c>
      <c r="E363" s="230" t="s">
        <v>348</v>
      </c>
      <c r="F363" s="112">
        <f>(25.9+19.9)/3</f>
        <v>15.266666666666666</v>
      </c>
    </row>
    <row r="364" spans="1:8">
      <c r="A364" s="225">
        <v>45536</v>
      </c>
      <c r="B364" s="226" t="str">
        <f>UPPER(TEXT(Tabela14[[#This Row],[DATA]],"MMM"))</f>
        <v>SET</v>
      </c>
      <c r="C364" s="226"/>
      <c r="D364" s="178" t="s">
        <v>40</v>
      </c>
      <c r="E364" s="216" t="s">
        <v>572</v>
      </c>
      <c r="F364" s="193">
        <v>50</v>
      </c>
      <c r="G364" s="74">
        <f>255.15/3</f>
        <v>85.05</v>
      </c>
      <c r="H364" s="74">
        <f>G364-Tabela14[[#This Row],[VALOR]]</f>
        <v>35.049999999999997</v>
      </c>
    </row>
    <row r="365" spans="1:8" ht="27">
      <c r="A365" s="225">
        <v>45536</v>
      </c>
      <c r="B365" s="226" t="str">
        <f>UPPER(TEXT(Tabela14[[#This Row],[DATA]],"MMM"))</f>
        <v>SET</v>
      </c>
      <c r="C365" s="226"/>
      <c r="D365" s="178" t="s">
        <v>40</v>
      </c>
      <c r="E365" s="259" t="s">
        <v>351</v>
      </c>
      <c r="F365" s="112">
        <f>188.79/3</f>
        <v>62.93</v>
      </c>
    </row>
    <row r="366" spans="1:8">
      <c r="A366" s="225">
        <v>45536</v>
      </c>
      <c r="B366" s="226" t="str">
        <f>UPPER(TEXT(Tabela14[[#This Row],[DATA]],"MMM"))</f>
        <v>SET</v>
      </c>
      <c r="C366" s="226"/>
      <c r="D366" s="178" t="s">
        <v>40</v>
      </c>
      <c r="E366" s="7" t="s">
        <v>142</v>
      </c>
      <c r="F366" s="113">
        <v>63.99</v>
      </c>
    </row>
    <row r="367" spans="1:8" ht="27">
      <c r="A367" s="225">
        <v>45536</v>
      </c>
      <c r="B367" s="226" t="str">
        <f>UPPER(TEXT(Tabela14[[#This Row],[DATA]],"MMM"))</f>
        <v>SET</v>
      </c>
      <c r="C367" s="226"/>
      <c r="D367" s="178" t="s">
        <v>40</v>
      </c>
      <c r="E367" s="258" t="s">
        <v>573</v>
      </c>
      <c r="F367" s="141">
        <f>221.32/3</f>
        <v>73.773333333333326</v>
      </c>
    </row>
    <row r="368" spans="1:8">
      <c r="A368" s="225">
        <v>45536</v>
      </c>
      <c r="B368" s="226" t="str">
        <f>UPPER(TEXT(Tabela14[[#This Row],[DATA]],"MMM"))</f>
        <v>SET</v>
      </c>
      <c r="C368" s="226"/>
      <c r="D368" s="178" t="s">
        <v>40</v>
      </c>
      <c r="E368" s="7" t="s">
        <v>123</v>
      </c>
      <c r="F368" s="113">
        <v>78</v>
      </c>
    </row>
    <row r="369" spans="1:8" ht="27">
      <c r="A369" s="225">
        <v>45536</v>
      </c>
      <c r="B369" s="226" t="str">
        <f>UPPER(TEXT(Tabela14[[#This Row],[DATA]],"MMM"))</f>
        <v>SET</v>
      </c>
      <c r="C369" s="226"/>
      <c r="D369" s="178" t="s">
        <v>40</v>
      </c>
      <c r="E369" s="229" t="s">
        <v>574</v>
      </c>
      <c r="F369" s="290">
        <f>255.15/3</f>
        <v>85.05</v>
      </c>
      <c r="G369" s="74">
        <f>SUM(F364:F367)</f>
        <v>250.69333333333333</v>
      </c>
    </row>
    <row r="370" spans="1:8" ht="27">
      <c r="A370" s="225">
        <v>45536</v>
      </c>
      <c r="B370" s="226" t="str">
        <f>UPPER(TEXT(Tabela14[[#This Row],[DATA]],"MMM"))</f>
        <v>SET</v>
      </c>
      <c r="C370" s="226"/>
      <c r="D370" s="178" t="s">
        <v>40</v>
      </c>
      <c r="E370" s="303" t="s">
        <v>517</v>
      </c>
      <c r="F370" s="261">
        <f>470/3</f>
        <v>156.66666666666666</v>
      </c>
      <c r="G370" s="210">
        <f>F370/9.73</f>
        <v>16.101404590613221</v>
      </c>
    </row>
    <row r="371" spans="1:8">
      <c r="A371" s="225">
        <v>45541</v>
      </c>
      <c r="B371" s="226" t="str">
        <f>UPPER(TEXT(Tabela14[[#This Row],[DATA]],"MMM"))</f>
        <v>SET</v>
      </c>
      <c r="C371" s="226" t="s">
        <v>324</v>
      </c>
      <c r="D371" s="178" t="s">
        <v>40</v>
      </c>
      <c r="E371" s="101" t="s">
        <v>552</v>
      </c>
      <c r="F371" s="102">
        <v>7.5</v>
      </c>
    </row>
    <row r="372" spans="1:8">
      <c r="A372" s="225">
        <v>45541</v>
      </c>
      <c r="B372" s="23" t="str">
        <f>UPPER(TEXT(Tabela14[[#This Row],[DATA]],"MMM"))</f>
        <v>SET</v>
      </c>
      <c r="C372" s="23"/>
      <c r="D372" s="178" t="s">
        <v>40</v>
      </c>
      <c r="E372" s="174" t="s">
        <v>575</v>
      </c>
      <c r="F372" s="175">
        <v>61</v>
      </c>
    </row>
    <row r="373" spans="1:8">
      <c r="A373" s="225">
        <v>45542</v>
      </c>
      <c r="B373" s="23" t="str">
        <f>UPPER(TEXT(Tabela14[[#This Row],[DATA]],"MMM"))</f>
        <v>SET</v>
      </c>
      <c r="C373" s="23" t="s">
        <v>324</v>
      </c>
      <c r="D373" s="178" t="s">
        <v>40</v>
      </c>
      <c r="E373" s="101" t="s">
        <v>552</v>
      </c>
      <c r="F373" s="102">
        <v>10</v>
      </c>
    </row>
    <row r="374" spans="1:8">
      <c r="A374" s="225">
        <v>45542</v>
      </c>
      <c r="B374" s="23" t="str">
        <f>UPPER(TEXT(Tabela14[[#This Row],[DATA]],"MMM"))</f>
        <v>SET</v>
      </c>
      <c r="C374" s="23" t="s">
        <v>324</v>
      </c>
      <c r="D374" s="178" t="s">
        <v>40</v>
      </c>
      <c r="E374" s="101" t="s">
        <v>576</v>
      </c>
      <c r="F374" s="102">
        <v>44</v>
      </c>
    </row>
    <row r="375" spans="1:8">
      <c r="A375" s="225">
        <v>45542</v>
      </c>
      <c r="B375" s="23" t="str">
        <f>UPPER(TEXT(Tabela14[[#This Row],[DATA]],"MMM"))</f>
        <v>SET</v>
      </c>
      <c r="C375" s="23" t="s">
        <v>324</v>
      </c>
      <c r="D375" s="178" t="s">
        <v>40</v>
      </c>
      <c r="E375" s="101" t="s">
        <v>577</v>
      </c>
      <c r="F375" s="102">
        <f>50+45+37.96-70</f>
        <v>62.960000000000008</v>
      </c>
    </row>
    <row r="376" spans="1:8">
      <c r="A376" s="225">
        <v>45542</v>
      </c>
      <c r="B376" s="226" t="str">
        <f>UPPER(TEXT(Tabela14[[#This Row],[DATA]],"MMM"))</f>
        <v>SET</v>
      </c>
      <c r="C376" s="226" t="s">
        <v>324</v>
      </c>
      <c r="D376" s="178" t="s">
        <v>40</v>
      </c>
      <c r="E376" s="20" t="s">
        <v>578</v>
      </c>
      <c r="F376" s="21">
        <v>82</v>
      </c>
    </row>
    <row r="377" spans="1:8">
      <c r="A377" s="225">
        <v>45546</v>
      </c>
      <c r="B377" s="23" t="str">
        <f>UPPER(TEXT(Tabela14[[#This Row],[DATA]],"MMM"))</f>
        <v>SET</v>
      </c>
      <c r="C377" s="23" t="s">
        <v>324</v>
      </c>
      <c r="D377" s="178" t="s">
        <v>40</v>
      </c>
      <c r="E377" s="101" t="s">
        <v>552</v>
      </c>
      <c r="F377" s="102">
        <v>13</v>
      </c>
    </row>
    <row r="378" spans="1:8">
      <c r="A378" s="225">
        <v>45547</v>
      </c>
      <c r="B378" s="23" t="str">
        <f>UPPER(TEXT(Tabela14[[#This Row],[DATA]],"MMM"))</f>
        <v>SET</v>
      </c>
      <c r="C378" s="23" t="s">
        <v>324</v>
      </c>
      <c r="D378" s="178" t="s">
        <v>40</v>
      </c>
      <c r="E378" s="101" t="s">
        <v>579</v>
      </c>
      <c r="F378" s="102">
        <v>54</v>
      </c>
    </row>
    <row r="379" spans="1:8">
      <c r="A379" s="225">
        <v>45548</v>
      </c>
      <c r="B379" s="23" t="str">
        <f>UPPER(TEXT(Tabela14[[#This Row],[DATA]],"MMM"))</f>
        <v>SET</v>
      </c>
      <c r="C379" s="23" t="s">
        <v>324</v>
      </c>
      <c r="D379" s="178" t="s">
        <v>40</v>
      </c>
      <c r="E379" s="20" t="s">
        <v>580</v>
      </c>
      <c r="F379" s="21">
        <v>26</v>
      </c>
      <c r="H379" s="74">
        <f>H364+H398</f>
        <v>159.37333333333333</v>
      </c>
    </row>
    <row r="380" spans="1:8">
      <c r="A380" s="225">
        <v>45550</v>
      </c>
      <c r="B380" s="226" t="str">
        <f>UPPER(TEXT(Tabela14[[#This Row],[DATA]],"MMM"))</f>
        <v>SET</v>
      </c>
      <c r="C380" s="23" t="s">
        <v>324</v>
      </c>
      <c r="D380" s="178" t="s">
        <v>40</v>
      </c>
      <c r="E380" s="101" t="s">
        <v>581</v>
      </c>
      <c r="F380" s="102">
        <v>36.5</v>
      </c>
    </row>
    <row r="381" spans="1:8">
      <c r="A381" s="225">
        <v>45553</v>
      </c>
      <c r="B381" s="23" t="str">
        <f>UPPER(TEXT(Tabela14[[#This Row],[DATA]],"MMM"))</f>
        <v>SET</v>
      </c>
      <c r="C381" s="23"/>
      <c r="D381" s="178" t="s">
        <v>40</v>
      </c>
      <c r="E381" s="101" t="s">
        <v>582</v>
      </c>
      <c r="F381" s="102">
        <f>24.96-12</f>
        <v>12.96</v>
      </c>
    </row>
    <row r="382" spans="1:8">
      <c r="A382" s="225">
        <v>45554</v>
      </c>
      <c r="B382" s="23" t="str">
        <f>UPPER(TEXT(Tabela14[[#This Row],[DATA]],"MMM"))</f>
        <v>SET</v>
      </c>
      <c r="C382" s="23" t="s">
        <v>324</v>
      </c>
      <c r="D382" s="178" t="s">
        <v>40</v>
      </c>
      <c r="E382" s="101" t="s">
        <v>583</v>
      </c>
      <c r="F382" s="102">
        <v>6.23</v>
      </c>
    </row>
    <row r="383" spans="1:8">
      <c r="A383" s="225">
        <v>45555</v>
      </c>
      <c r="B383" s="23" t="str">
        <f>UPPER(TEXT(Tabela14[[#This Row],[DATA]],"MMM"))</f>
        <v>SET</v>
      </c>
      <c r="C383" s="23" t="s">
        <v>324</v>
      </c>
      <c r="D383" s="178" t="s">
        <v>40</v>
      </c>
      <c r="E383" s="101" t="s">
        <v>584</v>
      </c>
      <c r="F383" s="102">
        <v>13.18</v>
      </c>
    </row>
    <row r="384" spans="1:8">
      <c r="A384" s="225">
        <v>45556</v>
      </c>
      <c r="B384" s="23" t="str">
        <f>UPPER(TEXT(Tabela14[[#This Row],[DATA]],"MMM"))</f>
        <v>SET</v>
      </c>
      <c r="C384" s="23" t="s">
        <v>324</v>
      </c>
      <c r="D384" s="178" t="s">
        <v>40</v>
      </c>
      <c r="E384" s="101" t="s">
        <v>585</v>
      </c>
      <c r="F384" s="102">
        <v>40</v>
      </c>
    </row>
    <row r="385" spans="1:8">
      <c r="A385" s="225">
        <v>45557</v>
      </c>
      <c r="B385" s="226" t="str">
        <f>UPPER(TEXT(Tabela14[[#This Row],[DATA]],"MMM"))</f>
        <v>SET</v>
      </c>
      <c r="C385" s="226"/>
      <c r="D385" s="178" t="s">
        <v>40</v>
      </c>
      <c r="E385" s="20" t="s">
        <v>586</v>
      </c>
      <c r="F385" s="21">
        <v>15</v>
      </c>
    </row>
    <row r="386" spans="1:8">
      <c r="A386" s="225">
        <v>45557</v>
      </c>
      <c r="B386" s="226" t="str">
        <f>UPPER(TEXT(Tabela14[[#This Row],[DATA]],"MMM"))</f>
        <v>SET</v>
      </c>
      <c r="C386" s="23"/>
      <c r="D386" s="178" t="s">
        <v>40</v>
      </c>
      <c r="E386" s="20" t="s">
        <v>587</v>
      </c>
      <c r="F386" s="21">
        <v>29.62</v>
      </c>
      <c r="H386" s="210"/>
    </row>
    <row r="387" spans="1:8" ht="27">
      <c r="A387" s="225">
        <v>45557</v>
      </c>
      <c r="B387" s="226" t="str">
        <f>UPPER(TEXT(Tabela14[[#This Row],[DATA]],"MMM"))</f>
        <v>SET</v>
      </c>
      <c r="C387" s="23" t="s">
        <v>324</v>
      </c>
      <c r="D387" s="178" t="s">
        <v>40</v>
      </c>
      <c r="E387" s="55" t="s">
        <v>588</v>
      </c>
      <c r="F387" s="56">
        <v>108.9</v>
      </c>
    </row>
    <row r="388" spans="1:8" ht="27">
      <c r="A388" s="225">
        <v>45557</v>
      </c>
      <c r="B388" s="226" t="str">
        <f>UPPER(TEXT(Tabela14[[#This Row],[DATA]],"MMM"))</f>
        <v>SET</v>
      </c>
      <c r="C388" s="226"/>
      <c r="D388" s="178" t="s">
        <v>40</v>
      </c>
      <c r="E388" s="55" t="s">
        <v>589</v>
      </c>
      <c r="F388" s="56">
        <v>165.91</v>
      </c>
    </row>
    <row r="389" spans="1:8">
      <c r="A389" s="225">
        <v>45558</v>
      </c>
      <c r="B389" s="226" t="str">
        <f>UPPER(TEXT(Tabela14[[#This Row],[DATA]],"MMM"))</f>
        <v>SET</v>
      </c>
      <c r="C389" s="23"/>
      <c r="D389" s="178" t="s">
        <v>40</v>
      </c>
      <c r="E389" s="174" t="s">
        <v>590</v>
      </c>
      <c r="F389" s="175">
        <v>65</v>
      </c>
    </row>
    <row r="390" spans="1:8" ht="27">
      <c r="A390" s="225">
        <v>45562</v>
      </c>
      <c r="B390" s="226" t="str">
        <f>UPPER(TEXT(Tabela14[[#This Row],[DATA]],"MMM"))</f>
        <v>SET</v>
      </c>
      <c r="C390" s="226"/>
      <c r="D390" s="178" t="s">
        <v>40</v>
      </c>
      <c r="E390" s="103" t="s">
        <v>454</v>
      </c>
      <c r="F390" s="104">
        <v>45</v>
      </c>
    </row>
    <row r="391" spans="1:8">
      <c r="A391" s="225">
        <v>45563</v>
      </c>
      <c r="B391" s="226" t="str">
        <f>UPPER(TEXT(Tabela14[[#This Row],[DATA]],"MMM"))</f>
        <v>SET</v>
      </c>
      <c r="C391" s="226" t="s">
        <v>324</v>
      </c>
      <c r="D391" s="178" t="s">
        <v>40</v>
      </c>
      <c r="E391" s="101" t="s">
        <v>591</v>
      </c>
      <c r="F391" s="102">
        <v>54</v>
      </c>
    </row>
    <row r="392" spans="1:8">
      <c r="A392" s="225">
        <v>45563</v>
      </c>
      <c r="B392" s="226" t="str">
        <f>UPPER(TEXT(Tabela14[[#This Row],[DATA]],"MMM"))</f>
        <v>SET</v>
      </c>
      <c r="C392" s="226" t="s">
        <v>324</v>
      </c>
      <c r="D392" s="178" t="s">
        <v>40</v>
      </c>
      <c r="E392" s="20" t="s">
        <v>592</v>
      </c>
      <c r="F392" s="21">
        <v>186</v>
      </c>
    </row>
    <row r="393" spans="1:8">
      <c r="A393" s="225">
        <v>45565</v>
      </c>
      <c r="B393" s="226" t="str">
        <f>UPPER(TEXT(Tabela14[[#This Row],[DATA]],"MMM"))</f>
        <v>SET</v>
      </c>
      <c r="C393" s="23"/>
      <c r="D393" s="178" t="s">
        <v>40</v>
      </c>
      <c r="E393" s="20" t="s">
        <v>593</v>
      </c>
      <c r="F393" s="21">
        <v>26.99</v>
      </c>
    </row>
    <row r="394" spans="1:8">
      <c r="A394" s="225">
        <v>45566</v>
      </c>
      <c r="B394" s="226" t="str">
        <f>UPPER(TEXT(Tabela14[[#This Row],[DATA]],"MMM"))</f>
        <v>OUT</v>
      </c>
      <c r="C394" s="23"/>
      <c r="D394" s="178" t="s">
        <v>38</v>
      </c>
      <c r="E394" s="20" t="s">
        <v>39</v>
      </c>
      <c r="F394" s="21">
        <v>2504</v>
      </c>
    </row>
    <row r="395" spans="1:8">
      <c r="A395" s="225">
        <v>45566</v>
      </c>
      <c r="B395" s="226" t="str">
        <f>UPPER(TEXT(Tabela14[[#This Row],[DATA]],"MMM"))</f>
        <v>OUT</v>
      </c>
      <c r="C395" s="23" t="s">
        <v>324</v>
      </c>
      <c r="D395" s="178" t="s">
        <v>40</v>
      </c>
      <c r="E395" s="50" t="s">
        <v>413</v>
      </c>
      <c r="F395" s="112">
        <v>4.95</v>
      </c>
    </row>
    <row r="396" spans="1:8" ht="27">
      <c r="A396" s="225">
        <v>45566</v>
      </c>
      <c r="B396" s="226" t="str">
        <f>UPPER(TEXT(Tabela14[[#This Row],[DATA]],"MMM"))</f>
        <v>OUT</v>
      </c>
      <c r="C396" s="226"/>
      <c r="D396" s="178" t="s">
        <v>40</v>
      </c>
      <c r="E396" s="230" t="s">
        <v>594</v>
      </c>
      <c r="F396" s="112">
        <f>(25.9+19.9+43.9)/3</f>
        <v>29.899999999999995</v>
      </c>
    </row>
    <row r="397" spans="1:8">
      <c r="A397" s="225">
        <v>45566</v>
      </c>
      <c r="B397" s="226" t="str">
        <f>UPPER(TEXT(Tabela14[[#This Row],[DATA]],"MMM"))</f>
        <v>OUT</v>
      </c>
      <c r="C397" s="226"/>
      <c r="D397" s="178" t="s">
        <v>40</v>
      </c>
      <c r="E397" s="257" t="s">
        <v>595</v>
      </c>
      <c r="F397" s="193">
        <v>50</v>
      </c>
    </row>
    <row r="398" spans="1:8" ht="27">
      <c r="A398" s="225">
        <v>45566</v>
      </c>
      <c r="B398" s="226" t="str">
        <f>UPPER(TEXT(Tabela14[[#This Row],[DATA]],"MMM"))</f>
        <v>OUT</v>
      </c>
      <c r="C398" s="226"/>
      <c r="D398" s="178" t="s">
        <v>40</v>
      </c>
      <c r="E398" s="230" t="s">
        <v>351</v>
      </c>
      <c r="F398" s="112">
        <f>188.79/3</f>
        <v>62.93</v>
      </c>
      <c r="H398" s="74">
        <f>H399-F399</f>
        <v>124.32333333333335</v>
      </c>
    </row>
    <row r="399" spans="1:8">
      <c r="A399" s="225">
        <v>45566</v>
      </c>
      <c r="B399" s="226" t="str">
        <f>UPPER(TEXT(Tabela14[[#This Row],[DATA]],"MMM"))</f>
        <v>OUT</v>
      </c>
      <c r="C399" s="226"/>
      <c r="D399" s="178" t="s">
        <v>40</v>
      </c>
      <c r="E399" s="32" t="s">
        <v>142</v>
      </c>
      <c r="F399" s="113">
        <v>63.99</v>
      </c>
      <c r="G399" s="10">
        <v>4</v>
      </c>
      <c r="H399" s="10">
        <f>564.94/3</f>
        <v>188.31333333333336</v>
      </c>
    </row>
    <row r="400" spans="1:8" ht="27">
      <c r="A400" s="225">
        <v>45566</v>
      </c>
      <c r="B400" s="226" t="str">
        <f>UPPER(TEXT(Tabela14[[#This Row],[DATA]],"MMM"))</f>
        <v>OUT</v>
      </c>
      <c r="C400" s="226"/>
      <c r="D400" s="178" t="s">
        <v>40</v>
      </c>
      <c r="E400" s="229" t="s">
        <v>596</v>
      </c>
      <c r="F400" s="141">
        <f>220.98/3</f>
        <v>73.66</v>
      </c>
    </row>
    <row r="401" spans="1:7">
      <c r="A401" s="225">
        <v>45566</v>
      </c>
      <c r="B401" s="226" t="str">
        <f>UPPER(TEXT(Tabela14[[#This Row],[DATA]],"MMM"))</f>
        <v>OUT</v>
      </c>
      <c r="C401" s="226"/>
      <c r="D401" s="178" t="s">
        <v>40</v>
      </c>
      <c r="E401" s="7" t="s">
        <v>123</v>
      </c>
      <c r="F401" s="113">
        <v>78</v>
      </c>
      <c r="G401" s="10" t="s">
        <v>597</v>
      </c>
    </row>
    <row r="402" spans="1:7" ht="27">
      <c r="A402" s="225">
        <v>45566</v>
      </c>
      <c r="B402" s="226" t="str">
        <f>UPPER(TEXT(Tabela14[[#This Row],[DATA]],"MMM"))</f>
        <v>OUT</v>
      </c>
      <c r="C402" s="23"/>
      <c r="D402" s="178" t="s">
        <v>40</v>
      </c>
      <c r="E402" s="228" t="s">
        <v>517</v>
      </c>
      <c r="F402" s="112">
        <f>470/3</f>
        <v>156.66666666666666</v>
      </c>
    </row>
    <row r="403" spans="1:7" ht="27">
      <c r="A403" s="225">
        <v>45566</v>
      </c>
      <c r="B403" s="226" t="str">
        <f>UPPER(TEXT(Tabela14[[#This Row],[DATA]],"MMM"))</f>
        <v>OUT</v>
      </c>
      <c r="C403" s="226"/>
      <c r="D403" s="178" t="s">
        <v>40</v>
      </c>
      <c r="E403" s="258" t="s">
        <v>598</v>
      </c>
      <c r="F403" s="181">
        <f>564.94/3</f>
        <v>188.31333333333336</v>
      </c>
    </row>
    <row r="404" spans="1:7">
      <c r="A404" s="225">
        <v>45567</v>
      </c>
      <c r="B404" s="226" t="str">
        <f>UPPER(TEXT(Tabela14[[#This Row],[DATA]],"MMM"))</f>
        <v>OUT</v>
      </c>
      <c r="C404" s="23" t="s">
        <v>324</v>
      </c>
      <c r="D404" s="178" t="s">
        <v>40</v>
      </c>
      <c r="E404" s="24" t="s">
        <v>552</v>
      </c>
      <c r="F404" s="25">
        <v>7.5</v>
      </c>
      <c r="G404" s="210">
        <f>F404/10.537</f>
        <v>0.71177754579102204</v>
      </c>
    </row>
    <row r="405" spans="1:7">
      <c r="A405" s="225">
        <v>45568</v>
      </c>
      <c r="B405" s="226" t="str">
        <f>UPPER(TEXT(Tabela14[[#This Row],[DATA]],"MMM"))</f>
        <v>OUT</v>
      </c>
      <c r="C405" s="226" t="s">
        <v>324</v>
      </c>
      <c r="D405" s="178" t="s">
        <v>40</v>
      </c>
      <c r="E405" s="101" t="s">
        <v>548</v>
      </c>
      <c r="F405" s="102">
        <v>17</v>
      </c>
    </row>
    <row r="406" spans="1:7">
      <c r="A406" s="225">
        <v>45571</v>
      </c>
      <c r="B406" s="226" t="str">
        <f>UPPER(TEXT(Tabela14[[#This Row],[DATA]],"MMM"))</f>
        <v>OUT</v>
      </c>
      <c r="C406" s="226" t="s">
        <v>324</v>
      </c>
      <c r="D406" s="178" t="s">
        <v>40</v>
      </c>
      <c r="E406" s="101" t="s">
        <v>520</v>
      </c>
      <c r="F406" s="102">
        <v>54</v>
      </c>
    </row>
    <row r="407" spans="1:7">
      <c r="A407" s="225">
        <v>45572</v>
      </c>
      <c r="B407" s="226" t="str">
        <f>UPPER(TEXT(Tabela14[[#This Row],[DATA]],"MMM"))</f>
        <v>OUT</v>
      </c>
      <c r="C407" s="23" t="s">
        <v>324</v>
      </c>
      <c r="D407" s="178" t="s">
        <v>40</v>
      </c>
      <c r="E407" s="101" t="s">
        <v>548</v>
      </c>
      <c r="F407" s="102">
        <v>67</v>
      </c>
    </row>
    <row r="408" spans="1:7">
      <c r="A408" s="225">
        <v>45573</v>
      </c>
      <c r="B408" s="226" t="str">
        <f>UPPER(TEXT(Tabela14[[#This Row],[DATA]],"MMM"))</f>
        <v>OUT</v>
      </c>
      <c r="C408" s="226" t="s">
        <v>324</v>
      </c>
      <c r="D408" s="178" t="s">
        <v>40</v>
      </c>
      <c r="E408" s="20" t="s">
        <v>552</v>
      </c>
      <c r="F408" s="21">
        <v>6</v>
      </c>
    </row>
    <row r="409" spans="1:7">
      <c r="A409" s="225">
        <v>45573</v>
      </c>
      <c r="B409" s="226" t="str">
        <f>UPPER(TEXT(Tabela14[[#This Row],[DATA]],"MMM"))</f>
        <v>OUT</v>
      </c>
      <c r="C409" s="226"/>
      <c r="D409" s="178" t="s">
        <v>40</v>
      </c>
      <c r="E409" s="101" t="s">
        <v>599</v>
      </c>
      <c r="F409" s="102">
        <v>22.89</v>
      </c>
    </row>
    <row r="410" spans="1:7">
      <c r="A410" s="225">
        <v>45576</v>
      </c>
      <c r="B410" s="226" t="str">
        <f>UPPER(TEXT(Tabela14[[#This Row],[DATA]],"MMM"))</f>
        <v>OUT</v>
      </c>
      <c r="C410" s="226" t="s">
        <v>324</v>
      </c>
      <c r="D410" s="178" t="s">
        <v>40</v>
      </c>
      <c r="E410" s="101" t="s">
        <v>600</v>
      </c>
      <c r="F410" s="102">
        <v>90.08</v>
      </c>
    </row>
    <row r="411" spans="1:7">
      <c r="A411" s="225">
        <v>45577</v>
      </c>
      <c r="B411" s="226" t="str">
        <f>UPPER(TEXT(Tabela14[[#This Row],[DATA]],"MMM"))</f>
        <v>OUT</v>
      </c>
      <c r="C411" s="226" t="s">
        <v>324</v>
      </c>
      <c r="D411" s="178" t="s">
        <v>40</v>
      </c>
      <c r="E411" s="101" t="s">
        <v>601</v>
      </c>
      <c r="F411" s="102">
        <v>34</v>
      </c>
    </row>
    <row r="412" spans="1:7">
      <c r="A412" s="225">
        <v>45577</v>
      </c>
      <c r="B412" s="226" t="str">
        <f>UPPER(TEXT(Tabela14[[#This Row],[DATA]],"MMM"))</f>
        <v>OUT</v>
      </c>
      <c r="C412" s="226" t="s">
        <v>324</v>
      </c>
      <c r="D412" s="178" t="s">
        <v>40</v>
      </c>
      <c r="E412" s="20" t="s">
        <v>520</v>
      </c>
      <c r="F412" s="21">
        <v>54</v>
      </c>
    </row>
    <row r="413" spans="1:7">
      <c r="A413" s="225">
        <v>45583</v>
      </c>
      <c r="B413" s="226" t="str">
        <f>UPPER(TEXT(Tabela14[[#This Row],[DATA]],"MMM"))</f>
        <v>OUT</v>
      </c>
      <c r="C413" s="226" t="s">
        <v>324</v>
      </c>
      <c r="D413" s="178" t="s">
        <v>40</v>
      </c>
      <c r="E413" s="101" t="s">
        <v>602</v>
      </c>
      <c r="F413" s="102">
        <v>14.97</v>
      </c>
    </row>
    <row r="414" spans="1:7">
      <c r="A414" s="225">
        <v>45584</v>
      </c>
      <c r="B414" s="226" t="str">
        <f>UPPER(TEXT(Tabela14[[#This Row],[DATA]],"MMM"))</f>
        <v>OUT</v>
      </c>
      <c r="C414" s="226" t="s">
        <v>324</v>
      </c>
      <c r="D414" s="178" t="s">
        <v>40</v>
      </c>
      <c r="E414" s="20" t="s">
        <v>520</v>
      </c>
      <c r="F414" s="21">
        <v>54</v>
      </c>
    </row>
    <row r="415" spans="1:7">
      <c r="A415" s="225">
        <v>45584</v>
      </c>
      <c r="B415" s="226" t="str">
        <f>UPPER(TEXT(Tabela14[[#This Row],[DATA]],"MMM"))</f>
        <v>OUT</v>
      </c>
      <c r="C415" s="226" t="s">
        <v>324</v>
      </c>
      <c r="D415" s="178" t="s">
        <v>40</v>
      </c>
      <c r="E415" s="101" t="s">
        <v>600</v>
      </c>
      <c r="F415" s="102">
        <v>70.900000000000006</v>
      </c>
    </row>
    <row r="416" spans="1:7">
      <c r="A416" s="225">
        <v>45585</v>
      </c>
      <c r="B416" s="226" t="str">
        <f>UPPER(TEXT(Tabela14[[#This Row],[DATA]],"MMM"))</f>
        <v>OUT</v>
      </c>
      <c r="C416" s="226"/>
      <c r="D416" s="178" t="s">
        <v>40</v>
      </c>
      <c r="E416" s="101" t="s">
        <v>599</v>
      </c>
      <c r="F416" s="102">
        <v>22.88</v>
      </c>
    </row>
    <row r="417" spans="1:6">
      <c r="A417" s="225">
        <v>45585</v>
      </c>
      <c r="B417" s="226" t="str">
        <f>UPPER(TEXT(Tabela14[[#This Row],[DATA]],"MMM"))</f>
        <v>OUT</v>
      </c>
      <c r="C417" s="226" t="s">
        <v>324</v>
      </c>
      <c r="D417" s="178" t="s">
        <v>40</v>
      </c>
      <c r="E417" s="20" t="s">
        <v>603</v>
      </c>
      <c r="F417" s="21">
        <v>35.869999999999997</v>
      </c>
    </row>
    <row r="418" spans="1:6">
      <c r="A418" s="225">
        <v>45586</v>
      </c>
      <c r="B418" s="226" t="str">
        <f>UPPER(TEXT(Tabela14[[#This Row],[DATA]],"MMM"))</f>
        <v>OUT</v>
      </c>
      <c r="C418" s="23" t="s">
        <v>324</v>
      </c>
      <c r="D418" s="178" t="s">
        <v>40</v>
      </c>
      <c r="E418" s="101" t="s">
        <v>552</v>
      </c>
      <c r="F418" s="102">
        <v>22</v>
      </c>
    </row>
    <row r="419" spans="1:6">
      <c r="A419" s="225">
        <v>45589</v>
      </c>
      <c r="B419" s="226" t="str">
        <f>UPPER(TEXT(Tabela14[[#This Row],[DATA]],"MMM"))</f>
        <v>OUT</v>
      </c>
      <c r="C419" s="23" t="s">
        <v>324</v>
      </c>
      <c r="D419" s="178" t="s">
        <v>40</v>
      </c>
      <c r="E419" s="101" t="s">
        <v>552</v>
      </c>
      <c r="F419" s="102">
        <v>8</v>
      </c>
    </row>
    <row r="420" spans="1:6">
      <c r="A420" s="225">
        <v>45591</v>
      </c>
      <c r="B420" s="226" t="str">
        <f>UPPER(TEXT(Tabela14[[#This Row],[DATA]],"MMM"))</f>
        <v>OUT</v>
      </c>
      <c r="C420" s="23"/>
      <c r="D420" s="178" t="s">
        <v>40</v>
      </c>
      <c r="E420" s="20" t="s">
        <v>604</v>
      </c>
      <c r="F420" s="21">
        <v>4.8099999999999996</v>
      </c>
    </row>
    <row r="421" spans="1:6">
      <c r="A421" s="225">
        <v>45591</v>
      </c>
      <c r="B421" s="226" t="str">
        <f>UPPER(TEXT(Tabela14[[#This Row],[DATA]],"MMM"))</f>
        <v>OUT</v>
      </c>
      <c r="C421" s="226"/>
      <c r="D421" s="178" t="s">
        <v>40</v>
      </c>
      <c r="E421" s="20" t="s">
        <v>605</v>
      </c>
      <c r="F421" s="21">
        <v>59.9</v>
      </c>
    </row>
    <row r="422" spans="1:6">
      <c r="A422" s="225">
        <v>45591</v>
      </c>
      <c r="B422" s="226" t="str">
        <f>UPPER(TEXT(Tabela14[[#This Row],[DATA]],"MMM"))</f>
        <v>OUT</v>
      </c>
      <c r="C422" s="226" t="s">
        <v>324</v>
      </c>
      <c r="D422" s="178" t="s">
        <v>40</v>
      </c>
      <c r="E422" s="101" t="s">
        <v>606</v>
      </c>
      <c r="F422" s="102">
        <v>84</v>
      </c>
    </row>
    <row r="423" spans="1:6">
      <c r="A423" s="225">
        <v>45592</v>
      </c>
      <c r="B423" s="226" t="str">
        <f>UPPER(TEXT(Tabela14[[#This Row],[DATA]],"MMM"))</f>
        <v>OUT</v>
      </c>
      <c r="C423" s="23" t="s">
        <v>324</v>
      </c>
      <c r="D423" s="178" t="s">
        <v>40</v>
      </c>
      <c r="E423" s="101" t="s">
        <v>520</v>
      </c>
      <c r="F423" s="102">
        <v>47</v>
      </c>
    </row>
    <row r="424" spans="1:6">
      <c r="A424" s="225">
        <v>45593</v>
      </c>
      <c r="B424" s="226" t="str">
        <f>UPPER(TEXT(Tabela14[[#This Row],[DATA]],"MMM"))</f>
        <v>OUT</v>
      </c>
      <c r="C424" s="226" t="s">
        <v>324</v>
      </c>
      <c r="D424" s="178" t="s">
        <v>40</v>
      </c>
      <c r="E424" s="101" t="s">
        <v>548</v>
      </c>
      <c r="F424" s="102">
        <v>43</v>
      </c>
    </row>
    <row r="425" spans="1:6">
      <c r="A425" s="225">
        <v>45593</v>
      </c>
      <c r="B425" s="226" t="str">
        <f>UPPER(TEXT(Tabela14[[#This Row],[DATA]],"MMM"))</f>
        <v>OUT</v>
      </c>
      <c r="C425" s="226"/>
      <c r="D425" s="178" t="s">
        <v>40</v>
      </c>
      <c r="E425" s="174" t="s">
        <v>438</v>
      </c>
      <c r="F425" s="175">
        <v>70</v>
      </c>
    </row>
    <row r="426" spans="1:6">
      <c r="A426" s="225">
        <v>45594</v>
      </c>
      <c r="B426" s="226" t="str">
        <f>UPPER(TEXT(Tabela14[[#This Row],[DATA]],"MMM"))</f>
        <v>OUT</v>
      </c>
      <c r="C426" s="226" t="s">
        <v>324</v>
      </c>
      <c r="D426" s="178" t="s">
        <v>40</v>
      </c>
      <c r="E426" s="101" t="s">
        <v>552</v>
      </c>
      <c r="F426" s="102">
        <v>16.5</v>
      </c>
    </row>
    <row r="427" spans="1:6">
      <c r="A427" s="225">
        <v>45594</v>
      </c>
      <c r="B427" s="226" t="str">
        <f>UPPER(TEXT(Tabela14[[#This Row],[DATA]],"MMM"))</f>
        <v>OUT</v>
      </c>
      <c r="C427" s="226" t="s">
        <v>324</v>
      </c>
      <c r="D427" s="178" t="s">
        <v>40</v>
      </c>
      <c r="E427" s="101" t="s">
        <v>607</v>
      </c>
      <c r="F427" s="102">
        <v>20.95</v>
      </c>
    </row>
    <row r="428" spans="1:6">
      <c r="A428" s="225">
        <v>45597</v>
      </c>
      <c r="B428" s="226" t="str">
        <f>UPPER(TEXT(Tabela14[[#This Row],[DATA]],"MMM"))</f>
        <v>NOV</v>
      </c>
      <c r="C428" s="226"/>
      <c r="D428" s="178" t="s">
        <v>38</v>
      </c>
      <c r="E428" s="20" t="s">
        <v>39</v>
      </c>
      <c r="F428" s="21">
        <v>2525</v>
      </c>
    </row>
    <row r="429" spans="1:6">
      <c r="A429" s="225">
        <v>45597</v>
      </c>
      <c r="B429" s="226" t="str">
        <f>UPPER(TEXT(Tabela14[[#This Row],[DATA]],"MMM"))</f>
        <v>NOV</v>
      </c>
      <c r="C429" s="226" t="s">
        <v>324</v>
      </c>
      <c r="D429" s="178" t="s">
        <v>40</v>
      </c>
      <c r="E429" s="50" t="s">
        <v>413</v>
      </c>
      <c r="F429" s="112">
        <v>5.95</v>
      </c>
    </row>
    <row r="430" spans="1:6">
      <c r="A430" s="225">
        <v>45597</v>
      </c>
      <c r="B430" s="226" t="str">
        <f>UPPER(TEXT(Tabela14[[#This Row],[DATA]],"MMM"))</f>
        <v>NOV</v>
      </c>
      <c r="C430" s="226"/>
      <c r="D430" s="178" t="s">
        <v>40</v>
      </c>
      <c r="E430" s="156" t="s">
        <v>608</v>
      </c>
      <c r="F430" s="157">
        <f>16.98+12</f>
        <v>28.98</v>
      </c>
    </row>
    <row r="431" spans="1:6" ht="27">
      <c r="A431" s="225">
        <v>45597</v>
      </c>
      <c r="B431" s="226" t="str">
        <f>UPPER(TEXT(Tabela14[[#This Row],[DATA]],"MMM"))</f>
        <v>NOV</v>
      </c>
      <c r="C431" s="23"/>
      <c r="D431" s="178" t="s">
        <v>40</v>
      </c>
      <c r="E431" s="230" t="s">
        <v>594</v>
      </c>
      <c r="F431" s="112">
        <f>(25.9+19.9+43.9)/3</f>
        <v>29.899999999999995</v>
      </c>
    </row>
    <row r="432" spans="1:6" ht="27">
      <c r="A432" s="225">
        <v>45597</v>
      </c>
      <c r="B432" s="226" t="str">
        <f>UPPER(TEXT(Tabela14[[#This Row],[DATA]],"MMM"))</f>
        <v>NOV</v>
      </c>
      <c r="C432" s="226"/>
      <c r="D432" s="178" t="s">
        <v>40</v>
      </c>
      <c r="E432" s="229" t="s">
        <v>609</v>
      </c>
      <c r="F432" s="181">
        <f>113.88/3</f>
        <v>37.96</v>
      </c>
    </row>
    <row r="433" spans="1:6" ht="27">
      <c r="A433" s="225">
        <v>45597</v>
      </c>
      <c r="B433" s="226" t="str">
        <f>UPPER(TEXT(Tabela14[[#This Row],[DATA]],"MMM"))</f>
        <v>NOV</v>
      </c>
      <c r="C433" s="23"/>
      <c r="D433" s="178" t="s">
        <v>40</v>
      </c>
      <c r="E433" s="259" t="s">
        <v>351</v>
      </c>
      <c r="F433" s="112">
        <f>172.57/3</f>
        <v>57.523333333333333</v>
      </c>
    </row>
    <row r="434" spans="1:6">
      <c r="A434" s="225">
        <v>45597</v>
      </c>
      <c r="B434" s="226" t="str">
        <f>UPPER(TEXT(Tabela14[[#This Row],[DATA]],"MMM"))</f>
        <v>NOV</v>
      </c>
      <c r="C434" s="23"/>
      <c r="D434" s="178" t="s">
        <v>40</v>
      </c>
      <c r="E434" s="7" t="s">
        <v>142</v>
      </c>
      <c r="F434" s="113">
        <v>63.99</v>
      </c>
    </row>
    <row r="435" spans="1:6">
      <c r="A435" s="225">
        <v>45597</v>
      </c>
      <c r="B435" s="226" t="str">
        <f>UPPER(TEXT(Tabela14[[#This Row],[DATA]],"MMM"))</f>
        <v>NOV</v>
      </c>
      <c r="C435" s="226"/>
      <c r="D435" s="178" t="s">
        <v>40</v>
      </c>
      <c r="E435" s="7" t="s">
        <v>123</v>
      </c>
      <c r="F435" s="113">
        <v>78</v>
      </c>
    </row>
    <row r="436" spans="1:6" ht="27">
      <c r="A436" s="225">
        <v>45597</v>
      </c>
      <c r="B436" s="226" t="str">
        <f>UPPER(TEXT(Tabela14[[#This Row],[DATA]],"MMM"))</f>
        <v>NOV</v>
      </c>
      <c r="C436" s="226"/>
      <c r="D436" s="178" t="s">
        <v>40</v>
      </c>
      <c r="E436" s="258" t="s">
        <v>610</v>
      </c>
      <c r="F436" s="141">
        <f>244.61/3</f>
        <v>81.536666666666676</v>
      </c>
    </row>
    <row r="437" spans="1:6">
      <c r="A437" s="225">
        <v>45597</v>
      </c>
      <c r="B437" s="226" t="str">
        <f>UPPER(TEXT(Tabela14[[#This Row],[DATA]],"MMM"))</f>
        <v>NOV</v>
      </c>
      <c r="C437" s="23"/>
      <c r="D437" s="178" t="s">
        <v>40</v>
      </c>
      <c r="E437" s="233" t="s">
        <v>611</v>
      </c>
      <c r="F437" s="234">
        <v>150</v>
      </c>
    </row>
    <row r="438" spans="1:6" ht="27">
      <c r="A438" s="225">
        <v>45597</v>
      </c>
      <c r="B438" s="226" t="str">
        <f>UPPER(TEXT(Tabela14[[#This Row],[DATA]],"MMM"))</f>
        <v>NOV</v>
      </c>
      <c r="C438" s="226"/>
      <c r="D438" s="178" t="s">
        <v>40</v>
      </c>
      <c r="E438" s="228" t="s">
        <v>517</v>
      </c>
      <c r="F438" s="112">
        <f>470/3</f>
        <v>156.66666666666666</v>
      </c>
    </row>
    <row r="439" spans="1:6">
      <c r="A439" s="225">
        <v>45598</v>
      </c>
      <c r="B439" s="226" t="str">
        <f>UPPER(TEXT(Tabela14[[#This Row],[DATA]],"MMM"))</f>
        <v>NOV</v>
      </c>
      <c r="C439" s="226"/>
      <c r="D439" s="178" t="s">
        <v>40</v>
      </c>
      <c r="E439" s="20" t="s">
        <v>612</v>
      </c>
      <c r="F439" s="21">
        <v>13</v>
      </c>
    </row>
    <row r="440" spans="1:6">
      <c r="A440" s="225">
        <v>45598</v>
      </c>
      <c r="B440" s="226" t="str">
        <f>UPPER(TEXT(Tabela14[[#This Row],[DATA]],"MMM"))</f>
        <v>NOV</v>
      </c>
      <c r="C440" s="226" t="s">
        <v>324</v>
      </c>
      <c r="D440" s="178" t="s">
        <v>40</v>
      </c>
      <c r="E440" s="24" t="s">
        <v>613</v>
      </c>
      <c r="F440" s="25">
        <v>49.98</v>
      </c>
    </row>
    <row r="441" spans="1:6">
      <c r="A441" s="225">
        <v>45598</v>
      </c>
      <c r="B441" s="226" t="str">
        <f>UPPER(TEXT(Tabela14[[#This Row],[DATA]],"MMM"))</f>
        <v>NOV</v>
      </c>
      <c r="C441" s="226" t="s">
        <v>324</v>
      </c>
      <c r="D441" s="178" t="s">
        <v>40</v>
      </c>
      <c r="E441" s="24" t="s">
        <v>614</v>
      </c>
      <c r="F441" s="25">
        <f>(18.5*2)+((38*2)/6*2)</f>
        <v>62.333333333333329</v>
      </c>
    </row>
    <row r="442" spans="1:6">
      <c r="A442" s="225">
        <v>45598</v>
      </c>
      <c r="B442" s="226" t="str">
        <f>UPPER(TEXT(Tabela14[[#This Row],[DATA]],"MMM"))</f>
        <v>NOV</v>
      </c>
      <c r="C442" s="226" t="s">
        <v>324</v>
      </c>
      <c r="D442" s="178" t="s">
        <v>40</v>
      </c>
      <c r="E442" s="37" t="s">
        <v>615</v>
      </c>
      <c r="F442" s="38">
        <v>78.8</v>
      </c>
    </row>
    <row r="443" spans="1:6">
      <c r="A443" s="225">
        <v>45599</v>
      </c>
      <c r="B443" s="226" t="str">
        <f>UPPER(TEXT(Tabela14[[#This Row],[DATA]],"MMM"))</f>
        <v>NOV</v>
      </c>
      <c r="C443" s="23"/>
      <c r="D443" s="178" t="s">
        <v>40</v>
      </c>
      <c r="E443" s="257" t="s">
        <v>149</v>
      </c>
      <c r="F443" s="193">
        <v>50</v>
      </c>
    </row>
    <row r="444" spans="1:6">
      <c r="A444" s="225">
        <v>45601</v>
      </c>
      <c r="B444" s="226" t="str">
        <f>UPPER(TEXT(Tabela14[[#This Row],[DATA]],"MMM"))</f>
        <v>NOV</v>
      </c>
      <c r="C444" s="23" t="s">
        <v>324</v>
      </c>
      <c r="D444" s="178" t="s">
        <v>40</v>
      </c>
      <c r="E444" s="101" t="s">
        <v>616</v>
      </c>
      <c r="F444" s="102">
        <v>61.8</v>
      </c>
    </row>
    <row r="445" spans="1:6" ht="27">
      <c r="A445" s="225">
        <v>45604</v>
      </c>
      <c r="B445" s="226" t="str">
        <f>UPPER(TEXT(Tabela14[[#This Row],[DATA]],"MMM"))</f>
        <v>NOV</v>
      </c>
      <c r="C445" s="226" t="s">
        <v>324</v>
      </c>
      <c r="D445" s="178" t="s">
        <v>40</v>
      </c>
      <c r="E445" s="37" t="s">
        <v>552</v>
      </c>
      <c r="F445" s="100">
        <v>7.5</v>
      </c>
    </row>
    <row r="446" spans="1:6">
      <c r="A446" s="225">
        <v>45604</v>
      </c>
      <c r="B446" s="226" t="str">
        <f>UPPER(TEXT(Tabela14[[#This Row],[DATA]],"MMM"))</f>
        <v>NOV</v>
      </c>
      <c r="C446" s="23" t="s">
        <v>324</v>
      </c>
      <c r="D446" s="178" t="s">
        <v>40</v>
      </c>
      <c r="E446" s="20" t="s">
        <v>617</v>
      </c>
      <c r="F446" s="21">
        <v>67</v>
      </c>
    </row>
    <row r="447" spans="1:6" ht="27">
      <c r="A447" s="225">
        <v>45606</v>
      </c>
      <c r="B447" s="226" t="str">
        <f>UPPER(TEXT(Tabela14[[#This Row],[DATA]],"MMM"))</f>
        <v>NOV</v>
      </c>
      <c r="C447" s="23" t="s">
        <v>324</v>
      </c>
      <c r="D447" s="178" t="s">
        <v>40</v>
      </c>
      <c r="E447" s="101" t="s">
        <v>618</v>
      </c>
      <c r="F447" s="104">
        <v>141</v>
      </c>
    </row>
    <row r="448" spans="1:6" ht="27">
      <c r="A448" s="225">
        <v>45607</v>
      </c>
      <c r="B448" s="226" t="str">
        <f>UPPER(TEXT(Tabela14[[#This Row],[DATA]],"MMM"))</f>
        <v>NOV</v>
      </c>
      <c r="C448" s="23"/>
      <c r="D448" s="178" t="s">
        <v>40</v>
      </c>
      <c r="E448" s="103" t="s">
        <v>454</v>
      </c>
      <c r="F448" s="104">
        <v>45</v>
      </c>
    </row>
    <row r="449" spans="1:6" ht="27">
      <c r="A449" s="225">
        <v>45608</v>
      </c>
      <c r="B449" s="226" t="str">
        <f>UPPER(TEXT(Tabela14[[#This Row],[DATA]],"MMM"))</f>
        <v>NOV</v>
      </c>
      <c r="C449" s="226" t="s">
        <v>324</v>
      </c>
      <c r="D449" s="178" t="s">
        <v>40</v>
      </c>
      <c r="E449" s="101" t="s">
        <v>552</v>
      </c>
      <c r="F449" s="104">
        <v>26</v>
      </c>
    </row>
    <row r="450" spans="1:6">
      <c r="A450" s="225">
        <v>45609</v>
      </c>
      <c r="B450" s="226" t="str">
        <f>UPPER(TEXT(Tabela14[[#This Row],[DATA]],"MMM"))</f>
        <v>NOV</v>
      </c>
      <c r="C450" s="226"/>
      <c r="D450" s="178" t="s">
        <v>40</v>
      </c>
      <c r="E450" s="174" t="s">
        <v>438</v>
      </c>
      <c r="F450" s="175">
        <v>67.64</v>
      </c>
    </row>
    <row r="451" spans="1:6" ht="27">
      <c r="A451" s="225">
        <v>45611</v>
      </c>
      <c r="B451" s="226" t="str">
        <f>UPPER(TEXT(Tabela14[[#This Row],[DATA]],"MMM"))</f>
        <v>NOV</v>
      </c>
      <c r="C451" s="226" t="s">
        <v>324</v>
      </c>
      <c r="D451" s="178" t="s">
        <v>40</v>
      </c>
      <c r="E451" s="101" t="s">
        <v>619</v>
      </c>
      <c r="F451" s="104">
        <v>84.37</v>
      </c>
    </row>
    <row r="452" spans="1:6" ht="27">
      <c r="A452" s="225">
        <v>45612</v>
      </c>
      <c r="B452" s="226" t="str">
        <f>UPPER(TEXT(Tabela14[[#This Row],[DATA]],"MMM"))</f>
        <v>NOV</v>
      </c>
      <c r="C452" s="226" t="s">
        <v>324</v>
      </c>
      <c r="D452" s="178" t="s">
        <v>40</v>
      </c>
      <c r="E452" s="101" t="s">
        <v>411</v>
      </c>
      <c r="F452" s="104">
        <f>177.98-23</f>
        <v>154.97999999999999</v>
      </c>
    </row>
    <row r="453" spans="1:6" ht="27">
      <c r="A453" s="225">
        <v>45615</v>
      </c>
      <c r="B453" s="226" t="str">
        <f>UPPER(TEXT(Tabela14[[#This Row],[DATA]],"MMM"))</f>
        <v>NOV</v>
      </c>
      <c r="C453" s="226" t="s">
        <v>324</v>
      </c>
      <c r="D453" s="178" t="s">
        <v>40</v>
      </c>
      <c r="E453" s="101" t="s">
        <v>552</v>
      </c>
      <c r="F453" s="104">
        <v>12</v>
      </c>
    </row>
    <row r="454" spans="1:6" ht="27">
      <c r="A454" s="225">
        <v>45616</v>
      </c>
      <c r="B454" s="226" t="str">
        <f>UPPER(TEXT(Tabela14[[#This Row],[DATA]],"MMM"))</f>
        <v>NOV</v>
      </c>
      <c r="C454" s="23" t="s">
        <v>324</v>
      </c>
      <c r="D454" s="178" t="s">
        <v>40</v>
      </c>
      <c r="E454" s="101" t="s">
        <v>620</v>
      </c>
      <c r="F454" s="104">
        <v>30.55</v>
      </c>
    </row>
    <row r="455" spans="1:6" ht="27">
      <c r="A455" s="225">
        <v>45617</v>
      </c>
      <c r="B455" s="226" t="str">
        <f>UPPER(TEXT(Tabela14[[#This Row],[DATA]],"MMM"))</f>
        <v>NOV</v>
      </c>
      <c r="C455" s="226"/>
      <c r="D455" s="178" t="s">
        <v>38</v>
      </c>
      <c r="E455" s="92" t="s">
        <v>211</v>
      </c>
      <c r="F455" s="235">
        <v>1354</v>
      </c>
    </row>
    <row r="456" spans="1:6">
      <c r="A456" s="225">
        <v>45618</v>
      </c>
      <c r="B456" s="226" t="str">
        <f>UPPER(TEXT(Tabela14[[#This Row],[DATA]],"MMM"))</f>
        <v>NOV</v>
      </c>
      <c r="C456" s="226"/>
      <c r="D456" s="178" t="s">
        <v>40</v>
      </c>
      <c r="E456" s="257" t="s">
        <v>149</v>
      </c>
      <c r="F456" s="193">
        <v>50</v>
      </c>
    </row>
    <row r="457" spans="1:6" ht="27">
      <c r="A457" s="225">
        <v>45618</v>
      </c>
      <c r="B457" s="226" t="str">
        <f>UPPER(TEXT(Tabela14[[#This Row],[DATA]],"MMM"))</f>
        <v>NOV</v>
      </c>
      <c r="C457" s="226"/>
      <c r="D457" s="178" t="s">
        <v>40</v>
      </c>
      <c r="E457" s="266" t="s">
        <v>621</v>
      </c>
      <c r="F457" s="267">
        <v>2463.12</v>
      </c>
    </row>
    <row r="458" spans="1:6">
      <c r="A458" s="225">
        <v>45620</v>
      </c>
      <c r="B458" s="226" t="str">
        <f>UPPER(TEXT(Tabela14[[#This Row],[DATA]],"MMM"))</f>
        <v>NOV</v>
      </c>
      <c r="C458" s="226"/>
      <c r="D458" s="178" t="s">
        <v>40</v>
      </c>
      <c r="E458" s="20" t="s">
        <v>622</v>
      </c>
      <c r="F458" s="21">
        <v>20.23</v>
      </c>
    </row>
    <row r="459" spans="1:6">
      <c r="A459" s="225">
        <v>45620</v>
      </c>
      <c r="B459" s="226" t="str">
        <f>UPPER(TEXT(Tabela14[[#This Row],[DATA]],"MMM"))</f>
        <v>NOV</v>
      </c>
      <c r="C459" s="226"/>
      <c r="D459" s="178" t="s">
        <v>40</v>
      </c>
      <c r="E459" s="20" t="s">
        <v>623</v>
      </c>
      <c r="F459" s="21">
        <v>22.9</v>
      </c>
    </row>
    <row r="460" spans="1:6">
      <c r="A460" s="225">
        <v>45620</v>
      </c>
      <c r="B460" s="226" t="str">
        <f>UPPER(TEXT(Tabela14[[#This Row],[DATA]],"MMM"))</f>
        <v>NOV</v>
      </c>
      <c r="C460" s="226"/>
      <c r="D460" s="178" t="s">
        <v>40</v>
      </c>
      <c r="E460" s="20" t="s">
        <v>624</v>
      </c>
      <c r="F460" s="21">
        <v>29.9</v>
      </c>
    </row>
    <row r="461" spans="1:6">
      <c r="A461" s="225">
        <v>45620</v>
      </c>
      <c r="B461" s="226" t="str">
        <f>UPPER(TEXT(Tabela14[[#This Row],[DATA]],"MMM"))</f>
        <v>NOV</v>
      </c>
      <c r="C461" s="226"/>
      <c r="D461" s="178" t="s">
        <v>40</v>
      </c>
      <c r="E461" s="101" t="s">
        <v>625</v>
      </c>
      <c r="F461" s="102">
        <v>49.99</v>
      </c>
    </row>
    <row r="462" spans="1:6">
      <c r="A462" s="225">
        <v>45620</v>
      </c>
      <c r="B462" s="226" t="str">
        <f>UPPER(TEXT(Tabela14[[#This Row],[DATA]],"MMM"))</f>
        <v>NOV</v>
      </c>
      <c r="C462" s="226"/>
      <c r="D462" s="178" t="s">
        <v>40</v>
      </c>
      <c r="E462" s="20" t="s">
        <v>626</v>
      </c>
      <c r="F462" s="21">
        <v>51.9</v>
      </c>
    </row>
    <row r="463" spans="1:6" ht="27">
      <c r="A463" s="225">
        <v>45621</v>
      </c>
      <c r="B463" s="226" t="str">
        <f>UPPER(TEXT(Tabela14[[#This Row],[DATA]],"MMM"))</f>
        <v>NOV</v>
      </c>
      <c r="C463" s="226"/>
      <c r="D463" s="178" t="s">
        <v>40</v>
      </c>
      <c r="E463" s="101" t="s">
        <v>627</v>
      </c>
      <c r="F463" s="104">
        <v>340</v>
      </c>
    </row>
    <row r="464" spans="1:6" ht="27">
      <c r="A464" s="225">
        <v>45622</v>
      </c>
      <c r="B464" s="226" t="str">
        <f>UPPER(TEXT(Tabela14[[#This Row],[DATA]],"MMM"))</f>
        <v>NOV</v>
      </c>
      <c r="C464" s="23" t="s">
        <v>324</v>
      </c>
      <c r="D464" s="178" t="s">
        <v>40</v>
      </c>
      <c r="E464" s="101" t="s">
        <v>552</v>
      </c>
      <c r="F464" s="104">
        <v>12</v>
      </c>
    </row>
    <row r="465" spans="1:52">
      <c r="A465" s="225">
        <v>45626</v>
      </c>
      <c r="B465" s="226" t="str">
        <f>UPPER(TEXT(Tabela14[[#This Row],[DATA]],"MMM"))</f>
        <v>NOV</v>
      </c>
      <c r="C465" s="226" t="s">
        <v>324</v>
      </c>
      <c r="D465" s="178" t="s">
        <v>40</v>
      </c>
      <c r="E465" s="20" t="s">
        <v>628</v>
      </c>
      <c r="F465" s="21">
        <v>50</v>
      </c>
    </row>
    <row r="466" spans="1:52">
      <c r="A466" s="225">
        <v>45626</v>
      </c>
      <c r="B466" s="226" t="str">
        <f>UPPER(TEXT(Tabela14[[#This Row],[DATA]],"MMM"))</f>
        <v>NOV</v>
      </c>
      <c r="C466" s="226" t="s">
        <v>324</v>
      </c>
      <c r="D466" s="178" t="s">
        <v>40</v>
      </c>
      <c r="E466" s="20" t="s">
        <v>629</v>
      </c>
      <c r="F466" s="21">
        <v>60</v>
      </c>
    </row>
    <row r="467" spans="1:52" ht="27">
      <c r="A467" s="225">
        <v>45626</v>
      </c>
      <c r="B467" s="226" t="str">
        <f>UPPER(TEXT(Tabela14[[#This Row],[DATA]],"MMM"))</f>
        <v>NOV</v>
      </c>
      <c r="C467" s="226" t="s">
        <v>324</v>
      </c>
      <c r="D467" s="178" t="s">
        <v>40</v>
      </c>
      <c r="E467" s="20" t="s">
        <v>600</v>
      </c>
      <c r="F467" s="56">
        <v>82.02</v>
      </c>
    </row>
    <row r="468" spans="1:52">
      <c r="A468" s="225">
        <v>45627</v>
      </c>
      <c r="B468" s="226" t="str">
        <f>UPPER(TEXT(Tabela14[[#This Row],[DATA]],"MMM"))</f>
        <v>DEZ</v>
      </c>
      <c r="C468" s="226"/>
      <c r="D468" s="240" t="s">
        <v>38</v>
      </c>
      <c r="E468" s="20" t="s">
        <v>39</v>
      </c>
      <c r="F468" s="21">
        <v>2779</v>
      </c>
    </row>
    <row r="469" spans="1:52" ht="27">
      <c r="A469" s="225">
        <v>45627</v>
      </c>
      <c r="B469" s="226" t="str">
        <f>UPPER(TEXT(Tabela14[[#This Row],[DATA]],"MMM"))</f>
        <v>DEZ</v>
      </c>
      <c r="C469" s="226"/>
      <c r="D469" s="240" t="s">
        <v>38</v>
      </c>
      <c r="E469" s="305" t="s">
        <v>630</v>
      </c>
      <c r="F469" s="155">
        <v>288.45</v>
      </c>
    </row>
    <row r="470" spans="1:52">
      <c r="A470" s="225">
        <v>45627</v>
      </c>
      <c r="B470" s="226" t="str">
        <f>UPPER(TEXT(Tabela14[[#This Row],[DATA]],"MMM"))</f>
        <v>DEZ</v>
      </c>
      <c r="C470" s="23" t="s">
        <v>324</v>
      </c>
      <c r="D470" s="240" t="s">
        <v>40</v>
      </c>
      <c r="E470" s="50" t="s">
        <v>413</v>
      </c>
      <c r="F470" s="112">
        <v>5.95</v>
      </c>
    </row>
    <row r="471" spans="1:52">
      <c r="A471" s="225">
        <v>45627</v>
      </c>
      <c r="B471" s="226" t="str">
        <f>UPPER(TEXT(Tabela14[[#This Row],[DATA]],"MMM"))</f>
        <v>DEZ</v>
      </c>
      <c r="C471" s="226"/>
      <c r="D471" s="240" t="s">
        <v>40</v>
      </c>
      <c r="E471" s="156" t="s">
        <v>608</v>
      </c>
      <c r="F471" s="157">
        <f>16.98+12</f>
        <v>28.98</v>
      </c>
    </row>
    <row r="472" spans="1:52" ht="81">
      <c r="A472" s="269">
        <v>45627</v>
      </c>
      <c r="B472" s="270" t="str">
        <f>UPPER(TEXT(Tabela14[[#This Row],[DATA]],"MMM"))</f>
        <v>DEZ</v>
      </c>
      <c r="C472" s="295"/>
      <c r="D472" s="271" t="s">
        <v>40</v>
      </c>
      <c r="E472" s="272" t="s">
        <v>594</v>
      </c>
      <c r="F472" s="273">
        <f>(25.9+19.9+43.9)/3</f>
        <v>29.899999999999995</v>
      </c>
    </row>
    <row r="473" spans="1:52" ht="79.2">
      <c r="A473" s="269">
        <v>45627</v>
      </c>
      <c r="B473" s="270" t="str">
        <f>UPPER(TEXT(Tabela14[[#This Row],[DATA]],"MMM"))</f>
        <v>DEZ</v>
      </c>
      <c r="C473" s="270"/>
      <c r="D473" s="271" t="s">
        <v>40</v>
      </c>
      <c r="E473" s="276" t="s">
        <v>631</v>
      </c>
      <c r="F473" s="273">
        <f>(16.9*6)/3</f>
        <v>33.799999999999997</v>
      </c>
    </row>
    <row r="474" spans="1:52">
      <c r="A474" s="225">
        <v>45627</v>
      </c>
      <c r="B474" s="226" t="str">
        <f>UPPER(TEXT(Tabela14[[#This Row],[DATA]],"MMM"))</f>
        <v>DEZ</v>
      </c>
      <c r="C474" s="226"/>
      <c r="D474" s="240" t="s">
        <v>40</v>
      </c>
      <c r="E474" s="306" t="s">
        <v>632</v>
      </c>
      <c r="F474" s="268">
        <v>45.5</v>
      </c>
    </row>
    <row r="475" spans="1:52" ht="27">
      <c r="A475" s="225">
        <v>45627</v>
      </c>
      <c r="B475" s="226" t="str">
        <f>UPPER(TEXT(Tabela14[[#This Row],[DATA]],"MMM"))</f>
        <v>DEZ</v>
      </c>
      <c r="C475" s="226"/>
      <c r="D475" s="240" t="s">
        <v>40</v>
      </c>
      <c r="E475" s="259" t="s">
        <v>351</v>
      </c>
      <c r="F475" s="261">
        <f>188.7/3</f>
        <v>62.9</v>
      </c>
    </row>
    <row r="476" spans="1:52">
      <c r="A476" s="225">
        <v>45627</v>
      </c>
      <c r="B476" s="226" t="str">
        <f>UPPER(TEXT(Tabela14[[#This Row],[DATA]],"MMM"))</f>
        <v>DEZ</v>
      </c>
      <c r="C476" s="226"/>
      <c r="D476" s="240" t="s">
        <v>40</v>
      </c>
      <c r="E476" s="7" t="s">
        <v>142</v>
      </c>
      <c r="F476" s="113">
        <v>63.99</v>
      </c>
    </row>
    <row r="477" spans="1:52" ht="27">
      <c r="A477" s="225">
        <v>45627</v>
      </c>
      <c r="B477" s="226" t="str">
        <f>UPPER(TEXT(Tabela14[[#This Row],[DATA]],"MMM"))</f>
        <v>DEZ</v>
      </c>
      <c r="C477" s="226"/>
      <c r="D477" s="240" t="s">
        <v>40</v>
      </c>
      <c r="E477" s="258" t="s">
        <v>633</v>
      </c>
      <c r="F477" s="141">
        <f>242.89/3</f>
        <v>80.963333333333324</v>
      </c>
    </row>
    <row r="478" spans="1:52">
      <c r="A478" s="225">
        <v>45627</v>
      </c>
      <c r="B478" s="226" t="str">
        <f>UPPER(TEXT(Tabela14[[#This Row],[DATA]],"MMM"))</f>
        <v>DEZ</v>
      </c>
      <c r="C478" s="23"/>
      <c r="D478" s="240" t="s">
        <v>40</v>
      </c>
      <c r="E478" s="301" t="s">
        <v>611</v>
      </c>
      <c r="F478" s="113">
        <v>150</v>
      </c>
    </row>
    <row r="479" spans="1:52" ht="27">
      <c r="A479" s="225">
        <v>45627</v>
      </c>
      <c r="B479" s="226" t="str">
        <f>UPPER(TEXT(Tabela14[[#This Row],[DATA]],"MMM"))</f>
        <v>DEZ</v>
      </c>
      <c r="C479" s="226"/>
      <c r="D479" s="240" t="s">
        <v>40</v>
      </c>
      <c r="E479" s="228" t="s">
        <v>517</v>
      </c>
      <c r="F479" s="112">
        <f>470/3</f>
        <v>156.66666666666666</v>
      </c>
    </row>
    <row r="480" spans="1:52" s="275" customFormat="1" ht="27">
      <c r="A480" s="225">
        <v>45627</v>
      </c>
      <c r="B480" s="226" t="str">
        <f>UPPER(TEXT(Tabela14[[#This Row],[DATA]],"MMM"))</f>
        <v>DEZ</v>
      </c>
      <c r="C480" s="226"/>
      <c r="D480" s="240" t="s">
        <v>40</v>
      </c>
      <c r="E480" s="258" t="s">
        <v>634</v>
      </c>
      <c r="F480" s="181">
        <f>509.84/3</f>
        <v>169.94666666666666</v>
      </c>
      <c r="G480" s="274"/>
      <c r="H480" s="274"/>
      <c r="I480" s="274"/>
      <c r="J480" s="274"/>
      <c r="K480" s="274"/>
      <c r="L480" s="274"/>
      <c r="M480" s="274"/>
      <c r="N480" s="274"/>
      <c r="O480" s="274"/>
      <c r="P480" s="274"/>
      <c r="Q480" s="274"/>
      <c r="R480" s="274"/>
      <c r="S480" s="274"/>
      <c r="T480" s="274"/>
      <c r="U480" s="274"/>
      <c r="V480" s="274"/>
      <c r="W480" s="274"/>
      <c r="X480" s="274"/>
      <c r="Y480" s="274"/>
      <c r="Z480" s="274"/>
      <c r="AA480" s="274"/>
      <c r="AB480" s="274"/>
      <c r="AC480" s="274"/>
      <c r="AD480" s="274"/>
      <c r="AE480" s="274"/>
      <c r="AF480" s="274"/>
      <c r="AG480" s="274"/>
      <c r="AH480" s="274"/>
      <c r="AI480" s="274"/>
      <c r="AJ480" s="274"/>
      <c r="AK480" s="274"/>
      <c r="AL480" s="274"/>
      <c r="AM480" s="274"/>
      <c r="AN480" s="274"/>
      <c r="AO480" s="274"/>
      <c r="AP480" s="274"/>
      <c r="AQ480" s="274"/>
      <c r="AR480" s="274"/>
      <c r="AS480" s="274"/>
      <c r="AT480" s="274"/>
      <c r="AU480" s="274"/>
      <c r="AV480" s="274"/>
      <c r="AW480" s="274"/>
      <c r="AX480" s="274"/>
      <c r="AY480" s="274"/>
      <c r="AZ480" s="274"/>
    </row>
    <row r="481" spans="1:52" s="275" customFormat="1" ht="31.5" customHeight="1">
      <c r="A481" s="225">
        <v>45627</v>
      </c>
      <c r="B481" s="226" t="str">
        <f>UPPER(TEXT(Tabela14[[#This Row],[DATA]],"MMM"))</f>
        <v>DEZ</v>
      </c>
      <c r="C481" s="226"/>
      <c r="D481" s="240" t="s">
        <v>40</v>
      </c>
      <c r="E481" s="103" t="s">
        <v>635</v>
      </c>
      <c r="F481" s="104">
        <v>177.99</v>
      </c>
      <c r="G481" s="274"/>
      <c r="H481" s="274"/>
      <c r="I481" s="274"/>
      <c r="J481" s="274"/>
      <c r="K481" s="274"/>
      <c r="L481" s="274"/>
      <c r="M481" s="274"/>
      <c r="N481" s="274"/>
      <c r="O481" s="274"/>
      <c r="P481" s="274"/>
      <c r="Q481" s="274"/>
      <c r="R481" s="274"/>
      <c r="S481" s="274"/>
      <c r="T481" s="274"/>
      <c r="U481" s="274"/>
      <c r="V481" s="274"/>
      <c r="W481" s="274"/>
      <c r="X481" s="274"/>
      <c r="Y481" s="274"/>
      <c r="Z481" s="274"/>
      <c r="AA481" s="274"/>
      <c r="AB481" s="274"/>
      <c r="AC481" s="274"/>
      <c r="AD481" s="274"/>
      <c r="AE481" s="274"/>
      <c r="AF481" s="274"/>
      <c r="AG481" s="274"/>
      <c r="AH481" s="274"/>
      <c r="AI481" s="274"/>
      <c r="AJ481" s="274"/>
      <c r="AK481" s="274"/>
      <c r="AL481" s="274"/>
      <c r="AM481" s="274"/>
      <c r="AN481" s="274"/>
      <c r="AO481" s="274"/>
      <c r="AP481" s="274"/>
      <c r="AQ481" s="274"/>
      <c r="AR481" s="274"/>
      <c r="AS481" s="274"/>
      <c r="AT481" s="274"/>
      <c r="AU481" s="274"/>
      <c r="AV481" s="274"/>
      <c r="AW481" s="274"/>
      <c r="AX481" s="274"/>
      <c r="AY481" s="274"/>
      <c r="AZ481" s="274"/>
    </row>
    <row r="482" spans="1:52" s="275" customFormat="1">
      <c r="A482" s="225">
        <v>45627</v>
      </c>
      <c r="B482" s="226" t="str">
        <f>UPPER(TEXT(Tabela14[[#This Row],[DATA]],"MMM"))</f>
        <v>DEZ</v>
      </c>
      <c r="C482" s="23"/>
      <c r="D482" s="240" t="s">
        <v>40</v>
      </c>
      <c r="E482" s="7" t="s">
        <v>636</v>
      </c>
      <c r="F482" s="113">
        <v>900</v>
      </c>
      <c r="G482" s="274"/>
      <c r="H482" s="274"/>
      <c r="I482" s="274"/>
      <c r="J482" s="274"/>
      <c r="K482" s="274"/>
      <c r="L482" s="274"/>
      <c r="M482" s="274"/>
      <c r="N482" s="274"/>
      <c r="O482" s="274"/>
      <c r="P482" s="274"/>
      <c r="Q482" s="274"/>
      <c r="R482" s="274"/>
      <c r="S482" s="274"/>
      <c r="T482" s="274"/>
      <c r="U482" s="274"/>
      <c r="V482" s="274"/>
      <c r="W482" s="274"/>
      <c r="X482" s="274"/>
      <c r="Y482" s="274"/>
      <c r="Z482" s="274"/>
      <c r="AA482" s="274"/>
      <c r="AB482" s="274"/>
      <c r="AC482" s="274"/>
      <c r="AD482" s="274"/>
      <c r="AE482" s="274"/>
      <c r="AF482" s="274"/>
      <c r="AG482" s="274"/>
      <c r="AH482" s="274"/>
      <c r="AI482" s="274"/>
      <c r="AJ482" s="274"/>
      <c r="AK482" s="274"/>
      <c r="AL482" s="274"/>
      <c r="AM482" s="274"/>
      <c r="AN482" s="274"/>
      <c r="AO482" s="274"/>
      <c r="AP482" s="274"/>
      <c r="AQ482" s="274"/>
      <c r="AR482" s="274"/>
      <c r="AS482" s="274"/>
      <c r="AT482" s="274"/>
      <c r="AU482" s="274"/>
      <c r="AV482" s="274"/>
      <c r="AW482" s="274"/>
      <c r="AX482" s="274"/>
      <c r="AY482" s="274"/>
      <c r="AZ482" s="274"/>
    </row>
    <row r="483" spans="1:52" ht="27">
      <c r="A483" s="225">
        <v>45627</v>
      </c>
      <c r="B483" s="226" t="str">
        <f>UPPER(TEXT(Tabela14[[#This Row],[DATA]],"MMM"))</f>
        <v>DEZ</v>
      </c>
      <c r="C483" s="226"/>
      <c r="D483" s="240" t="s">
        <v>38</v>
      </c>
      <c r="E483" s="92" t="s">
        <v>243</v>
      </c>
      <c r="F483" s="235"/>
    </row>
    <row r="484" spans="1:52" ht="27">
      <c r="A484" s="225">
        <v>45628</v>
      </c>
      <c r="B484" s="226" t="str">
        <f>UPPER(TEXT(Tabela14[[#This Row],[DATA]],"MMM"))</f>
        <v>DEZ</v>
      </c>
      <c r="C484" s="23"/>
      <c r="D484" s="240" t="s">
        <v>40</v>
      </c>
      <c r="E484" s="20" t="s">
        <v>216</v>
      </c>
      <c r="F484" s="56">
        <f>19.44+3.76</f>
        <v>23.200000000000003</v>
      </c>
    </row>
    <row r="485" spans="1:52">
      <c r="A485" s="225">
        <v>45629</v>
      </c>
      <c r="B485" s="226" t="str">
        <f>UPPER(TEXT(Tabela14[[#This Row],[DATA]],"MMM"))</f>
        <v>DEZ</v>
      </c>
      <c r="C485" s="226"/>
      <c r="D485" s="240" t="s">
        <v>40</v>
      </c>
      <c r="E485" s="24" t="s">
        <v>216</v>
      </c>
      <c r="F485" s="25">
        <v>12.2</v>
      </c>
    </row>
    <row r="486" spans="1:52">
      <c r="A486" s="225">
        <v>45629</v>
      </c>
      <c r="B486" s="226" t="str">
        <f>UPPER(TEXT(Tabela14[[#This Row],[DATA]],"MMM"))</f>
        <v>DEZ</v>
      </c>
      <c r="C486" s="226"/>
      <c r="D486" s="240" t="s">
        <v>40</v>
      </c>
      <c r="E486" s="20" t="s">
        <v>216</v>
      </c>
      <c r="F486" s="21">
        <v>13.9</v>
      </c>
    </row>
    <row r="487" spans="1:52" ht="27">
      <c r="A487" s="225">
        <v>45629</v>
      </c>
      <c r="B487" s="226" t="str">
        <f>UPPER(TEXT(Tabela14[[#This Row],[DATA]],"MMM"))</f>
        <v>DEZ</v>
      </c>
      <c r="C487" s="23"/>
      <c r="D487" s="240" t="s">
        <v>40</v>
      </c>
      <c r="E487" s="20" t="s">
        <v>637</v>
      </c>
      <c r="F487" s="56">
        <v>20</v>
      </c>
    </row>
    <row r="488" spans="1:52" ht="27">
      <c r="A488" s="225">
        <v>45630</v>
      </c>
      <c r="B488" s="226" t="str">
        <f>UPPER(TEXT(Tabela14[[#This Row],[DATA]],"MMM"))</f>
        <v>DEZ</v>
      </c>
      <c r="C488" s="226"/>
      <c r="D488" s="240" t="s">
        <v>40</v>
      </c>
      <c r="E488" s="20" t="s">
        <v>638</v>
      </c>
      <c r="F488" s="104">
        <v>104.13</v>
      </c>
    </row>
    <row r="489" spans="1:52">
      <c r="A489" s="225">
        <v>45631</v>
      </c>
      <c r="B489" s="226" t="str">
        <f>UPPER(TEXT(Tabela14[[#This Row],[DATA]],"MMM"))</f>
        <v>DEZ</v>
      </c>
      <c r="C489" s="23" t="s">
        <v>324</v>
      </c>
      <c r="D489" s="240" t="s">
        <v>40</v>
      </c>
      <c r="E489" s="20" t="s">
        <v>639</v>
      </c>
      <c r="F489" s="21">
        <v>7.93</v>
      </c>
    </row>
    <row r="490" spans="1:52">
      <c r="A490" s="225">
        <v>45631</v>
      </c>
      <c r="B490" s="226" t="str">
        <f>UPPER(TEXT(Tabela14[[#This Row],[DATA]],"MMM"))</f>
        <v>DEZ</v>
      </c>
      <c r="C490" s="23"/>
      <c r="D490" s="240" t="s">
        <v>40</v>
      </c>
      <c r="E490" s="174" t="s">
        <v>438</v>
      </c>
      <c r="F490" s="175">
        <v>63.21</v>
      </c>
    </row>
    <row r="491" spans="1:52" ht="27">
      <c r="A491" s="225">
        <v>45631</v>
      </c>
      <c r="B491" s="226" t="str">
        <f>UPPER(TEXT(Tabela14[[#This Row],[DATA]],"MMM"))</f>
        <v>DEZ</v>
      </c>
      <c r="C491" s="226"/>
      <c r="D491" s="240" t="s">
        <v>40</v>
      </c>
      <c r="E491" s="20" t="s">
        <v>640</v>
      </c>
      <c r="F491" s="56">
        <f>55+36</f>
        <v>91</v>
      </c>
    </row>
    <row r="492" spans="1:52">
      <c r="A492" s="225">
        <v>45632</v>
      </c>
      <c r="B492" s="226" t="str">
        <f>UPPER(TEXT(Tabela14[[#This Row],[DATA]],"MMM"))</f>
        <v>DEZ</v>
      </c>
      <c r="C492" s="226" t="s">
        <v>324</v>
      </c>
      <c r="D492" s="240" t="s">
        <v>40</v>
      </c>
      <c r="E492" s="20" t="s">
        <v>641</v>
      </c>
      <c r="F492" s="21">
        <v>12</v>
      </c>
    </row>
    <row r="493" spans="1:52" ht="27">
      <c r="A493" s="225">
        <v>45632</v>
      </c>
      <c r="B493" s="226" t="str">
        <f>UPPER(TEXT(Tabela14[[#This Row],[DATA]],"MMM"))</f>
        <v>DEZ</v>
      </c>
      <c r="C493" s="226" t="s">
        <v>324</v>
      </c>
      <c r="D493" s="240" t="s">
        <v>40</v>
      </c>
      <c r="E493" s="20" t="s">
        <v>642</v>
      </c>
      <c r="F493" s="56">
        <v>70</v>
      </c>
    </row>
    <row r="494" spans="1:52" ht="27">
      <c r="A494" s="225">
        <v>45633</v>
      </c>
      <c r="B494" s="226" t="str">
        <f>UPPER(TEXT(Tabela14[[#This Row],[DATA]],"MMM"))</f>
        <v>DEZ</v>
      </c>
      <c r="C494" s="226" t="s">
        <v>324</v>
      </c>
      <c r="D494" s="240" t="s">
        <v>40</v>
      </c>
      <c r="E494" s="20" t="s">
        <v>643</v>
      </c>
      <c r="F494" s="56">
        <v>45.9</v>
      </c>
    </row>
    <row r="495" spans="1:52">
      <c r="A495" s="225">
        <v>45633</v>
      </c>
      <c r="B495" s="226" t="str">
        <f>UPPER(TEXT(Tabela14[[#This Row],[DATA]],"MMM"))</f>
        <v>DEZ</v>
      </c>
      <c r="C495" s="226" t="s">
        <v>324</v>
      </c>
      <c r="D495" s="240" t="s">
        <v>40</v>
      </c>
      <c r="E495" s="20" t="s">
        <v>501</v>
      </c>
      <c r="F495" s="21">
        <v>57.99</v>
      </c>
    </row>
    <row r="496" spans="1:52" ht="27">
      <c r="A496" s="225">
        <v>45634</v>
      </c>
      <c r="B496" s="226" t="str">
        <f>UPPER(TEXT(Tabela14[[#This Row],[DATA]],"MMM"))</f>
        <v>DEZ</v>
      </c>
      <c r="C496" s="23" t="s">
        <v>324</v>
      </c>
      <c r="D496" s="240" t="s">
        <v>40</v>
      </c>
      <c r="E496" s="20" t="s">
        <v>639</v>
      </c>
      <c r="F496" s="56">
        <v>6.67</v>
      </c>
    </row>
    <row r="497" spans="1:6" ht="27">
      <c r="A497" s="225">
        <v>45635</v>
      </c>
      <c r="B497" s="226" t="str">
        <f>UPPER(TEXT(Tabela14[[#This Row],[DATA]],"MMM"))</f>
        <v>DEZ</v>
      </c>
      <c r="C497" s="23"/>
      <c r="D497" s="240" t="s">
        <v>40</v>
      </c>
      <c r="E497" s="20" t="s">
        <v>644</v>
      </c>
      <c r="F497" s="56">
        <f>170.91-85.45</f>
        <v>85.46</v>
      </c>
    </row>
    <row r="498" spans="1:6" ht="27">
      <c r="A498" s="225">
        <v>45635</v>
      </c>
      <c r="B498" s="226" t="str">
        <f>UPPER(TEXT(Tabela14[[#This Row],[DATA]],"MMM"))</f>
        <v>DEZ</v>
      </c>
      <c r="C498" s="23"/>
      <c r="D498" s="240" t="s">
        <v>40</v>
      </c>
      <c r="E498" s="20" t="s">
        <v>645</v>
      </c>
      <c r="F498" s="104">
        <v>129</v>
      </c>
    </row>
    <row r="499" spans="1:6" ht="27">
      <c r="A499" s="225">
        <v>45636</v>
      </c>
      <c r="B499" s="226" t="str">
        <f>UPPER(TEXT(Tabela14[[#This Row],[DATA]],"MMM"))</f>
        <v>DEZ</v>
      </c>
      <c r="C499" s="226"/>
      <c r="D499" s="240" t="s">
        <v>40</v>
      </c>
      <c r="E499" s="20" t="s">
        <v>216</v>
      </c>
      <c r="F499" s="56">
        <v>9.66</v>
      </c>
    </row>
    <row r="500" spans="1:6">
      <c r="A500" s="225">
        <v>45637</v>
      </c>
      <c r="B500" s="226" t="str">
        <f>UPPER(TEXT(Tabela14[[#This Row],[DATA]],"MMM"))</f>
        <v>DEZ</v>
      </c>
      <c r="C500" s="23" t="s">
        <v>324</v>
      </c>
      <c r="D500" s="240" t="s">
        <v>40</v>
      </c>
      <c r="E500" s="20" t="s">
        <v>646</v>
      </c>
      <c r="F500" s="21">
        <v>38.450000000000003</v>
      </c>
    </row>
    <row r="501" spans="1:6">
      <c r="A501" s="225">
        <v>45639</v>
      </c>
      <c r="B501" s="226" t="str">
        <f>UPPER(TEXT(Tabela14[[#This Row],[DATA]],"MMM"))</f>
        <v>DEZ</v>
      </c>
      <c r="C501" s="23"/>
      <c r="D501" s="240" t="s">
        <v>40</v>
      </c>
      <c r="E501" s="20" t="s">
        <v>647</v>
      </c>
      <c r="F501" s="21">
        <f>59.49-4</f>
        <v>55.49</v>
      </c>
    </row>
    <row r="502" spans="1:6">
      <c r="A502" s="225">
        <v>45639</v>
      </c>
      <c r="B502" s="226" t="str">
        <f>UPPER(TEXT(Tabela14[[#This Row],[DATA]],"MMM"))</f>
        <v>DEZ</v>
      </c>
      <c r="C502" s="23"/>
      <c r="D502" s="240" t="s">
        <v>40</v>
      </c>
      <c r="E502" s="20" t="s">
        <v>648</v>
      </c>
      <c r="F502" s="21">
        <v>61.9</v>
      </c>
    </row>
    <row r="503" spans="1:6" ht="27">
      <c r="A503" s="225">
        <v>45639</v>
      </c>
      <c r="B503" s="226" t="str">
        <f>UPPER(TEXT(Tabela14[[#This Row],[DATA]],"MMM"))</f>
        <v>DEZ</v>
      </c>
      <c r="C503" s="23"/>
      <c r="D503" s="240" t="s">
        <v>40</v>
      </c>
      <c r="E503" s="20" t="s">
        <v>649</v>
      </c>
      <c r="F503" s="104">
        <v>103.88</v>
      </c>
    </row>
    <row r="504" spans="1:6">
      <c r="A504" s="225">
        <v>45640</v>
      </c>
      <c r="B504" s="226" t="str">
        <f>UPPER(TEXT(Tabela14[[#This Row],[DATA]],"MMM"))</f>
        <v>DEZ</v>
      </c>
      <c r="C504" s="226" t="s">
        <v>324</v>
      </c>
      <c r="D504" s="240" t="s">
        <v>40</v>
      </c>
      <c r="E504" s="20" t="s">
        <v>650</v>
      </c>
      <c r="F504" s="21">
        <v>22.9</v>
      </c>
    </row>
    <row r="505" spans="1:6">
      <c r="A505" s="225">
        <v>45643</v>
      </c>
      <c r="B505" s="226" t="str">
        <f>UPPER(TEXT(Tabela14[[#This Row],[DATA]],"MMM"))</f>
        <v>DEZ</v>
      </c>
      <c r="C505" s="23" t="s">
        <v>324</v>
      </c>
      <c r="D505" s="240" t="s">
        <v>40</v>
      </c>
      <c r="E505" s="20" t="s">
        <v>651</v>
      </c>
      <c r="F505" s="21">
        <v>51.5</v>
      </c>
    </row>
    <row r="506" spans="1:6">
      <c r="A506" s="225">
        <v>45644</v>
      </c>
      <c r="B506" s="226" t="str">
        <f>UPPER(TEXT(Tabela14[[#This Row],[DATA]],"MMM"))</f>
        <v>DEZ</v>
      </c>
      <c r="C506" s="226" t="s">
        <v>324</v>
      </c>
      <c r="D506" s="240" t="s">
        <v>40</v>
      </c>
      <c r="E506" s="20" t="s">
        <v>652</v>
      </c>
      <c r="F506" s="21">
        <v>52</v>
      </c>
    </row>
    <row r="507" spans="1:6">
      <c r="A507" s="225">
        <v>45645</v>
      </c>
      <c r="B507" s="226" t="str">
        <f>UPPER(TEXT(Tabela14[[#This Row],[DATA]],"MMM"))</f>
        <v>DEZ</v>
      </c>
      <c r="C507" s="226" t="s">
        <v>324</v>
      </c>
      <c r="D507" s="240" t="s">
        <v>40</v>
      </c>
      <c r="E507" s="20" t="s">
        <v>653</v>
      </c>
      <c r="F507" s="21">
        <v>78</v>
      </c>
    </row>
    <row r="508" spans="1:6" ht="27">
      <c r="A508" s="225">
        <v>45645</v>
      </c>
      <c r="B508" s="226" t="str">
        <f>UPPER(TEXT(Tabela14[[#This Row],[DATA]],"MMM"))</f>
        <v>DEZ</v>
      </c>
      <c r="C508" s="23"/>
      <c r="D508" s="240" t="s">
        <v>40</v>
      </c>
      <c r="E508" s="20" t="s">
        <v>654</v>
      </c>
      <c r="F508" s="104">
        <v>320</v>
      </c>
    </row>
    <row r="509" spans="1:6" ht="27">
      <c r="A509" s="225">
        <v>45646</v>
      </c>
      <c r="B509" s="226" t="str">
        <f>UPPER(TEXT(Tabela14[[#This Row],[DATA]],"MMM"))</f>
        <v>DEZ</v>
      </c>
      <c r="C509" s="226"/>
      <c r="D509" s="240" t="s">
        <v>38</v>
      </c>
      <c r="E509" s="277" t="s">
        <v>655</v>
      </c>
      <c r="F509" s="280">
        <v>591.27</v>
      </c>
    </row>
    <row r="510" spans="1:6">
      <c r="A510" s="225">
        <v>45646</v>
      </c>
      <c r="B510" s="226" t="str">
        <f>UPPER(TEXT(Tabela14[[#This Row],[DATA]],"MMM"))</f>
        <v>DEZ</v>
      </c>
      <c r="C510" s="226" t="s">
        <v>324</v>
      </c>
      <c r="D510" s="240" t="s">
        <v>40</v>
      </c>
      <c r="E510" s="20" t="s">
        <v>656</v>
      </c>
      <c r="F510" s="21">
        <v>5.28</v>
      </c>
    </row>
    <row r="511" spans="1:6">
      <c r="A511" s="225">
        <v>45646</v>
      </c>
      <c r="B511" s="226" t="str">
        <f>UPPER(TEXT(Tabela14[[#This Row],[DATA]],"MMM"))</f>
        <v>DEZ</v>
      </c>
      <c r="C511" s="23" t="s">
        <v>324</v>
      </c>
      <c r="D511" s="240" t="s">
        <v>40</v>
      </c>
      <c r="E511" s="20" t="s">
        <v>657</v>
      </c>
      <c r="F511" s="21">
        <f>145.9/2</f>
        <v>72.95</v>
      </c>
    </row>
    <row r="512" spans="1:6">
      <c r="A512" s="225">
        <v>45647</v>
      </c>
      <c r="B512" s="226" t="str">
        <f>UPPER(TEXT(Tabela14[[#This Row],[DATA]],"MMM"))</f>
        <v>DEZ</v>
      </c>
      <c r="C512" s="23"/>
      <c r="D512" s="240" t="s">
        <v>40</v>
      </c>
      <c r="E512" s="20" t="s">
        <v>658</v>
      </c>
      <c r="F512" s="21">
        <v>20</v>
      </c>
    </row>
    <row r="513" spans="1:7">
      <c r="A513" s="225">
        <v>45647</v>
      </c>
      <c r="B513" s="226" t="str">
        <f>UPPER(TEXT(Tabela14[[#This Row],[DATA]],"MMM"))</f>
        <v>DEZ</v>
      </c>
      <c r="C513" s="226" t="s">
        <v>324</v>
      </c>
      <c r="D513" s="240" t="s">
        <v>40</v>
      </c>
      <c r="E513" s="20" t="s">
        <v>659</v>
      </c>
      <c r="F513" s="21">
        <v>21</v>
      </c>
    </row>
    <row r="514" spans="1:7">
      <c r="A514" s="225">
        <v>45647</v>
      </c>
      <c r="B514" s="226" t="str">
        <f>UPPER(TEXT(Tabela14[[#This Row],[DATA]],"MMM"))</f>
        <v>DEZ</v>
      </c>
      <c r="C514" s="226"/>
      <c r="D514" s="240" t="s">
        <v>40</v>
      </c>
      <c r="E514" s="174" t="s">
        <v>438</v>
      </c>
      <c r="F514" s="175">
        <v>55.72</v>
      </c>
    </row>
    <row r="515" spans="1:7">
      <c r="A515" s="269">
        <v>45649</v>
      </c>
      <c r="B515" s="226" t="str">
        <f>UPPER(TEXT(Tabela14[[#This Row],[DATA]],"MMM"))</f>
        <v>DEZ</v>
      </c>
      <c r="C515" s="226"/>
      <c r="D515" s="271" t="s">
        <v>40</v>
      </c>
      <c r="E515" s="257" t="s">
        <v>149</v>
      </c>
      <c r="F515" s="193">
        <v>60</v>
      </c>
    </row>
    <row r="516" spans="1:7">
      <c r="A516" s="225">
        <v>45650</v>
      </c>
      <c r="B516" s="226" t="str">
        <f>UPPER(TEXT(Tabela14[[#This Row],[DATA]],"MMM"))</f>
        <v>DEZ</v>
      </c>
      <c r="C516" s="226" t="s">
        <v>324</v>
      </c>
      <c r="D516" s="240" t="s">
        <v>40</v>
      </c>
      <c r="E516" s="20" t="s">
        <v>660</v>
      </c>
      <c r="F516" s="21">
        <v>20</v>
      </c>
    </row>
    <row r="517" spans="1:7">
      <c r="A517" s="225">
        <v>45650</v>
      </c>
      <c r="B517" s="226" t="str">
        <f>UPPER(TEXT(Tabela14[[#This Row],[DATA]],"MMM"))</f>
        <v>DEZ</v>
      </c>
      <c r="C517" s="23" t="s">
        <v>324</v>
      </c>
      <c r="D517" s="240" t="s">
        <v>40</v>
      </c>
      <c r="E517" s="20" t="s">
        <v>661</v>
      </c>
      <c r="F517" s="21">
        <v>69.98</v>
      </c>
    </row>
    <row r="518" spans="1:7" ht="27">
      <c r="A518" s="225">
        <v>45650</v>
      </c>
      <c r="B518" s="226" t="str">
        <f>UPPER(TEXT(Tabela14[[#This Row],[DATA]],"MMM"))</f>
        <v>DEZ</v>
      </c>
      <c r="C518" s="226"/>
      <c r="D518" s="240" t="s">
        <v>40</v>
      </c>
      <c r="E518" s="20" t="s">
        <v>662</v>
      </c>
      <c r="F518" s="104">
        <v>335.99</v>
      </c>
    </row>
    <row r="519" spans="1:7">
      <c r="A519" s="225">
        <v>45651</v>
      </c>
      <c r="B519" s="226" t="str">
        <f>UPPER(TEXT(Tabela14[[#This Row],[DATA]],"MMM"))</f>
        <v>DEZ</v>
      </c>
      <c r="C519" s="226"/>
      <c r="D519" s="240" t="s">
        <v>40</v>
      </c>
      <c r="E519" s="20" t="s">
        <v>216</v>
      </c>
      <c r="F519" s="21">
        <v>16.21</v>
      </c>
    </row>
    <row r="520" spans="1:7">
      <c r="A520" s="225">
        <v>45651</v>
      </c>
      <c r="B520" s="226" t="str">
        <f>UPPER(TEXT(Tabela14[[#This Row],[DATA]],"MMM"))</f>
        <v>DEZ</v>
      </c>
      <c r="C520" s="226"/>
      <c r="D520" s="240" t="s">
        <v>40</v>
      </c>
      <c r="E520" s="20" t="s">
        <v>663</v>
      </c>
      <c r="F520" s="21">
        <v>75</v>
      </c>
    </row>
    <row r="521" spans="1:7">
      <c r="A521" s="225">
        <v>45654</v>
      </c>
      <c r="B521" s="226" t="str">
        <f>UPPER(TEXT(Tabela14[[#This Row],[DATA]],"MMM"))</f>
        <v>DEZ</v>
      </c>
      <c r="C521" s="226"/>
      <c r="D521" s="240" t="s">
        <v>40</v>
      </c>
      <c r="E521" s="20" t="s">
        <v>406</v>
      </c>
      <c r="F521" s="21">
        <v>4.99</v>
      </c>
      <c r="G521" s="10" t="s">
        <v>664</v>
      </c>
    </row>
    <row r="522" spans="1:7">
      <c r="A522" s="225">
        <v>45655</v>
      </c>
      <c r="B522" s="226" t="str">
        <f>UPPER(TEXT(Tabela14[[#This Row],[DATA]],"MMM"))</f>
        <v>DEZ</v>
      </c>
      <c r="C522" s="226" t="s">
        <v>324</v>
      </c>
      <c r="D522" s="240" t="s">
        <v>40</v>
      </c>
      <c r="E522" s="20" t="s">
        <v>665</v>
      </c>
      <c r="F522" s="21">
        <f>33-26</f>
        <v>7</v>
      </c>
      <c r="G522" s="10" t="s">
        <v>666</v>
      </c>
    </row>
    <row r="523" spans="1:7">
      <c r="A523" s="225">
        <v>45656</v>
      </c>
      <c r="B523" s="226" t="str">
        <f>UPPER(TEXT(Tabela14[[#This Row],[DATA]],"MMM"))</f>
        <v>DEZ</v>
      </c>
      <c r="C523" s="226"/>
      <c r="D523" s="240" t="s">
        <v>40</v>
      </c>
      <c r="E523" s="20" t="s">
        <v>667</v>
      </c>
      <c r="F523" s="21">
        <v>30</v>
      </c>
    </row>
    <row r="524" spans="1:7" ht="27">
      <c r="A524" s="225">
        <v>45657</v>
      </c>
      <c r="B524" s="226" t="str">
        <f>UPPER(TEXT(Tabela14[[#This Row],[DATA]],"MMM"))</f>
        <v>DEZ</v>
      </c>
      <c r="C524" s="226" t="s">
        <v>324</v>
      </c>
      <c r="D524" s="178" t="s">
        <v>40</v>
      </c>
      <c r="E524" s="20" t="s">
        <v>668</v>
      </c>
      <c r="F524" s="104">
        <v>129.80000000000001</v>
      </c>
    </row>
    <row r="525" spans="1:7" ht="27">
      <c r="A525" s="18" t="s">
        <v>31</v>
      </c>
      <c r="B525" s="226" t="str">
        <f>UPPER(TEXT(Tabela14[[#This Row],[DATA]],"MMM"))</f>
        <v>-</v>
      </c>
      <c r="C525" s="226"/>
      <c r="D525" s="178"/>
      <c r="E525" s="322" t="s">
        <v>669</v>
      </c>
      <c r="F525" s="285" t="e">
        <f>SUM(#REF!,#REF!,F521,F522:F523)</f>
        <v>#REF!</v>
      </c>
      <c r="G525" s="282" t="s">
        <v>670</v>
      </c>
    </row>
    <row r="526" spans="1:7" ht="27">
      <c r="A526" s="18" t="s">
        <v>31</v>
      </c>
      <c r="B526" s="226" t="str">
        <f>UPPER(TEXT(Tabela14[[#This Row],[DATA]],"MMM"))</f>
        <v>-</v>
      </c>
      <c r="C526" s="226"/>
      <c r="D526" s="178"/>
      <c r="E526" s="278" t="s">
        <v>671</v>
      </c>
      <c r="F526" s="281">
        <f>F518*(11/20)</f>
        <v>184.79450000000003</v>
      </c>
    </row>
    <row r="527" spans="1:7" ht="27">
      <c r="A527" s="18" t="s">
        <v>31</v>
      </c>
      <c r="B527" s="226" t="str">
        <f>UPPER(TEXT(Tabela14[[#This Row],[DATA]],"MMM"))</f>
        <v>-</v>
      </c>
      <c r="C527" s="226"/>
      <c r="D527" s="178"/>
      <c r="E527" s="231" t="s">
        <v>672</v>
      </c>
      <c r="F527" s="178"/>
    </row>
    <row r="528" spans="1:7" ht="27">
      <c r="A528" s="225"/>
      <c r="B528" s="226" t="str">
        <f>UPPER(TEXT(Tabela14[[#This Row],[DATA]],"MMM"))</f>
        <v>JAN</v>
      </c>
      <c r="C528" s="23"/>
      <c r="D528" s="240"/>
      <c r="E528" s="317" t="s">
        <v>673</v>
      </c>
      <c r="F528" s="310">
        <v>2779</v>
      </c>
    </row>
    <row r="529" spans="1:12" ht="27">
      <c r="A529" s="225"/>
      <c r="B529" s="226" t="s">
        <v>31</v>
      </c>
      <c r="C529" s="226"/>
      <c r="D529" s="240"/>
      <c r="E529" s="307" t="s">
        <v>674</v>
      </c>
      <c r="F529" s="324">
        <f>1364.67+409.15-234.55+0.46</f>
        <v>1539.7300000000002</v>
      </c>
      <c r="G529" s="10" t="s">
        <v>675</v>
      </c>
    </row>
    <row r="530" spans="1:12" ht="27">
      <c r="A530" s="225"/>
      <c r="B530" s="226" t="str">
        <f>UPPER(TEXT(Tabela14[[#This Row],[DATA]],"MMM"))</f>
        <v>JAN</v>
      </c>
      <c r="C530" s="226"/>
      <c r="D530" s="240"/>
      <c r="E530" s="92" t="s">
        <v>676</v>
      </c>
      <c r="F530" s="309">
        <v>1354</v>
      </c>
    </row>
    <row r="531" spans="1:12" ht="27">
      <c r="A531" s="225"/>
      <c r="B531" s="226" t="s">
        <v>31</v>
      </c>
      <c r="C531" s="226"/>
      <c r="D531" s="240"/>
      <c r="E531" s="302" t="s">
        <v>677</v>
      </c>
      <c r="F531" s="316">
        <f>682.33+183.03-86.53</f>
        <v>778.83</v>
      </c>
      <c r="G531" s="10" t="s">
        <v>678</v>
      </c>
    </row>
    <row r="532" spans="1:12" ht="27">
      <c r="A532" s="225"/>
      <c r="B532" s="226" t="s">
        <v>31</v>
      </c>
      <c r="C532" s="226"/>
      <c r="D532" s="240"/>
      <c r="E532" s="277" t="s">
        <v>679</v>
      </c>
      <c r="F532" s="314">
        <v>591.27</v>
      </c>
    </row>
    <row r="533" spans="1:12" ht="27">
      <c r="A533" s="225"/>
      <c r="B533" s="226" t="s">
        <v>31</v>
      </c>
      <c r="C533" s="226"/>
      <c r="D533" s="240"/>
      <c r="E533" s="305" t="s">
        <v>679</v>
      </c>
      <c r="F533" s="316">
        <v>288.45</v>
      </c>
      <c r="G533" s="133" t="s">
        <v>680</v>
      </c>
    </row>
    <row r="534" spans="1:12">
      <c r="A534" s="318"/>
      <c r="B534" s="319" t="str">
        <f>UPPER(TEXT(Tabela14[[#This Row],[DATA]],"MMM"))</f>
        <v>JAN</v>
      </c>
      <c r="C534" s="319"/>
      <c r="D534" s="320"/>
      <c r="E534" s="322" t="s">
        <v>681</v>
      </c>
      <c r="F534" s="321">
        <f>F530</f>
        <v>1354</v>
      </c>
      <c r="G534" s="133" t="s">
        <v>682</v>
      </c>
    </row>
    <row r="535" spans="1:12">
      <c r="A535" s="318"/>
      <c r="B535" s="319" t="str">
        <f>UPPER(TEXT(Tabela14[[#This Row],[DATA]],"MMM"))</f>
        <v>JAN</v>
      </c>
      <c r="C535" s="319"/>
      <c r="D535" s="320"/>
      <c r="E535" s="322" t="s">
        <v>683</v>
      </c>
      <c r="F535" s="321">
        <f>SUM(F539,F532:F533,F528)</f>
        <v>4817.72</v>
      </c>
      <c r="G535" s="133"/>
    </row>
    <row r="536" spans="1:12" ht="27">
      <c r="A536" s="225"/>
      <c r="B536" s="226" t="str">
        <f>UPPER(TEXT(Tabela14[[#This Row],[DATA]],"MMM"))</f>
        <v>JAN</v>
      </c>
      <c r="C536" s="226"/>
      <c r="D536" s="240"/>
      <c r="E536" s="278" t="s">
        <v>684</v>
      </c>
      <c r="F536" s="281">
        <f>F531+F529*(9/20)+J545</f>
        <v>2778.7085000000002</v>
      </c>
      <c r="G536" s="133"/>
    </row>
    <row r="537" spans="1:12" ht="27">
      <c r="A537" s="318"/>
      <c r="B537" s="319" t="str">
        <f>UPPER(TEXT(Tabela14[[#This Row],[DATA]],"MMM"))</f>
        <v>JAN</v>
      </c>
      <c r="C537" s="319"/>
      <c r="D537" s="320"/>
      <c r="E537" s="278" t="s">
        <v>671</v>
      </c>
      <c r="F537" s="323">
        <f>F529*(11/20)</f>
        <v>846.85150000000021</v>
      </c>
      <c r="G537" s="133" t="s">
        <v>685</v>
      </c>
    </row>
    <row r="538" spans="1:12" ht="22.95" customHeight="1">
      <c r="A538" s="225"/>
      <c r="B538" s="226" t="str">
        <f>UPPER(TEXT(Tabela14[[#This Row],[DATA]],"MMM"))</f>
        <v>JAN</v>
      </c>
      <c r="C538" s="226"/>
      <c r="D538" s="240"/>
      <c r="E538" s="304" t="s">
        <v>686</v>
      </c>
      <c r="F538" s="308">
        <f>F532-F524</f>
        <v>461.46999999999997</v>
      </c>
      <c r="G538" s="133" t="s">
        <v>687</v>
      </c>
    </row>
    <row r="539" spans="1:12" ht="25.95" customHeight="1">
      <c r="A539" s="22"/>
      <c r="B539" s="23" t="str">
        <f>UPPER(TEXT(Tabela14[[#This Row],[DATA]],"MMM"))</f>
        <v>JAN</v>
      </c>
      <c r="C539" s="23"/>
      <c r="D539" s="279"/>
      <c r="E539" s="86" t="s">
        <v>688</v>
      </c>
      <c r="F539" s="315">
        <v>1159</v>
      </c>
    </row>
    <row r="540" spans="1:12">
      <c r="A540" s="10"/>
      <c r="B540" s="16"/>
      <c r="C540" s="16"/>
      <c r="D540" s="10"/>
      <c r="E540" s="10"/>
      <c r="F540" s="10"/>
      <c r="J540" s="312"/>
      <c r="K540" s="311"/>
      <c r="L540" s="133"/>
    </row>
    <row r="541" spans="1:12">
      <c r="A541" s="10"/>
      <c r="B541" s="16"/>
      <c r="C541" s="16"/>
      <c r="D541" s="10"/>
      <c r="E541" s="283" t="s">
        <v>689</v>
      </c>
      <c r="F541" s="284" t="e">
        <f>SUM(G526,F531,F525)</f>
        <v>#REF!</v>
      </c>
      <c r="G541" s="283" t="s">
        <v>690</v>
      </c>
      <c r="J541" s="313">
        <v>1354</v>
      </c>
      <c r="K541" s="311">
        <v>45982</v>
      </c>
      <c r="L541" s="133" t="s">
        <v>691</v>
      </c>
    </row>
    <row r="542" spans="1:12">
      <c r="A542" s="10"/>
      <c r="B542" s="16"/>
      <c r="C542" s="16"/>
      <c r="D542" s="10"/>
      <c r="E542" s="10"/>
      <c r="F542" s="10"/>
      <c r="J542" s="313">
        <v>2779</v>
      </c>
      <c r="K542" s="311">
        <v>45990</v>
      </c>
      <c r="L542" s="133" t="s">
        <v>692</v>
      </c>
    </row>
    <row r="543" spans="1:12">
      <c r="A543" s="10"/>
      <c r="B543" s="16"/>
      <c r="C543" s="16"/>
      <c r="D543" s="10"/>
      <c r="E543" s="10"/>
      <c r="F543" s="10"/>
      <c r="J543" s="313">
        <v>1067.28</v>
      </c>
      <c r="K543" s="311">
        <v>45990</v>
      </c>
      <c r="L543" s="133" t="s">
        <v>693</v>
      </c>
    </row>
    <row r="544" spans="1:12">
      <c r="A544" s="10"/>
      <c r="B544" s="16"/>
      <c r="C544" s="16"/>
      <c r="D544" s="10"/>
      <c r="E544" s="96" t="s">
        <v>694</v>
      </c>
      <c r="F544" s="97">
        <v>293.47000000000003</v>
      </c>
      <c r="J544" s="313">
        <v>1159</v>
      </c>
      <c r="K544" s="311">
        <v>46009</v>
      </c>
      <c r="L544" s="133" t="s">
        <v>695</v>
      </c>
    </row>
    <row r="545" spans="1:12">
      <c r="A545" s="10"/>
      <c r="B545" s="16"/>
      <c r="C545" s="16"/>
      <c r="D545" s="10"/>
      <c r="E545" s="10"/>
      <c r="F545" s="10"/>
      <c r="J545" s="312">
        <v>1307</v>
      </c>
      <c r="K545" s="311">
        <v>46010</v>
      </c>
      <c r="L545" s="133" t="s">
        <v>696</v>
      </c>
    </row>
    <row r="546" spans="1:12">
      <c r="A546" s="10"/>
      <c r="B546" s="16"/>
      <c r="C546" s="16"/>
      <c r="D546" s="10"/>
      <c r="E546" s="10"/>
      <c r="F546" s="10"/>
      <c r="J546" s="313">
        <v>2131</v>
      </c>
      <c r="K546" s="311">
        <v>46011</v>
      </c>
      <c r="L546" s="133" t="s">
        <v>697</v>
      </c>
    </row>
    <row r="547" spans="1:12">
      <c r="A547" s="10"/>
      <c r="B547" s="16"/>
      <c r="C547" s="16"/>
      <c r="D547" s="10"/>
      <c r="E547" s="10"/>
      <c r="F547" s="10"/>
      <c r="J547" s="10" t="s">
        <v>698</v>
      </c>
    </row>
    <row r="548" spans="1:12">
      <c r="A548" s="10"/>
      <c r="B548" s="16"/>
      <c r="C548" s="16"/>
      <c r="D548" s="10"/>
      <c r="E548" s="10"/>
      <c r="F548" s="10"/>
    </row>
    <row r="549" spans="1:12">
      <c r="A549" s="10"/>
      <c r="B549" s="16"/>
      <c r="C549" s="16"/>
      <c r="D549" s="10"/>
      <c r="E549" s="10"/>
      <c r="F549" s="10"/>
    </row>
    <row r="550" spans="1:12">
      <c r="A550" s="10"/>
      <c r="B550" s="16"/>
      <c r="C550" s="16"/>
      <c r="D550" s="10"/>
      <c r="E550" s="10"/>
      <c r="F550" s="10"/>
    </row>
    <row r="551" spans="1:12">
      <c r="A551" s="10"/>
      <c r="B551" s="16"/>
      <c r="C551" s="16"/>
      <c r="D551" s="10"/>
      <c r="E551" s="10"/>
      <c r="F551" s="10"/>
    </row>
    <row r="552" spans="1:12">
      <c r="A552" s="10"/>
      <c r="B552" s="16"/>
      <c r="C552" s="16"/>
      <c r="D552" s="10"/>
      <c r="E552" s="10"/>
      <c r="F552" s="10"/>
    </row>
    <row r="553" spans="1:12">
      <c r="A553" s="10"/>
      <c r="B553" s="16"/>
      <c r="C553" s="16"/>
      <c r="D553" s="10"/>
      <c r="E553" s="10"/>
      <c r="F553" s="10"/>
    </row>
    <row r="554" spans="1:12">
      <c r="A554" s="10"/>
      <c r="B554" s="16"/>
      <c r="C554" s="16"/>
      <c r="D554" s="10"/>
      <c r="E554" s="10"/>
      <c r="F554" s="10"/>
    </row>
    <row r="555" spans="1:12">
      <c r="A555" s="10"/>
      <c r="B555" s="16"/>
      <c r="C555" s="16"/>
      <c r="D555" s="10"/>
      <c r="E555" s="10"/>
      <c r="F555" s="10"/>
    </row>
    <row r="556" spans="1:12">
      <c r="A556" s="10"/>
      <c r="B556" s="16"/>
      <c r="C556" s="16"/>
      <c r="D556" s="10"/>
      <c r="E556" s="10"/>
      <c r="F556" s="10"/>
    </row>
    <row r="557" spans="1:12">
      <c r="A557" s="10"/>
      <c r="B557" s="16"/>
      <c r="C557" s="16"/>
      <c r="D557" s="10"/>
      <c r="E557" s="10"/>
      <c r="F557" s="10"/>
    </row>
    <row r="558" spans="1:12">
      <c r="A558" s="10"/>
      <c r="B558" s="16"/>
      <c r="C558" s="16"/>
      <c r="D558" s="10"/>
      <c r="E558" s="10"/>
      <c r="F558" s="10"/>
    </row>
    <row r="559" spans="1:12">
      <c r="A559" s="10"/>
      <c r="B559" s="16"/>
      <c r="C559" s="16"/>
      <c r="D559" s="10"/>
      <c r="E559" s="10"/>
      <c r="F559" s="10"/>
    </row>
    <row r="560" spans="1:12">
      <c r="A560" s="10"/>
      <c r="B560" s="16"/>
      <c r="C560" s="16"/>
      <c r="D560" s="10"/>
      <c r="E560" s="10"/>
      <c r="F560" s="10"/>
    </row>
    <row r="561" spans="1:6">
      <c r="A561" s="10"/>
      <c r="B561" s="16"/>
      <c r="C561" s="16"/>
      <c r="D561" s="10"/>
      <c r="E561" s="10"/>
      <c r="F561" s="10"/>
    </row>
    <row r="562" spans="1:6">
      <c r="A562" s="10"/>
      <c r="B562" s="16"/>
      <c r="C562" s="16"/>
      <c r="D562" s="10"/>
      <c r="E562" s="10"/>
      <c r="F562" s="10"/>
    </row>
    <row r="563" spans="1:6">
      <c r="A563" s="10"/>
      <c r="B563" s="16"/>
      <c r="C563" s="16"/>
      <c r="D563" s="10"/>
      <c r="E563" s="10"/>
      <c r="F563" s="10"/>
    </row>
    <row r="564" spans="1:6">
      <c r="A564" s="10"/>
      <c r="B564" s="16"/>
      <c r="C564" s="16"/>
      <c r="D564" s="10"/>
      <c r="E564" s="10"/>
      <c r="F564" s="10"/>
    </row>
    <row r="565" spans="1:6">
      <c r="A565" s="10"/>
      <c r="B565" s="16"/>
      <c r="C565" s="16"/>
      <c r="D565" s="10"/>
      <c r="E565" s="10"/>
      <c r="F565" s="10"/>
    </row>
    <row r="566" spans="1:6">
      <c r="A566" s="10"/>
      <c r="B566" s="16"/>
      <c r="C566" s="16"/>
      <c r="D566" s="10"/>
      <c r="E566" s="10"/>
      <c r="F566" s="10"/>
    </row>
    <row r="567" spans="1:6">
      <c r="A567" s="10"/>
      <c r="B567" s="16"/>
      <c r="C567" s="16"/>
      <c r="D567" s="10"/>
      <c r="E567" s="10"/>
      <c r="F567" s="10"/>
    </row>
    <row r="568" spans="1:6">
      <c r="A568" s="10"/>
      <c r="B568" s="16"/>
      <c r="C568" s="16"/>
      <c r="D568" s="10"/>
      <c r="E568" s="10"/>
      <c r="F568" s="10"/>
    </row>
    <row r="569" spans="1:6">
      <c r="A569" s="10"/>
      <c r="B569" s="16"/>
      <c r="C569" s="16"/>
      <c r="D569" s="10"/>
      <c r="E569" s="10"/>
      <c r="F569" s="10"/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77D2-7224-1E48-931D-20131CF2B413}">
  <dimension ref="A1:AK95"/>
  <sheetViews>
    <sheetView showGridLines="0" topLeftCell="A3" zoomScale="55" zoomScaleNormal="55" zoomScaleSheetLayoutView="100" workbookViewId="0">
      <selection activeCell="D14" sqref="D12:D14"/>
    </sheetView>
  </sheetViews>
  <sheetFormatPr defaultColWidth="8.5546875" defaultRowHeight="26.4"/>
  <cols>
    <col min="1" max="1" width="19.109375" style="4" customWidth="1"/>
    <col min="2" max="2" width="22.33203125" style="4" customWidth="1"/>
    <col min="3" max="3" width="20" style="4" customWidth="1"/>
    <col min="4" max="4" width="21.88671875" style="4" customWidth="1"/>
    <col min="5" max="5" width="16" style="5" bestFit="1" customWidth="1"/>
    <col min="6" max="6" width="38.5546875" style="5" customWidth="1"/>
    <col min="7" max="7" width="15.5546875" style="5" customWidth="1"/>
    <col min="8" max="8" width="8.5546875" style="5"/>
    <col min="9" max="9" width="30" style="5" customWidth="1"/>
    <col min="10" max="10" width="19.109375" style="5" customWidth="1"/>
    <col min="11" max="12" width="8.5546875" style="5"/>
    <col min="13" max="14" width="0" style="5" hidden="1" customWidth="1"/>
    <col min="15" max="15" width="18.5546875" style="5" customWidth="1"/>
    <col min="16" max="37" width="8.5546875" style="5"/>
    <col min="38" max="16384" width="8.5546875" style="1"/>
  </cols>
  <sheetData>
    <row r="1" spans="1:37" s="5" customFormat="1">
      <c r="A1" s="10"/>
      <c r="B1" s="10"/>
      <c r="C1" s="10"/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37" ht="33" customHeight="1">
      <c r="A2" s="10"/>
      <c r="B2" s="10"/>
      <c r="C2" s="10"/>
      <c r="D2" s="238">
        <f>AVERAGE(B5:B14)</f>
        <v>2500.3110000000001</v>
      </c>
      <c r="E2" s="54" t="s">
        <v>699</v>
      </c>
      <c r="F2" s="54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37" s="5" customFormat="1" ht="22.5" customHeight="1">
      <c r="A3" s="10"/>
      <c r="B3" s="74">
        <f>SUM(B5:B16)</f>
        <v>32540.83</v>
      </c>
      <c r="C3" s="74">
        <f>SUM(C5:C16)</f>
        <v>28802.94</v>
      </c>
      <c r="D3" s="210">
        <f>B3-C3</f>
        <v>3737.8900000000031</v>
      </c>
      <c r="E3" s="61"/>
      <c r="F3" s="6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37" s="2" customFormat="1" ht="30" customHeight="1">
      <c r="A4" s="26" t="s">
        <v>273</v>
      </c>
      <c r="B4" s="26" t="s">
        <v>38</v>
      </c>
      <c r="C4" s="26" t="s">
        <v>40</v>
      </c>
      <c r="D4" s="167" t="s">
        <v>274</v>
      </c>
      <c r="E4" s="244" t="s">
        <v>700</v>
      </c>
      <c r="F4" s="245"/>
      <c r="G4" s="11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7">
      <c r="A5" s="105" t="s">
        <v>264</v>
      </c>
      <c r="B5" s="9">
        <f>SUMIFS(Tabela14[VALOR],Tabela14[MÊS],A5,Tabela14[TIPO], $B$4)</f>
        <v>2646.22</v>
      </c>
      <c r="C5" s="9">
        <f>SUMIFS(Tabela14[VALOR],Tabela14[MÊS],A5,Tabela14[TIPO], $C$4)</f>
        <v>1526.5433333333333</v>
      </c>
      <c r="D5" s="168">
        <f t="shared" ref="D5:D16" si="0">B5-C5</f>
        <v>1119.6766666666665</v>
      </c>
      <c r="E5" s="173">
        <f>D5/B5</f>
        <v>0.42312304595485883</v>
      </c>
      <c r="F5" s="241">
        <f>100%-E5</f>
        <v>0.57687695404514117</v>
      </c>
      <c r="G5" s="60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37">
      <c r="A6" s="7" t="s">
        <v>266</v>
      </c>
      <c r="B6" s="106">
        <f>SUMIFS(Tabela14[VALOR],Tabela14[MÊS],A6,Tabela14[TIPO], $B$4)</f>
        <v>2027.3999999999999</v>
      </c>
      <c r="C6" s="106">
        <f>SUMIFS(Tabela14[VALOR],Tabela14[MÊS],A6,Tabela14[TIPO], $C$4)</f>
        <v>1462.9549999999999</v>
      </c>
      <c r="D6" s="264">
        <f t="shared" si="0"/>
        <v>564.44499999999994</v>
      </c>
      <c r="E6" s="171">
        <f>D6/B6</f>
        <v>0.27840830620499163</v>
      </c>
      <c r="F6" s="242">
        <f>100%-E6</f>
        <v>0.72159169379500843</v>
      </c>
      <c r="G6" s="11" t="s">
        <v>701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37">
      <c r="A7" s="105" t="s">
        <v>275</v>
      </c>
      <c r="B7" s="9">
        <f>SUMIFS(Tabela14[VALOR],Tabela14[MÊS],A7,Tabela14[TIPO], $B$4)</f>
        <v>2168</v>
      </c>
      <c r="C7" s="9">
        <f>SUMIFS(Tabela14[VALOR],Tabela14[MÊS],A7,Tabela14[TIPO], $C$4)</f>
        <v>2135.4399999999991</v>
      </c>
      <c r="D7" s="168">
        <f t="shared" si="0"/>
        <v>32.560000000000855</v>
      </c>
      <c r="E7" s="171">
        <f t="shared" ref="E7:E13" si="1">D7/B7</f>
        <v>1.5018450184502239E-2</v>
      </c>
      <c r="F7" s="242">
        <f t="shared" ref="F7:F16" si="2">100%-E7</f>
        <v>0.98498154981549779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37">
      <c r="A8" s="7" t="s">
        <v>276</v>
      </c>
      <c r="B8" s="106">
        <f>SUMIFS(Tabela14[VALOR],Tabela14[MÊS],A8,Tabela14[TIPO], $B$4)</f>
        <v>2415</v>
      </c>
      <c r="C8" s="106">
        <f>SUMIFS(Tabela14[VALOR],Tabela14[MÊS],A8,Tabela14[TIPO], $C$4)</f>
        <v>2124.5600000000004</v>
      </c>
      <c r="D8" s="169">
        <f t="shared" si="0"/>
        <v>290.4399999999996</v>
      </c>
      <c r="E8" s="171">
        <f t="shared" si="1"/>
        <v>0.12026501035196671</v>
      </c>
      <c r="F8" s="242">
        <f t="shared" si="2"/>
        <v>0.87973498964803332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37">
      <c r="A9" s="105" t="s">
        <v>277</v>
      </c>
      <c r="B9" s="9">
        <f>SUMIFS(Tabela14[VALOR],Tabela14[MÊS],A9,Tabela14[TIPO], $B$4)</f>
        <v>2248</v>
      </c>
      <c r="C9" s="9">
        <f>SUMIFS(Tabela14[VALOR],Tabela14[MÊS],A9,Tabela14[TIPO], $C$4)</f>
        <v>2053.7950000000005</v>
      </c>
      <c r="D9" s="168">
        <f t="shared" si="0"/>
        <v>194.20499999999947</v>
      </c>
      <c r="E9" s="171">
        <f t="shared" si="1"/>
        <v>8.6390124555159903E-2</v>
      </c>
      <c r="F9" s="242">
        <f t="shared" si="2"/>
        <v>0.91360987544484007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37">
      <c r="A10" s="7" t="s">
        <v>278</v>
      </c>
      <c r="B10" s="106">
        <f>SUMIFS(Tabela14[VALOR],Tabela14[MÊS],A10,Tabela14[TIPO], $B$4)</f>
        <v>2485</v>
      </c>
      <c r="C10" s="106">
        <f>SUMIFS(Tabela14[VALOR],Tabela14[MÊS],A10,Tabela14[TIPO], $C$4)</f>
        <v>1997.2633333333333</v>
      </c>
      <c r="D10" s="169">
        <f t="shared" si="0"/>
        <v>487.73666666666668</v>
      </c>
      <c r="E10" s="171">
        <f t="shared" si="1"/>
        <v>0.19627230046948357</v>
      </c>
      <c r="F10" s="242">
        <f t="shared" si="2"/>
        <v>0.80372769953051648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37">
      <c r="A11" s="105" t="s">
        <v>279</v>
      </c>
      <c r="B11" s="9">
        <f>SUMIFS(Tabela14[VALOR],Tabela14[MÊS],A11,Tabela14[TIPO], $B$4)</f>
        <v>2680</v>
      </c>
      <c r="C11" s="9">
        <f>SUMIFS(Tabela14[VALOR],Tabela14[MÊS],A11,Tabela14[TIPO], $C$4)</f>
        <v>2612.4899999999998</v>
      </c>
      <c r="D11" s="232">
        <f t="shared" si="0"/>
        <v>67.510000000000218</v>
      </c>
      <c r="E11" s="171">
        <f t="shared" si="1"/>
        <v>2.519029850746277E-2</v>
      </c>
      <c r="F11" s="242">
        <f t="shared" si="2"/>
        <v>0.97480970149253721</v>
      </c>
      <c r="G11" s="11" t="s">
        <v>702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37">
      <c r="A12" s="7" t="s">
        <v>280</v>
      </c>
      <c r="B12" s="106">
        <f>SUMIFS(Tabela14[VALOR],Tabela14[MÊS],A12,Tabela14[TIPO], $B$4)</f>
        <v>2998.49</v>
      </c>
      <c r="C12" s="106">
        <f>SUMIFS(Tabela14[VALOR],Tabela14[MÊS],A12,Tabela14[TIPO], $C$4)</f>
        <v>2249.4699999999998</v>
      </c>
      <c r="D12" s="169">
        <f t="shared" si="0"/>
        <v>749.02</v>
      </c>
      <c r="E12" s="171">
        <f t="shared" si="1"/>
        <v>0.24979906552964995</v>
      </c>
      <c r="F12" s="242">
        <f t="shared" si="2"/>
        <v>0.75020093447035008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37">
      <c r="A13" s="105" t="s">
        <v>281</v>
      </c>
      <c r="B13" s="9">
        <f>SUMIFS(Tabela14[VALOR],Tabela14[MÊS],A13,Tabela14[TIPO], $B$4)</f>
        <v>2831</v>
      </c>
      <c r="C13" s="9">
        <f>SUMIFS(Tabela14[VALOR],Tabela14[MÊS],A13,Tabela14[TIPO], $C$4)</f>
        <v>1763.3666666666668</v>
      </c>
      <c r="D13" s="168">
        <f t="shared" si="0"/>
        <v>1067.6333333333332</v>
      </c>
      <c r="E13" s="171">
        <f t="shared" si="1"/>
        <v>0.37712233604144585</v>
      </c>
      <c r="F13" s="242">
        <f t="shared" si="2"/>
        <v>0.62287766395855415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37">
      <c r="A14" s="7" t="s">
        <v>282</v>
      </c>
      <c r="B14" s="106">
        <f>SUMIFS(Tabela14[VALOR],Tabela14[MÊS],A14,Tabela14[TIPO], $B$4)</f>
        <v>2504</v>
      </c>
      <c r="C14" s="106">
        <f>SUMIFS(Tabela14[VALOR],Tabela14[MÊS],A14,Tabela14[TIPO], $C$4)</f>
        <v>1635.6600000000003</v>
      </c>
      <c r="D14" s="169">
        <f t="shared" si="0"/>
        <v>868.33999999999969</v>
      </c>
      <c r="E14" s="171">
        <f>D14/B14</f>
        <v>0.34678115015974431</v>
      </c>
      <c r="F14" s="242">
        <f t="shared" si="2"/>
        <v>0.65321884984025569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37">
      <c r="A15" s="105" t="s">
        <v>283</v>
      </c>
      <c r="B15" s="9">
        <f>SUMIFS(Tabela14[VALOR],Tabela14[MÊS],A15,Tabela14[TIPO], $B$4)</f>
        <v>3879</v>
      </c>
      <c r="C15" s="9">
        <f>SUMIFS(Tabela14[VALOR],Tabela14[MÊS],A15,Tabela14[TIPO], $C$4)</f>
        <v>4874.5199999999986</v>
      </c>
      <c r="D15" s="168">
        <f t="shared" si="0"/>
        <v>-995.51999999999862</v>
      </c>
      <c r="E15" s="171">
        <f>D15/B15</f>
        <v>-0.25664346481051781</v>
      </c>
      <c r="F15" s="242">
        <f t="shared" si="2"/>
        <v>1.2566434648105178</v>
      </c>
      <c r="G15" s="11"/>
      <c r="H15" s="11"/>
      <c r="I15" s="75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37" ht="27" thickBot="1">
      <c r="A16" s="32" t="s">
        <v>284</v>
      </c>
      <c r="B16" s="106">
        <f>SUMIFS(Tabela14[VALOR],Tabela14[MÊS],A16,Tabela14[TIPO], $B$4)</f>
        <v>3658.72</v>
      </c>
      <c r="C16" s="106">
        <f>SUMIFS(Tabela14[VALOR],Tabela14[MÊS],A16,Tabela14[TIPO], $C$4)</f>
        <v>4366.8766666666661</v>
      </c>
      <c r="D16" s="170">
        <f t="shared" si="0"/>
        <v>-708.1566666666663</v>
      </c>
      <c r="E16" s="172">
        <f>D16/B16</f>
        <v>-0.19355311875920167</v>
      </c>
      <c r="F16" s="243">
        <f t="shared" si="2"/>
        <v>1.1935531187592017</v>
      </c>
      <c r="G16" s="11" t="s">
        <v>703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s="5" customFormat="1">
      <c r="A17" s="236">
        <f>COUNTA(A5:A16)</f>
        <v>12</v>
      </c>
      <c r="B17" s="49" t="s">
        <v>285</v>
      </c>
      <c r="C17" s="49"/>
      <c r="D17" s="237">
        <f>SUM(D5:D16)</f>
        <v>3737.8900000000008</v>
      </c>
      <c r="E17" s="60"/>
      <c r="F17" s="60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s="5" customFormat="1" ht="27">
      <c r="A18" s="453" t="s">
        <v>286</v>
      </c>
      <c r="B18" s="453"/>
      <c r="C18" s="453"/>
      <c r="D18" s="64">
        <f>D17/A17</f>
        <v>311.4908333333334</v>
      </c>
      <c r="E18" s="60"/>
      <c r="F18" s="60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s="5" customFormat="1" ht="18" customHeight="1">
      <c r="A19" s="487"/>
      <c r="B19" s="487"/>
      <c r="C19" s="487"/>
      <c r="D19" s="239">
        <f>AVERAGE(E5:E16)</f>
        <v>0.13901445869912885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s="5" customFormat="1" ht="18" customHeight="1">
      <c r="A20" s="122"/>
      <c r="B20" s="121"/>
      <c r="C20" s="121"/>
      <c r="D20" s="62">
        <f>D18/D2</f>
        <v>0.12458083547739997</v>
      </c>
      <c r="E20" s="11" t="s">
        <v>704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s="5" customFormat="1" ht="27.6" thickBot="1">
      <c r="A21" s="488" t="s">
        <v>274</v>
      </c>
      <c r="B21" s="488"/>
      <c r="C21" s="489">
        <f ca="1">TODAY()</f>
        <v>45693</v>
      </c>
      <c r="D21" s="489"/>
      <c r="E21" s="124"/>
      <c r="F21" s="124"/>
      <c r="G21" s="60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s="5" customFormat="1" ht="27">
      <c r="A22" s="490" t="s">
        <v>705</v>
      </c>
      <c r="B22" s="490"/>
      <c r="C22" s="492">
        <v>370</v>
      </c>
      <c r="D22" s="492"/>
      <c r="E22" s="62"/>
      <c r="F22" s="62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s="5" customFormat="1">
      <c r="A23" s="491" t="s">
        <v>706</v>
      </c>
      <c r="B23" s="491"/>
      <c r="C23" s="493">
        <v>0</v>
      </c>
      <c r="D23" s="493"/>
      <c r="E23" s="120" t="s">
        <v>707</v>
      </c>
      <c r="F23" s="120"/>
      <c r="G23" s="88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s="5" customFormat="1">
      <c r="A24" s="497" t="s">
        <v>708</v>
      </c>
      <c r="B24" s="497" t="s">
        <v>709</v>
      </c>
      <c r="C24" s="494">
        <v>0</v>
      </c>
      <c r="D24" s="494"/>
      <c r="E24" s="120" t="s">
        <v>710</v>
      </c>
      <c r="F24" s="120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s="5" customFormat="1" ht="27">
      <c r="A25" s="496" t="s">
        <v>711</v>
      </c>
      <c r="B25" s="496"/>
      <c r="C25" s="495">
        <f>SUM(809.39,'LANÇAMENTOS 2024'!F457:F464)</f>
        <v>3799.43</v>
      </c>
      <c r="D25" s="495"/>
      <c r="E25" s="217"/>
      <c r="F25" s="120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s="5" customFormat="1" ht="27">
      <c r="A26" s="498" t="s">
        <v>712</v>
      </c>
      <c r="B26" s="498"/>
      <c r="C26" s="499">
        <f>1200-C25</f>
        <v>-2599.4299999999998</v>
      </c>
      <c r="D26" s="499"/>
      <c r="E26" s="211"/>
      <c r="F26" s="120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s="5" customFormat="1" ht="21" customHeight="1">
      <c r="A27" s="500" t="s">
        <v>713</v>
      </c>
      <c r="B27" s="500"/>
      <c r="C27" s="501">
        <f>SUM(C22:C24)-C25</f>
        <v>-3429.43</v>
      </c>
      <c r="D27" s="501"/>
      <c r="E27" s="265">
        <f>C27/B3</f>
        <v>-0.10538852266521781</v>
      </c>
      <c r="F27" s="120" t="s">
        <v>714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s="5" customFormat="1" ht="31.5" customHeight="1">
      <c r="A28" s="123" t="s">
        <v>715</v>
      </c>
      <c r="B28" s="262">
        <f>SUM('LANÇAMENTOS 2024'!F532:F532)-'LANÇAMENTOS 2024'!F532</f>
        <v>0</v>
      </c>
      <c r="C28" s="122"/>
      <c r="D28" s="263">
        <f>C27-B28</f>
        <v>-3429.43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s="5" customFormat="1" ht="38.4">
      <c r="A29" s="123" t="s">
        <v>716</v>
      </c>
      <c r="B29" s="262">
        <f>'LANÇAMENTOS 2024'!F532</f>
        <v>591.27</v>
      </c>
      <c r="C29" s="412"/>
      <c r="D29" s="262">
        <f>D28-B29</f>
        <v>-4020.7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s="5" customFormat="1">
      <c r="A30" s="10"/>
      <c r="B30" s="10"/>
      <c r="C30" s="10"/>
      <c r="D30" s="10"/>
      <c r="E30" s="77"/>
      <c r="F30" s="77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s="5" customFormat="1" ht="27">
      <c r="A31" s="502" t="s">
        <v>717</v>
      </c>
      <c r="B31" s="502"/>
      <c r="C31" s="502"/>
      <c r="D31" s="502"/>
      <c r="E31" s="484" t="s">
        <v>718</v>
      </c>
      <c r="F31" s="485"/>
      <c r="G31" s="486"/>
      <c r="H31" s="117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s="118" customFormat="1" ht="27">
      <c r="A32" s="116" t="s">
        <v>273</v>
      </c>
      <c r="B32" s="116" t="s">
        <v>37</v>
      </c>
      <c r="C32" s="116" t="s">
        <v>719</v>
      </c>
      <c r="D32" s="152" t="s">
        <v>720</v>
      </c>
      <c r="E32" s="144" t="s">
        <v>721</v>
      </c>
      <c r="F32" s="145" t="s">
        <v>722</v>
      </c>
      <c r="G32" s="146" t="s">
        <v>723</v>
      </c>
      <c r="H32" s="117"/>
      <c r="I32" s="117"/>
      <c r="J32" s="117"/>
      <c r="K32" s="117"/>
      <c r="L32" s="117"/>
      <c r="M32" s="117"/>
      <c r="N32" s="117"/>
      <c r="O32" s="117"/>
      <c r="P32" s="117"/>
      <c r="Q32" s="117"/>
      <c r="R32" s="117"/>
      <c r="S32" s="117"/>
      <c r="T32" s="117"/>
      <c r="U32" s="117"/>
      <c r="V32" s="117"/>
      <c r="W32" s="117"/>
      <c r="X32" s="117"/>
      <c r="Y32" s="117"/>
    </row>
    <row r="33" spans="1:37" s="5" customFormat="1" ht="27">
      <c r="A33" s="215" t="s">
        <v>264</v>
      </c>
      <c r="B33" s="119">
        <f>SUM('LANÇAMENTOS 2024'!F6:F13)</f>
        <v>3177.86</v>
      </c>
      <c r="C33" s="194">
        <f>SUM('LANÇAMENTOS 2024'!F6:F8,'LANÇAMENTOS 2024'!F10,'LANÇAMENTOS 2024'!F12)</f>
        <v>2875</v>
      </c>
      <c r="D33" s="153">
        <f>B33-C33</f>
        <v>302.86000000000013</v>
      </c>
      <c r="E33" s="147">
        <f t="shared" ref="E33:E44" si="3">B33/B5</f>
        <v>1.2009054424802172</v>
      </c>
      <c r="F33" s="132">
        <f t="shared" ref="F33:F44" si="4">C33/B5</f>
        <v>1.086455396754616</v>
      </c>
      <c r="G33" s="148">
        <f>100%-E33</f>
        <v>-0.20090544248021724</v>
      </c>
      <c r="H33" s="148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</row>
    <row r="34" spans="1:37" s="5" customFormat="1" ht="27">
      <c r="A34" s="215" t="s">
        <v>266</v>
      </c>
      <c r="B34" s="119">
        <f>SUM('LANÇAMENTOS 2024'!F42:F48,'LANÇAMENTOS 2024'!F70)</f>
        <v>191.48000000000002</v>
      </c>
      <c r="C34" s="194">
        <f>SUM('LANÇAMENTOS 2024'!F44:F48)</f>
        <v>102.68</v>
      </c>
      <c r="D34" s="153">
        <f>B34-C34</f>
        <v>88.800000000000011</v>
      </c>
      <c r="E34" s="147">
        <f t="shared" si="3"/>
        <v>9.4446088586366786E-2</v>
      </c>
      <c r="F34" s="132">
        <f t="shared" si="4"/>
        <v>5.0646147775475985E-2</v>
      </c>
      <c r="G34" s="148">
        <f>100%-E34</f>
        <v>0.90555391141363317</v>
      </c>
      <c r="H34" s="148"/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</row>
    <row r="35" spans="1:37" s="5" customFormat="1" ht="27">
      <c r="A35" s="115" t="s">
        <v>275</v>
      </c>
      <c r="B35" s="119">
        <f>SUM('LANÇAMENTOS 2024'!F83:F89)+'LANÇAMENTOS 2024'!F111+'LANÇAMENTOS 2024'!F115</f>
        <v>368.93666666666667</v>
      </c>
      <c r="C35" s="194">
        <f>SUM('LANÇAMENTOS 2024'!F85:F89)</f>
        <v>242.95666666666668</v>
      </c>
      <c r="D35" s="153">
        <f>B35-C35</f>
        <v>125.97999999999999</v>
      </c>
      <c r="E35" s="147">
        <f t="shared" si="3"/>
        <v>0.17017373923739237</v>
      </c>
      <c r="F35" s="132">
        <f t="shared" si="4"/>
        <v>0.11206488314883149</v>
      </c>
      <c r="G35" s="148">
        <f t="shared" ref="G35:G44" si="5">100%-E35</f>
        <v>0.82982626076260768</v>
      </c>
      <c r="H35" s="13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37" s="5" customFormat="1" ht="27">
      <c r="A36" s="115" t="s">
        <v>276</v>
      </c>
      <c r="B36" s="119" t="e">
        <f>SUM('LANÇAMENTOS 2024'!F144:F150)+'LANÇAMENTOS 2024'!F174+'LANÇAMENTOS 2024'!#REF!+'LANÇAMENTOS 2024'!F178</f>
        <v>#REF!</v>
      </c>
      <c r="C36" s="194">
        <f>SUM('LANÇAMENTOS 2024'!F146:F150)</f>
        <v>72.12</v>
      </c>
      <c r="D36" s="153" t="e">
        <f t="shared" ref="D36:D44" si="6">B36-C36</f>
        <v>#REF!</v>
      </c>
      <c r="E36" s="147" t="e">
        <f t="shared" si="3"/>
        <v>#REF!</v>
      </c>
      <c r="F36" s="132">
        <f t="shared" si="4"/>
        <v>2.9863354037267083E-2</v>
      </c>
      <c r="G36" s="148" t="e">
        <f t="shared" si="5"/>
        <v>#REF!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37" s="5" customFormat="1" ht="27">
      <c r="A37" s="115" t="s">
        <v>277</v>
      </c>
      <c r="B37" s="119">
        <f>SUM('LANÇAMENTOS 2024'!F190:F196,'LANÇAMENTOS 2024'!F202)+'LANÇAMENTOS 2024'!F214</f>
        <v>548.24333333333334</v>
      </c>
      <c r="C37" s="194">
        <f>SUM('LANÇAMENTOS 2024'!F192:F196)</f>
        <v>226.68666666666667</v>
      </c>
      <c r="D37" s="153">
        <f t="shared" si="6"/>
        <v>321.55666666666667</v>
      </c>
      <c r="E37" s="147">
        <f t="shared" si="3"/>
        <v>0.24388048635824436</v>
      </c>
      <c r="F37" s="132">
        <f t="shared" si="4"/>
        <v>0.10083926453143535</v>
      </c>
      <c r="G37" s="148">
        <f t="shared" si="5"/>
        <v>0.75611951364175567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37" s="5" customFormat="1" ht="27">
      <c r="A38" s="115" t="s">
        <v>278</v>
      </c>
      <c r="B38" s="119">
        <f>SUM('LANÇAMENTOS 2024'!F230:F238)</f>
        <v>515.02666666666664</v>
      </c>
      <c r="C38" s="194">
        <f>SUM('LANÇAMENTOS 2024'!F232:F236,)</f>
        <v>333.47666666666669</v>
      </c>
      <c r="D38" s="153">
        <f t="shared" si="6"/>
        <v>181.54999999999995</v>
      </c>
      <c r="E38" s="147">
        <f t="shared" si="3"/>
        <v>0.2072541918175721</v>
      </c>
      <c r="F38" s="132">
        <f t="shared" si="4"/>
        <v>0.13419584171696849</v>
      </c>
      <c r="G38" s="148">
        <f t="shared" si="5"/>
        <v>0.7927458081824279</v>
      </c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37" s="5" customFormat="1" ht="27">
      <c r="A39" s="115" t="s">
        <v>279</v>
      </c>
      <c r="B39" s="119">
        <f>SUM('LANÇAMENTOS 2024'!F273:F280,)</f>
        <v>606.85333333333324</v>
      </c>
      <c r="C39" s="194">
        <f>SUM('LANÇAMENTOS 2024'!F275:F279)</f>
        <v>411.4666666666667</v>
      </c>
      <c r="D39" s="153">
        <f>B39-C39</f>
        <v>195.38666666666654</v>
      </c>
      <c r="E39" s="147">
        <f t="shared" si="3"/>
        <v>0.2264378109452736</v>
      </c>
      <c r="F39" s="132">
        <f t="shared" si="4"/>
        <v>0.15353233830845772</v>
      </c>
      <c r="G39" s="148">
        <f t="shared" si="5"/>
        <v>0.7735621890547264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37" s="5" customFormat="1" ht="27">
      <c r="A40" s="115" t="s">
        <v>280</v>
      </c>
      <c r="B40" s="119">
        <f>SUM('LANÇAMENTOS 2024'!F314:F324)</f>
        <v>767.90666666666675</v>
      </c>
      <c r="C40" s="194">
        <f>SUM('LANÇAMENTOS 2024'!F316:F320)</f>
        <v>187.27333333333334</v>
      </c>
      <c r="D40" s="153">
        <f>B40-C40</f>
        <v>580.63333333333344</v>
      </c>
      <c r="E40" s="147">
        <f t="shared" si="3"/>
        <v>0.2560977914439157</v>
      </c>
      <c r="F40" s="132">
        <f t="shared" si="4"/>
        <v>6.2455880570998518E-2</v>
      </c>
      <c r="G40" s="148">
        <f t="shared" si="5"/>
        <v>0.74390220855608424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37" s="5" customFormat="1" ht="27">
      <c r="A41" s="115" t="s">
        <v>281</v>
      </c>
      <c r="B41" s="119">
        <f>SUM('LANÇAMENTOS 2024'!F361:F370)</f>
        <v>597.61666666666667</v>
      </c>
      <c r="C41" s="194">
        <f>SUM('LANÇAMENTOS 2024'!F363:F367)</f>
        <v>265.95999999999998</v>
      </c>
      <c r="D41" s="153">
        <f t="shared" si="6"/>
        <v>331.65666666666669</v>
      </c>
      <c r="E41" s="147">
        <f t="shared" si="3"/>
        <v>0.21109737430825387</v>
      </c>
      <c r="F41" s="132">
        <f t="shared" si="4"/>
        <v>9.3945602260685268E-2</v>
      </c>
      <c r="G41" s="148">
        <f t="shared" si="5"/>
        <v>0.78890262569174618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37" s="5" customFormat="1" ht="27">
      <c r="A42" s="115" t="s">
        <v>282</v>
      </c>
      <c r="B42" s="119">
        <f>SUM('LANÇAMENTOS 2024'!F396:F404)</f>
        <v>710.96</v>
      </c>
      <c r="C42" s="194">
        <f>SUM('LANÇAMENTOS 2024'!F398:F402)</f>
        <v>435.24666666666667</v>
      </c>
      <c r="D42" s="153">
        <f t="shared" si="6"/>
        <v>275.71333333333337</v>
      </c>
      <c r="E42" s="147">
        <f t="shared" si="3"/>
        <v>0.28392971246006393</v>
      </c>
      <c r="F42" s="132">
        <f t="shared" si="4"/>
        <v>0.17382055378061767</v>
      </c>
      <c r="G42" s="148">
        <f t="shared" si="5"/>
        <v>0.71607028753993607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37" s="5" customFormat="1" ht="27">
      <c r="A43" s="115" t="s">
        <v>283</v>
      </c>
      <c r="B43" s="119"/>
      <c r="C43" s="194"/>
      <c r="D43" s="153">
        <f t="shared" si="6"/>
        <v>0</v>
      </c>
      <c r="E43" s="147">
        <f t="shared" si="3"/>
        <v>0</v>
      </c>
      <c r="F43" s="132">
        <f t="shared" si="4"/>
        <v>0</v>
      </c>
      <c r="G43" s="148">
        <f t="shared" si="5"/>
        <v>1</v>
      </c>
      <c r="H43" s="11"/>
      <c r="I43" s="13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37" s="5" customFormat="1" ht="27">
      <c r="A44" s="115" t="s">
        <v>284</v>
      </c>
      <c r="B44" s="119"/>
      <c r="C44" s="194"/>
      <c r="D44" s="153">
        <f t="shared" si="6"/>
        <v>0</v>
      </c>
      <c r="E44" s="149">
        <f t="shared" si="3"/>
        <v>0</v>
      </c>
      <c r="F44" s="150">
        <f t="shared" si="4"/>
        <v>0</v>
      </c>
      <c r="G44" s="151">
        <f t="shared" si="5"/>
        <v>1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37" s="5" customFormat="1">
      <c r="A45" s="10"/>
      <c r="B45" s="10"/>
      <c r="C45" s="132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37" s="5" customFormat="1" ht="27">
      <c r="A46" s="503" t="s">
        <v>724</v>
      </c>
      <c r="B46" s="503"/>
      <c r="C46" s="503"/>
      <c r="D46" s="504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37" s="5" customFormat="1" ht="27">
      <c r="A47" s="206" t="s">
        <v>273</v>
      </c>
      <c r="B47" s="206" t="s">
        <v>725</v>
      </c>
      <c r="C47" s="207" t="s">
        <v>726</v>
      </c>
      <c r="D47" s="208" t="s">
        <v>727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37" s="5" customFormat="1">
      <c r="A48" s="203" t="s">
        <v>264</v>
      </c>
      <c r="B48" s="204">
        <v>379.89</v>
      </c>
      <c r="C48" s="205">
        <v>190.79</v>
      </c>
      <c r="D48" s="204">
        <f>B48+C48</f>
        <v>570.67999999999995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 s="5" customFormat="1">
      <c r="A49" s="203" t="s">
        <v>266</v>
      </c>
      <c r="B49" s="204">
        <v>395.56</v>
      </c>
      <c r="C49" s="205">
        <v>333.17</v>
      </c>
      <c r="D49" s="204">
        <f t="shared" ref="D49:D59" si="7">B49+C49</f>
        <v>728.73</v>
      </c>
      <c r="E49" s="11"/>
      <c r="F49" s="11"/>
      <c r="G49" s="13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s="5" customFormat="1">
      <c r="A50" s="203" t="s">
        <v>275</v>
      </c>
      <c r="B50" s="204">
        <v>321.06</v>
      </c>
      <c r="C50" s="205">
        <v>325.81</v>
      </c>
      <c r="D50" s="204">
        <f t="shared" si="7"/>
        <v>646.87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 s="5" customFormat="1">
      <c r="A51" s="203" t="s">
        <v>276</v>
      </c>
      <c r="B51" s="200">
        <v>0</v>
      </c>
      <c r="C51" s="205">
        <v>191.62</v>
      </c>
      <c r="D51" s="204">
        <f>B51+C51</f>
        <v>191.62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s="5" customFormat="1">
      <c r="A52" s="203" t="s">
        <v>277</v>
      </c>
      <c r="B52" s="204">
        <v>724.19</v>
      </c>
      <c r="C52" s="205">
        <v>338.25</v>
      </c>
      <c r="D52" s="204">
        <f t="shared" si="7"/>
        <v>1062.44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s="5" customFormat="1">
      <c r="A53" s="203" t="s">
        <v>278</v>
      </c>
      <c r="B53" s="204">
        <v>446.24</v>
      </c>
      <c r="C53" s="205">
        <v>186.42</v>
      </c>
      <c r="D53" s="204">
        <f>B53+C53</f>
        <v>632.66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:25" s="5" customFormat="1">
      <c r="A54" s="203" t="s">
        <v>279</v>
      </c>
      <c r="B54" s="204">
        <v>525.51</v>
      </c>
      <c r="C54" s="205">
        <v>149.63999999999999</v>
      </c>
      <c r="D54" s="204">
        <f t="shared" si="7"/>
        <v>675.15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 s="5" customFormat="1">
      <c r="A55" s="203" t="s">
        <v>280</v>
      </c>
      <c r="B55" s="204">
        <v>813.08</v>
      </c>
      <c r="C55" s="205">
        <v>134.72</v>
      </c>
      <c r="D55" s="204">
        <f t="shared" si="7"/>
        <v>947.80000000000007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s="5" customFormat="1">
      <c r="A56" s="203" t="s">
        <v>281</v>
      </c>
      <c r="B56" s="204">
        <v>255.15</v>
      </c>
      <c r="C56" s="205">
        <v>221.32</v>
      </c>
      <c r="D56" s="204">
        <f t="shared" si="7"/>
        <v>476.47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s="5" customFormat="1">
      <c r="A57" s="203" t="s">
        <v>282</v>
      </c>
      <c r="B57" s="204">
        <v>564.94000000000005</v>
      </c>
      <c r="C57" s="205">
        <v>220.98</v>
      </c>
      <c r="D57" s="204">
        <f t="shared" si="7"/>
        <v>785.92000000000007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s="5" customFormat="1">
      <c r="A58" s="203" t="s">
        <v>283</v>
      </c>
      <c r="B58" s="204"/>
      <c r="C58" s="205"/>
      <c r="D58" s="204">
        <f t="shared" si="7"/>
        <v>0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s="5" customFormat="1">
      <c r="A59" s="203" t="s">
        <v>284</v>
      </c>
      <c r="B59" s="204"/>
      <c r="C59" s="205"/>
      <c r="D59" s="204">
        <f t="shared" si="7"/>
        <v>0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s="5" customFormat="1">
      <c r="A60" s="10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s="5" customFormat="1">
      <c r="A61" s="10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s="5" customFormat="1">
      <c r="A62" s="10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s="5" customFormat="1" ht="27">
      <c r="A63" s="506" t="s">
        <v>728</v>
      </c>
      <c r="B63" s="507"/>
      <c r="C63" s="507"/>
      <c r="D63" s="507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s="197" customFormat="1" ht="27">
      <c r="A64" s="202" t="s">
        <v>729</v>
      </c>
      <c r="B64" s="199" t="s">
        <v>730</v>
      </c>
      <c r="C64" s="199" t="s">
        <v>731</v>
      </c>
      <c r="D64" s="199" t="s">
        <v>732</v>
      </c>
      <c r="E64" s="11"/>
      <c r="F64" s="11"/>
      <c r="G64" s="196"/>
      <c r="H64" s="196"/>
      <c r="I64" s="196"/>
      <c r="J64" s="196"/>
      <c r="K64" s="196"/>
      <c r="L64" s="196"/>
      <c r="M64" s="196"/>
      <c r="N64" s="196"/>
      <c r="O64" s="196"/>
      <c r="P64" s="196"/>
      <c r="Q64" s="196"/>
      <c r="R64" s="196"/>
      <c r="S64" s="196"/>
      <c r="T64" s="196"/>
      <c r="U64" s="196"/>
      <c r="V64" s="196"/>
      <c r="W64" s="196"/>
      <c r="X64" s="196"/>
      <c r="Y64" s="196"/>
    </row>
    <row r="65" spans="1:25" s="118" customFormat="1" ht="27">
      <c r="A65" s="195" t="s">
        <v>733</v>
      </c>
      <c r="B65" s="198">
        <v>0</v>
      </c>
      <c r="C65" s="198"/>
      <c r="D65" s="198"/>
      <c r="E65" s="11"/>
      <c r="F65" s="11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</row>
    <row r="66" spans="1:25" s="118" customFormat="1" ht="27">
      <c r="A66" s="195" t="s">
        <v>734</v>
      </c>
      <c r="B66" s="198">
        <v>0</v>
      </c>
      <c r="C66" s="198"/>
      <c r="D66" s="198"/>
      <c r="E66" s="11"/>
      <c r="F66" s="11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  <c r="Y66" s="117"/>
    </row>
    <row r="67" spans="1:25" s="118" customFormat="1" ht="27">
      <c r="A67" s="195" t="s">
        <v>735</v>
      </c>
      <c r="B67" s="198">
        <v>0</v>
      </c>
      <c r="C67" s="198"/>
      <c r="D67" s="198"/>
      <c r="E67" s="11"/>
      <c r="F67" s="11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</row>
    <row r="68" spans="1:25" s="118" customFormat="1" ht="27">
      <c r="A68" s="195" t="s">
        <v>736</v>
      </c>
      <c r="B68" s="198">
        <v>0</v>
      </c>
      <c r="C68" s="198"/>
      <c r="D68" s="198"/>
      <c r="E68" s="11"/>
      <c r="F68" s="11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</row>
    <row r="69" spans="1:25" s="5" customFormat="1" ht="27">
      <c r="A69" s="195" t="s">
        <v>737</v>
      </c>
      <c r="B69" s="198">
        <v>0</v>
      </c>
      <c r="C69" s="198"/>
      <c r="D69" s="198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s="5" customFormat="1" ht="27">
      <c r="A70" s="413" t="s">
        <v>727</v>
      </c>
      <c r="B70" s="201">
        <f>SUM(B65:B69)</f>
        <v>0</v>
      </c>
      <c r="C70" s="201">
        <f>SUM(C65:C69)</f>
        <v>0</v>
      </c>
      <c r="D70" s="201">
        <f>SUM(D65:D69)</f>
        <v>0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s="5" customFormat="1">
      <c r="A71" s="505"/>
      <c r="B71" s="505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1:25" s="5" customFormat="1" ht="27">
      <c r="A72" s="444" t="s">
        <v>738</v>
      </c>
      <c r="B72" s="445"/>
      <c r="C72" s="445"/>
      <c r="D72" s="454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s="5" customFormat="1" ht="27">
      <c r="A73" s="457" t="s">
        <v>288</v>
      </c>
      <c r="B73" s="458"/>
      <c r="C73" s="463" t="s">
        <v>289</v>
      </c>
      <c r="D73" s="464"/>
      <c r="E73" s="76" t="s">
        <v>290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1:25" s="5" customFormat="1" ht="27">
      <c r="A74" s="469" t="s">
        <v>291</v>
      </c>
      <c r="B74" s="469"/>
      <c r="C74" s="465">
        <f>SUM('LANÇAMENTOS 2024'!F310,'LANÇAMENTOS 2024'!F326,'LANÇAMENTOS 2024'!F332,'LANÇAMENTOS 2024'!F340,'LANÇAMENTOS 2024'!F341,'LANÇAMENTOS 2024'!F344,'LANÇAMENTOS 2024'!F346,'LANÇAMENTOS 2024'!F349,'LANÇAMENTOS 2024'!F351)</f>
        <v>271.01</v>
      </c>
      <c r="D74" s="466"/>
      <c r="E74" s="77">
        <f>C74/4</f>
        <v>67.752499999999998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 s="5" customFormat="1" ht="27">
      <c r="A75" s="469" t="s">
        <v>292</v>
      </c>
      <c r="B75" s="469"/>
      <c r="C75" s="465">
        <f>SUM('LANÇAMENTOS 2024'!F374,'LANÇAMENTOS 2024'!F378,'LANÇAMENTOS 2024'!F379)</f>
        <v>124</v>
      </c>
      <c r="D75" s="466"/>
      <c r="E75" s="77">
        <f>C75/4</f>
        <v>31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 s="5" customFormat="1" ht="27">
      <c r="A76" s="459" t="s">
        <v>293</v>
      </c>
      <c r="B76" s="459"/>
      <c r="C76" s="467">
        <v>0</v>
      </c>
      <c r="D76" s="468"/>
      <c r="E76" s="77">
        <f>C76/4</f>
        <v>0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 s="5" customFormat="1" ht="27">
      <c r="A77" s="459" t="s">
        <v>294</v>
      </c>
      <c r="B77" s="459"/>
      <c r="C77" s="481">
        <v>0</v>
      </c>
      <c r="D77" s="481"/>
      <c r="E77" s="77">
        <f>C77/4</f>
        <v>0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 s="5" customFormat="1" ht="27">
      <c r="A78" s="482" t="s">
        <v>295</v>
      </c>
      <c r="B78" s="483"/>
      <c r="C78" s="465">
        <v>0</v>
      </c>
      <c r="D78" s="466"/>
      <c r="E78" s="77">
        <f>C78/4</f>
        <v>0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:25" s="5" customFormat="1" ht="27">
      <c r="A79" s="460" t="s">
        <v>296</v>
      </c>
      <c r="B79" s="461"/>
      <c r="C79" s="462"/>
      <c r="D79" s="59">
        <f>SUM(C74:C79)</f>
        <v>395.01</v>
      </c>
      <c r="E79" s="65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 s="5" customFormat="1" ht="26.25" customHeight="1">
      <c r="A80" s="66">
        <v>2</v>
      </c>
      <c r="B80" s="451" t="s">
        <v>297</v>
      </c>
      <c r="C80" s="451"/>
      <c r="D80" s="67">
        <f>D79/A80</f>
        <v>197.505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 s="5" customFormat="1" ht="22.5" customHeight="1">
      <c r="A81" s="10"/>
      <c r="B81" s="480" t="s">
        <v>298</v>
      </c>
      <c r="C81" s="480"/>
      <c r="D81" s="74">
        <f>AVERAGE(E74:E78)</f>
        <v>19.750499999999999</v>
      </c>
      <c r="E81" s="60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:25" s="5" customFormat="1">
      <c r="A82" s="10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:25" s="5" customFormat="1">
      <c r="A83" s="10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s="5" customFormat="1">
      <c r="A84" s="10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25" s="5" customFormat="1">
      <c r="A85" s="10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 s="5" customFormat="1">
      <c r="A86" s="10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spans="1:25" s="5" customFormat="1">
      <c r="A87" s="10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 s="5" customFormat="1">
      <c r="A88" s="10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spans="1:25" s="5" customFormat="1">
      <c r="A89" s="10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25" s="5" customFormat="1">
      <c r="A90" s="10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s="5" customFormat="1">
      <c r="A91" s="10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25" s="5" customFormat="1">
      <c r="A92" s="10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spans="1:25" s="5" customFormat="1">
      <c r="A93" s="10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spans="1:25">
      <c r="A94" s="10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spans="1:25">
      <c r="A95" s="10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</sheetData>
  <mergeCells count="37">
    <mergeCell ref="B80:C80"/>
    <mergeCell ref="B81:C81"/>
    <mergeCell ref="A77:B77"/>
    <mergeCell ref="C77:D77"/>
    <mergeCell ref="A78:B78"/>
    <mergeCell ref="C78:D78"/>
    <mergeCell ref="A79:C79"/>
    <mergeCell ref="A74:B74"/>
    <mergeCell ref="C74:D74"/>
    <mergeCell ref="A75:B75"/>
    <mergeCell ref="C75:D75"/>
    <mergeCell ref="A76:B76"/>
    <mergeCell ref="C76:D76"/>
    <mergeCell ref="A72:D72"/>
    <mergeCell ref="A73:B73"/>
    <mergeCell ref="C73:D73"/>
    <mergeCell ref="A26:B26"/>
    <mergeCell ref="C26:D26"/>
    <mergeCell ref="A27:B27"/>
    <mergeCell ref="C27:D27"/>
    <mergeCell ref="A31:D31"/>
    <mergeCell ref="A46:D46"/>
    <mergeCell ref="A71:B71"/>
    <mergeCell ref="A63:D63"/>
    <mergeCell ref="E31:G31"/>
    <mergeCell ref="A18:C18"/>
    <mergeCell ref="A19:C19"/>
    <mergeCell ref="A21:B21"/>
    <mergeCell ref="C21:D21"/>
    <mergeCell ref="A22:B22"/>
    <mergeCell ref="A23:B23"/>
    <mergeCell ref="C22:D22"/>
    <mergeCell ref="C23:D23"/>
    <mergeCell ref="C24:D24"/>
    <mergeCell ref="C25:D25"/>
    <mergeCell ref="A25:B25"/>
    <mergeCell ref="A24:B24"/>
  </mergeCells>
  <phoneticPr fontId="1" alignment="center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104E3-A538-E247-9A1A-68BE9F283EEF}">
  <dimension ref="A1"/>
  <sheetViews>
    <sheetView showGridLines="0" showRowColHeaders="0" zoomScaleNormal="60" zoomScaleSheetLayoutView="100" workbookViewId="0">
      <selection sqref="A1:XFD1048576"/>
    </sheetView>
  </sheetViews>
  <sheetFormatPr defaultColWidth="8.5546875" defaultRowHeight="14.4"/>
  <cols>
    <col min="1" max="16384" width="8.5546875" style="3"/>
  </cols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32C1-BF58-418E-BD2D-1C51736BBD7D}">
  <dimension ref="A1:K368"/>
  <sheetViews>
    <sheetView tabSelected="1" zoomScale="55" zoomScaleNormal="55" zoomScaleSheetLayoutView="100" workbookViewId="0">
      <pane xSplit="1" topLeftCell="B1" activePane="topRight" state="frozen"/>
      <selection activeCell="A36" sqref="A36"/>
      <selection pane="topRight" activeCell="I35" sqref="I35"/>
    </sheetView>
  </sheetViews>
  <sheetFormatPr defaultColWidth="8.5546875" defaultRowHeight="18"/>
  <cols>
    <col min="1" max="1" width="17" style="342" bestFit="1" customWidth="1"/>
    <col min="2" max="2" width="13.5546875" style="337" customWidth="1"/>
    <col min="3" max="3" width="31.6640625" style="337" customWidth="1"/>
    <col min="4" max="4" width="29" style="336" customWidth="1"/>
    <col min="5" max="5" width="38.6640625" style="336" customWidth="1"/>
    <col min="6" max="6" width="34" style="336" customWidth="1"/>
    <col min="7" max="7" width="21.88671875" style="342" customWidth="1"/>
    <col min="8" max="8" width="48.44140625" style="336" bestFit="1" customWidth="1"/>
    <col min="9" max="9" width="41.88671875" style="336" customWidth="1"/>
    <col min="10" max="10" width="17" style="336" bestFit="1" customWidth="1"/>
    <col min="11" max="11" width="21.44140625" style="336" customWidth="1"/>
    <col min="12" max="12" width="9.5546875" style="336" bestFit="1" customWidth="1"/>
    <col min="13" max="13" width="9" style="336" bestFit="1" customWidth="1"/>
    <col min="14" max="14" width="8.5546875" style="336"/>
    <col min="15" max="15" width="17" style="336" bestFit="1" customWidth="1"/>
    <col min="16" max="16384" width="8.5546875" style="336"/>
  </cols>
  <sheetData>
    <row r="1" spans="1:11" ht="18.600000000000001" thickBot="1"/>
    <row r="2" spans="1:11" s="338" customFormat="1" ht="47.4" customHeight="1" thickBot="1">
      <c r="A2" s="508" t="s">
        <v>739</v>
      </c>
      <c r="B2" s="509"/>
      <c r="C2" s="509"/>
      <c r="D2" s="509"/>
      <c r="E2" s="509"/>
      <c r="F2" s="509"/>
      <c r="G2" s="510"/>
    </row>
    <row r="3" spans="1:11" s="338" customFormat="1" ht="21">
      <c r="A3" s="348"/>
      <c r="B3" s="339"/>
      <c r="C3" s="339"/>
      <c r="G3" s="348"/>
    </row>
    <row r="4" spans="1:11" s="340" customFormat="1" ht="28.2" customHeight="1">
      <c r="A4" s="343" t="s">
        <v>33</v>
      </c>
      <c r="B4" s="343" t="s">
        <v>34</v>
      </c>
      <c r="C4" s="343" t="s">
        <v>316</v>
      </c>
      <c r="D4" s="343" t="s">
        <v>35</v>
      </c>
      <c r="E4" s="343" t="s">
        <v>740</v>
      </c>
      <c r="F4" s="343" t="s">
        <v>36</v>
      </c>
      <c r="G4" s="343" t="s">
        <v>37</v>
      </c>
      <c r="I4" s="341"/>
      <c r="J4" s="341"/>
      <c r="K4" s="341"/>
    </row>
    <row r="5" spans="1:11" s="338" customFormat="1" ht="21">
      <c r="A5" s="376">
        <v>45658</v>
      </c>
      <c r="B5" s="362" t="str">
        <f>UPPER(TEXT(Lançamentos_2025[[#This Row],[DATA]],"MMM"))</f>
        <v>JAN</v>
      </c>
      <c r="C5" s="363" t="s">
        <v>7</v>
      </c>
      <c r="D5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ENTRADA</v>
      </c>
      <c r="E5" s="363" t="str">
        <f ca="1">VLOOKUP(RANDBETWEEN(1,5),FORMAS_PGMTO[#All],2,FALSE)</f>
        <v>Dinheiro</v>
      </c>
      <c r="F5" s="367" t="s">
        <v>760</v>
      </c>
      <c r="G5" s="377">
        <v>2500</v>
      </c>
    </row>
    <row r="6" spans="1:11" s="338" customFormat="1" ht="21">
      <c r="A6" s="376">
        <v>45659</v>
      </c>
      <c r="B6" s="362" t="str">
        <f>UPPER(TEXT(Lançamentos_2025[[#This Row],[DATA]],"MMM"))</f>
        <v>JAN</v>
      </c>
      <c r="C6" s="363" t="s">
        <v>25</v>
      </c>
      <c r="D6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INVESTIMENTO</v>
      </c>
      <c r="E6" s="363" t="str">
        <f ca="1">VLOOKUP(RANDBETWEEN(1,5),FORMAS_PGMTO[#All],2,FALSE)</f>
        <v>Débito</v>
      </c>
      <c r="F6" s="367" t="s">
        <v>761</v>
      </c>
      <c r="G6" s="377">
        <v>1100</v>
      </c>
      <c r="I6" s="344"/>
    </row>
    <row r="7" spans="1:11" s="338" customFormat="1" ht="21">
      <c r="A7" s="376">
        <v>45660</v>
      </c>
      <c r="B7" s="362" t="str">
        <f>UPPER(TEXT(Lançamentos_2025[[#This Row],[DATA]],"MMM"))</f>
        <v>JAN</v>
      </c>
      <c r="C7" s="363" t="s">
        <v>5</v>
      </c>
      <c r="D7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7" s="366" t="str">
        <f ca="1">VLOOKUP(RANDBETWEEN(1,5),FORMAS_PGMTO[#All],2,FALSE)</f>
        <v>Dinheiro</v>
      </c>
      <c r="F7" s="368" t="s">
        <v>762</v>
      </c>
      <c r="G7" s="437">
        <v>300</v>
      </c>
    </row>
    <row r="8" spans="1:11" s="338" customFormat="1" ht="21">
      <c r="A8" s="376">
        <v>45661</v>
      </c>
      <c r="B8" s="362" t="str">
        <f>UPPER(TEXT(Lançamentos_2025[[#This Row],[DATA]],"MMM"))</f>
        <v>JAN</v>
      </c>
      <c r="C8" s="363" t="s">
        <v>5</v>
      </c>
      <c r="D8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8" s="366" t="str">
        <f ca="1">VLOOKUP(RANDBETWEEN(1,5),FORMAS_PGMTO[#All],2,FALSE)</f>
        <v>Débito</v>
      </c>
      <c r="F8" s="369" t="s">
        <v>763</v>
      </c>
      <c r="G8" s="377">
        <v>800</v>
      </c>
    </row>
    <row r="9" spans="1:11" s="338" customFormat="1" ht="21">
      <c r="A9" s="376">
        <v>45662</v>
      </c>
      <c r="B9" s="362" t="str">
        <f>UPPER(TEXT(Lançamentos_2025[[#This Row],[DATA]],"MMM"))</f>
        <v>JAN</v>
      </c>
      <c r="C9" s="363" t="s">
        <v>5</v>
      </c>
      <c r="D9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9" s="366" t="str">
        <f ca="1">VLOOKUP(RANDBETWEEN(1,5),FORMAS_PGMTO[#All],2,FALSE)</f>
        <v>Dinheiro</v>
      </c>
      <c r="F9" s="367" t="s">
        <v>764</v>
      </c>
      <c r="G9" s="377">
        <v>250</v>
      </c>
    </row>
    <row r="10" spans="1:11" s="338" customFormat="1" ht="21" hidden="1">
      <c r="A10" s="376">
        <v>45663</v>
      </c>
      <c r="B10" s="362" t="str">
        <f>UPPER(TEXT(Lançamentos_2025[[#This Row],[DATA]],"MMM"))</f>
        <v>JAN</v>
      </c>
      <c r="C10" s="433"/>
      <c r="D10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0" s="434" t="str">
        <f ca="1">VLOOKUP(RANDBETWEEN(1,5),FORMAS_PGMTO[#All],2,FALSE)</f>
        <v>Crédito</v>
      </c>
      <c r="F10" s="435"/>
      <c r="G10" s="442"/>
      <c r="I10" s="345"/>
    </row>
    <row r="11" spans="1:11" s="338" customFormat="1" ht="21" hidden="1">
      <c r="A11" s="376">
        <v>45664</v>
      </c>
      <c r="B11" s="362" t="str">
        <f>UPPER(TEXT(Lançamentos_2025[[#This Row],[DATA]],"MMM"))</f>
        <v>JAN</v>
      </c>
      <c r="C11" s="433"/>
      <c r="D11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1" s="434" t="str">
        <f ca="1">VLOOKUP(RANDBETWEEN(1,5),FORMAS_PGMTO[#All],2,FALSE)</f>
        <v>Crédito</v>
      </c>
      <c r="F11" s="435"/>
      <c r="G11" s="442"/>
    </row>
    <row r="12" spans="1:11" s="338" customFormat="1" ht="21" hidden="1">
      <c r="A12" s="376">
        <v>45665</v>
      </c>
      <c r="B12" s="362" t="str">
        <f>UPPER(TEXT(Lançamentos_2025[[#This Row],[DATA]],"MMM"))</f>
        <v>JAN</v>
      </c>
      <c r="C12" s="433"/>
      <c r="D12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2" s="434" t="str">
        <f ca="1">VLOOKUP(RANDBETWEEN(1,5),FORMAS_PGMTO[#All],2,FALSE)</f>
        <v>Pix</v>
      </c>
      <c r="F12" s="435"/>
      <c r="G12" s="442"/>
    </row>
    <row r="13" spans="1:11" s="338" customFormat="1" ht="21" hidden="1">
      <c r="A13" s="376">
        <v>45666</v>
      </c>
      <c r="B13" s="362" t="str">
        <f>UPPER(TEXT(Lançamentos_2025[[#This Row],[DATA]],"MMM"))</f>
        <v>JAN</v>
      </c>
      <c r="C13" s="433"/>
      <c r="D13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3" s="434" t="str">
        <f ca="1">VLOOKUP(RANDBETWEEN(1,5),FORMAS_PGMTO[#All],2,FALSE)</f>
        <v>Boleto</v>
      </c>
      <c r="F13" s="435"/>
      <c r="G13" s="442"/>
      <c r="H13" s="346"/>
    </row>
    <row r="14" spans="1:11" s="338" customFormat="1" ht="21" hidden="1">
      <c r="A14" s="376">
        <v>45667</v>
      </c>
      <c r="B14" s="362" t="str">
        <f>UPPER(TEXT(Lançamentos_2025[[#This Row],[DATA]],"MMM"))</f>
        <v>JAN</v>
      </c>
      <c r="C14" s="433"/>
      <c r="D14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4" s="434" t="str">
        <f ca="1">VLOOKUP(RANDBETWEEN(1,5),FORMAS_PGMTO[#All],2,FALSE)</f>
        <v>Pix</v>
      </c>
      <c r="F14" s="435"/>
      <c r="G14" s="442"/>
      <c r="H14" s="346"/>
    </row>
    <row r="15" spans="1:11" s="338" customFormat="1" ht="21" hidden="1">
      <c r="A15" s="376">
        <v>45668</v>
      </c>
      <c r="B15" s="362" t="str">
        <f>UPPER(TEXT(Lançamentos_2025[[#This Row],[DATA]],"MMM"))</f>
        <v>JAN</v>
      </c>
      <c r="C15" s="433"/>
      <c r="D15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5" s="434" t="str">
        <f ca="1">VLOOKUP(RANDBETWEEN(1,5),FORMAS_PGMTO[#All],2,FALSE)</f>
        <v>Dinheiro</v>
      </c>
      <c r="F15" s="435"/>
      <c r="G15" s="442"/>
    </row>
    <row r="16" spans="1:11" s="338" customFormat="1" ht="21" hidden="1">
      <c r="A16" s="376">
        <v>45669</v>
      </c>
      <c r="B16" s="362" t="str">
        <f>UPPER(TEXT(Lançamentos_2025[[#This Row],[DATA]],"MMM"))</f>
        <v>JAN</v>
      </c>
      <c r="C16" s="433"/>
      <c r="D16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6" s="434" t="str">
        <f ca="1">VLOOKUP(RANDBETWEEN(1,5),FORMAS_PGMTO[#All],2,FALSE)</f>
        <v>Pix</v>
      </c>
      <c r="F16" s="435"/>
      <c r="G16" s="442"/>
    </row>
    <row r="17" spans="1:7" s="338" customFormat="1" ht="21" hidden="1">
      <c r="A17" s="376">
        <v>45670</v>
      </c>
      <c r="B17" s="362" t="str">
        <f>UPPER(TEXT(Lançamentos_2025[[#This Row],[DATA]],"MMM"))</f>
        <v>JAN</v>
      </c>
      <c r="C17" s="433"/>
      <c r="D17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7" s="434" t="str">
        <f ca="1">VLOOKUP(RANDBETWEEN(1,5),FORMAS_PGMTO[#All],2,FALSE)</f>
        <v>Crédito</v>
      </c>
      <c r="F17" s="435"/>
      <c r="G17" s="442"/>
    </row>
    <row r="18" spans="1:7" s="338" customFormat="1" ht="21" hidden="1">
      <c r="A18" s="376">
        <v>45671</v>
      </c>
      <c r="B18" s="364" t="str">
        <f>UPPER(TEXT(Lançamentos_2025[[#This Row],[DATA]],"MMM"))</f>
        <v>JAN</v>
      </c>
      <c r="C18" s="433"/>
      <c r="D18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8" s="434" t="str">
        <f ca="1">VLOOKUP(RANDBETWEEN(1,5),FORMAS_PGMTO[#All],2,FALSE)</f>
        <v>Pix</v>
      </c>
      <c r="F18" s="435"/>
      <c r="G18" s="442"/>
    </row>
    <row r="19" spans="1:7" s="338" customFormat="1" ht="21" hidden="1">
      <c r="A19" s="376">
        <v>45672</v>
      </c>
      <c r="B19" s="362" t="str">
        <f>UPPER(TEXT(Lançamentos_2025[[#This Row],[DATA]],"MMM"))</f>
        <v>JAN</v>
      </c>
      <c r="C19" s="433"/>
      <c r="D19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9" s="434" t="str">
        <f ca="1">VLOOKUP(RANDBETWEEN(1,5),FORMAS_PGMTO[#All],2,FALSE)</f>
        <v>Crédito</v>
      </c>
      <c r="F19" s="435"/>
      <c r="G19" s="442"/>
    </row>
    <row r="20" spans="1:7" s="338" customFormat="1" ht="21" hidden="1">
      <c r="A20" s="376">
        <v>45673</v>
      </c>
      <c r="B20" s="362" t="str">
        <f>UPPER(TEXT(Lançamentos_2025[[#This Row],[DATA]],"MMM"))</f>
        <v>JAN</v>
      </c>
      <c r="C20" s="433"/>
      <c r="D20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0" s="434" t="str">
        <f ca="1">VLOOKUP(RANDBETWEEN(1,5),FORMAS_PGMTO[#All],2,FALSE)</f>
        <v>Boleto</v>
      </c>
      <c r="F20" s="435"/>
      <c r="G20" s="442"/>
    </row>
    <row r="21" spans="1:7" s="338" customFormat="1" ht="21" hidden="1">
      <c r="A21" s="376">
        <v>45674</v>
      </c>
      <c r="B21" s="362" t="str">
        <f>UPPER(TEXT(Lançamentos_2025[[#This Row],[DATA]],"MMM"))</f>
        <v>JAN</v>
      </c>
      <c r="C21" s="433"/>
      <c r="D21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1" s="434" t="str">
        <f ca="1">VLOOKUP(RANDBETWEEN(1,5),FORMAS_PGMTO[#All],2,FALSE)</f>
        <v>Boleto</v>
      </c>
      <c r="F21" s="435"/>
      <c r="G21" s="442"/>
    </row>
    <row r="22" spans="1:7" s="338" customFormat="1" ht="21" hidden="1">
      <c r="A22" s="376">
        <v>45675</v>
      </c>
      <c r="B22" s="362" t="str">
        <f>UPPER(TEXT(Lançamentos_2025[[#This Row],[DATA]],"MMM"))</f>
        <v>JAN</v>
      </c>
      <c r="C22" s="433"/>
      <c r="D22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2" s="434" t="str">
        <f ca="1">VLOOKUP(RANDBETWEEN(1,5),FORMAS_PGMTO[#All],2,FALSE)</f>
        <v>Pix</v>
      </c>
      <c r="F22" s="435"/>
      <c r="G22" s="442"/>
    </row>
    <row r="23" spans="1:7" s="338" customFormat="1" ht="21" hidden="1">
      <c r="A23" s="376">
        <v>45676</v>
      </c>
      <c r="B23" s="364" t="str">
        <f>UPPER(TEXT(Lançamentos_2025[[#This Row],[DATA]],"MMM"))</f>
        <v>JAN</v>
      </c>
      <c r="C23" s="433"/>
      <c r="D23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3" s="434" t="str">
        <f ca="1">VLOOKUP(RANDBETWEEN(1,5),FORMAS_PGMTO[#All],2,FALSE)</f>
        <v>Débito</v>
      </c>
      <c r="F23" s="435"/>
      <c r="G23" s="442"/>
    </row>
    <row r="24" spans="1:7" s="338" customFormat="1" ht="21" hidden="1">
      <c r="A24" s="376">
        <v>45677</v>
      </c>
      <c r="B24" s="362" t="str">
        <f>UPPER(TEXT(Lançamentos_2025[[#This Row],[DATA]],"MMM"))</f>
        <v>JAN</v>
      </c>
      <c r="C24" s="433"/>
      <c r="D24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4" s="434" t="str">
        <f ca="1">VLOOKUP(RANDBETWEEN(1,5),FORMAS_PGMTO[#All],2,FALSE)</f>
        <v>Débito</v>
      </c>
      <c r="F24" s="435"/>
      <c r="G24" s="442"/>
    </row>
    <row r="25" spans="1:7" s="338" customFormat="1" ht="21" hidden="1">
      <c r="A25" s="376">
        <v>45678</v>
      </c>
      <c r="B25" s="362" t="str">
        <f>UPPER(TEXT(Lançamentos_2025[[#This Row],[DATA]],"MMM"))</f>
        <v>JAN</v>
      </c>
      <c r="C25" s="433"/>
      <c r="D25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5" s="434" t="str">
        <f ca="1">VLOOKUP(RANDBETWEEN(1,5),FORMAS_PGMTO[#All],2,FALSE)</f>
        <v>Dinheiro</v>
      </c>
      <c r="F25" s="435"/>
      <c r="G25" s="442"/>
    </row>
    <row r="26" spans="1:7" s="338" customFormat="1" ht="21" hidden="1">
      <c r="A26" s="376">
        <v>45679</v>
      </c>
      <c r="B26" s="362" t="str">
        <f>UPPER(TEXT(Lançamentos_2025[[#This Row],[DATA]],"MMM"))</f>
        <v>JAN</v>
      </c>
      <c r="C26" s="433"/>
      <c r="D26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6" s="434" t="str">
        <f ca="1">VLOOKUP(RANDBETWEEN(1,5),FORMAS_PGMTO[#All],2,FALSE)</f>
        <v>Débito</v>
      </c>
      <c r="F26" s="435"/>
      <c r="G26" s="442"/>
    </row>
    <row r="27" spans="1:7" s="338" customFormat="1" ht="21" hidden="1">
      <c r="A27" s="376">
        <v>45680</v>
      </c>
      <c r="B27" s="362" t="str">
        <f>UPPER(TEXT(Lançamentos_2025[[#This Row],[DATA]],"MMM"))</f>
        <v>JAN</v>
      </c>
      <c r="C27" s="433"/>
      <c r="D27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7" s="434" t="str">
        <f ca="1">VLOOKUP(RANDBETWEEN(1,5),FORMAS_PGMTO[#All],2,FALSE)</f>
        <v>Pix</v>
      </c>
      <c r="F27" s="435"/>
      <c r="G27" s="442"/>
    </row>
    <row r="28" spans="1:7" s="338" customFormat="1" ht="21" hidden="1">
      <c r="A28" s="376">
        <v>45681</v>
      </c>
      <c r="B28" s="365" t="str">
        <f>UPPER(TEXT(Lançamentos_2025[[#This Row],[DATA]],"MMM"))</f>
        <v>JAN</v>
      </c>
      <c r="C28" s="433"/>
      <c r="D28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8" s="434" t="str">
        <f ca="1">VLOOKUP(RANDBETWEEN(1,5),FORMAS_PGMTO[#All],2,FALSE)</f>
        <v>Crédito</v>
      </c>
      <c r="F28" s="435"/>
      <c r="G28" s="442"/>
    </row>
    <row r="29" spans="1:7" s="338" customFormat="1" ht="21" hidden="1">
      <c r="A29" s="376">
        <v>45682</v>
      </c>
      <c r="B29" s="365" t="str">
        <f>UPPER(TEXT(Lançamentos_2025[[#This Row],[DATA]],"MMM"))</f>
        <v>JAN</v>
      </c>
      <c r="C29" s="433"/>
      <c r="D29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9" s="434" t="str">
        <f ca="1">VLOOKUP(RANDBETWEEN(1,5),FORMAS_PGMTO[#All],2,FALSE)</f>
        <v>Boleto</v>
      </c>
      <c r="F29" s="435"/>
      <c r="G29" s="442"/>
    </row>
    <row r="30" spans="1:7" s="338" customFormat="1" ht="21" hidden="1">
      <c r="A30" s="376">
        <v>45683</v>
      </c>
      <c r="B30" s="364" t="str">
        <f>UPPER(TEXT(Lançamentos_2025[[#This Row],[DATA]],"MMM"))</f>
        <v>JAN</v>
      </c>
      <c r="C30" s="433"/>
      <c r="D30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0" s="434" t="str">
        <f ca="1">VLOOKUP(RANDBETWEEN(1,5),FORMAS_PGMTO[#All],2,FALSE)</f>
        <v>Boleto</v>
      </c>
      <c r="F30" s="435"/>
      <c r="G30" s="442"/>
    </row>
    <row r="31" spans="1:7" s="338" customFormat="1" ht="21" hidden="1">
      <c r="A31" s="376">
        <v>45684</v>
      </c>
      <c r="B31" s="362" t="str">
        <f>UPPER(TEXT(Lançamentos_2025[[#This Row],[DATA]],"MMM"))</f>
        <v>JAN</v>
      </c>
      <c r="C31" s="433"/>
      <c r="D31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1" s="434" t="str">
        <f ca="1">VLOOKUP(RANDBETWEEN(1,5),FORMAS_PGMTO[#All],2,FALSE)</f>
        <v>Crédito</v>
      </c>
      <c r="F31" s="435"/>
      <c r="G31" s="442"/>
    </row>
    <row r="32" spans="1:7" s="338" customFormat="1" ht="21">
      <c r="A32" s="376">
        <v>45686</v>
      </c>
      <c r="B32" s="362" t="str">
        <f>UPPER(TEXT(Lançamentos_2025[[#This Row],[DATA]],"MMM"))</f>
        <v>JAN</v>
      </c>
      <c r="C32" s="363" t="s">
        <v>19</v>
      </c>
      <c r="D32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32" s="363" t="str">
        <f ca="1">VLOOKUP(RANDBETWEEN(1,5),FORMAS_PGMTO[#All],2,FALSE)</f>
        <v>Dinheiro</v>
      </c>
      <c r="F32" s="367" t="s">
        <v>784</v>
      </c>
      <c r="G32" s="441">
        <v>200</v>
      </c>
    </row>
    <row r="33" spans="1:9" s="338" customFormat="1" ht="21">
      <c r="A33" s="376">
        <v>45687</v>
      </c>
      <c r="B33" s="364" t="str">
        <f>UPPER(TEXT(Lançamentos_2025[[#This Row],[DATA]],"MMM"))</f>
        <v>JAN</v>
      </c>
      <c r="C33" s="363" t="s">
        <v>21</v>
      </c>
      <c r="D33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33" s="366" t="str">
        <f ca="1">VLOOKUP(RANDBETWEEN(1,5),FORMAS_PGMTO[#All],2,FALSE)</f>
        <v>Pix</v>
      </c>
      <c r="F33" s="369" t="s">
        <v>785</v>
      </c>
      <c r="G33" s="440">
        <v>100</v>
      </c>
    </row>
    <row r="34" spans="1:9" s="338" customFormat="1" ht="21">
      <c r="A34" s="376">
        <v>45688</v>
      </c>
      <c r="B34" s="364" t="str">
        <f>UPPER(TEXT(Lançamentos_2025[[#This Row],[DATA]],"MMM"))</f>
        <v>JAN</v>
      </c>
      <c r="C34" s="363" t="s">
        <v>5</v>
      </c>
      <c r="D34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34" s="366" t="str">
        <f ca="1">VLOOKUP(RANDBETWEEN(1,5),FORMAS_PGMTO[#All],2,FALSE)</f>
        <v>Dinheiro</v>
      </c>
      <c r="F34" s="369" t="s">
        <v>805</v>
      </c>
      <c r="G34" s="440">
        <v>600</v>
      </c>
      <c r="I34" s="347"/>
    </row>
    <row r="35" spans="1:9" s="338" customFormat="1" ht="21">
      <c r="A35" s="376">
        <v>45689</v>
      </c>
      <c r="B35" s="362" t="str">
        <f>UPPER(TEXT(Lançamentos_2025[[#This Row],[DATA]],"MMM"))</f>
        <v>FEV</v>
      </c>
      <c r="C35" s="363" t="s">
        <v>8</v>
      </c>
      <c r="D35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35" s="363" t="str">
        <f ca="1">VLOOKUP(RANDBETWEEN(1,5),FORMAS_PGMTO[#All],2,FALSE)</f>
        <v>Débito</v>
      </c>
      <c r="F35" s="367" t="s">
        <v>786</v>
      </c>
      <c r="G35" s="441">
        <v>450</v>
      </c>
    </row>
    <row r="36" spans="1:9" s="338" customFormat="1" ht="21">
      <c r="A36" s="376">
        <v>45690</v>
      </c>
      <c r="B36" s="364" t="str">
        <f>UPPER(TEXT(Lançamentos_2025[[#This Row],[DATA]],"MMM"))</f>
        <v>FEV</v>
      </c>
      <c r="C36" s="363" t="s">
        <v>11</v>
      </c>
      <c r="D36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36" s="366" t="str">
        <f ca="1">VLOOKUP(RANDBETWEEN(1,5),FORMAS_PGMTO[#All],2,FALSE)</f>
        <v>Dinheiro</v>
      </c>
      <c r="F36" s="369" t="s">
        <v>787</v>
      </c>
      <c r="G36" s="440">
        <v>600</v>
      </c>
    </row>
    <row r="37" spans="1:9" s="338" customFormat="1" ht="21">
      <c r="A37" s="376">
        <v>45691</v>
      </c>
      <c r="B37" s="364" t="str">
        <f>UPPER(TEXT(Lançamentos_2025[[#This Row],[DATA]],"MMM"))</f>
        <v>FEV</v>
      </c>
      <c r="C37" s="363" t="s">
        <v>7</v>
      </c>
      <c r="D37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ENTRADA</v>
      </c>
      <c r="E37" s="366" t="str">
        <f ca="1">VLOOKUP(RANDBETWEEN(1,5),FORMAS_PGMTO[#All],2,FALSE)</f>
        <v>Débito</v>
      </c>
      <c r="F37" s="370" t="s">
        <v>760</v>
      </c>
      <c r="G37" s="440">
        <v>1950</v>
      </c>
    </row>
    <row r="38" spans="1:9" s="338" customFormat="1" ht="21">
      <c r="A38" s="376">
        <v>45692</v>
      </c>
      <c r="B38" s="362" t="str">
        <f>UPPER(TEXT(Lançamentos_2025[[#This Row],[DATA]],"MMM"))</f>
        <v>FEV</v>
      </c>
      <c r="C38" s="363" t="s">
        <v>11</v>
      </c>
      <c r="D38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38" s="363" t="str">
        <f ca="1">VLOOKUP(RANDBETWEEN(1,5),FORMAS_PGMTO[#All],2,FALSE)</f>
        <v>Pix</v>
      </c>
      <c r="F38" s="371" t="s">
        <v>773</v>
      </c>
      <c r="G38" s="380">
        <v>450</v>
      </c>
    </row>
    <row r="39" spans="1:9" s="338" customFormat="1" ht="21">
      <c r="A39" s="376">
        <v>45693</v>
      </c>
      <c r="B39" s="362" t="str">
        <f>UPPER(TEXT(Lançamentos_2025[[#This Row],[DATA]],"MMM"))</f>
        <v>FEV</v>
      </c>
      <c r="C39" s="363" t="s">
        <v>13</v>
      </c>
      <c r="D39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39" s="363" t="str">
        <f ca="1">VLOOKUP(RANDBETWEEN(1,5),FORMAS_PGMTO[#All],2,FALSE)</f>
        <v>Débito</v>
      </c>
      <c r="F39" s="371" t="s">
        <v>774</v>
      </c>
      <c r="G39" s="380">
        <v>250</v>
      </c>
    </row>
    <row r="40" spans="1:9" s="338" customFormat="1" ht="21" hidden="1">
      <c r="A40" s="376">
        <v>45694</v>
      </c>
      <c r="B40" s="362" t="str">
        <f>UPPER(TEXT(Lançamentos_2025[[#This Row],[DATA]],"MMM"))</f>
        <v>FEV</v>
      </c>
      <c r="C40" s="433"/>
      <c r="D40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40" s="434" t="str">
        <f ca="1">VLOOKUP(RANDBETWEEN(1,5),FORMAS_PGMTO[#All],2,FALSE)</f>
        <v>Boleto</v>
      </c>
      <c r="F40" s="435"/>
      <c r="G40" s="442"/>
    </row>
    <row r="41" spans="1:9" s="338" customFormat="1" ht="21" hidden="1">
      <c r="A41" s="376">
        <v>45695</v>
      </c>
      <c r="B41" s="362" t="str">
        <f>UPPER(TEXT(Lançamentos_2025[[#This Row],[DATA]],"MMM"))</f>
        <v>FEV</v>
      </c>
      <c r="C41" s="433"/>
      <c r="D41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41" s="434" t="str">
        <f ca="1">VLOOKUP(RANDBETWEEN(1,5),FORMAS_PGMTO[#All],2,FALSE)</f>
        <v>Boleto</v>
      </c>
      <c r="F41" s="435"/>
      <c r="G41" s="442"/>
    </row>
    <row r="42" spans="1:9" s="338" customFormat="1" ht="21" hidden="1">
      <c r="A42" s="376">
        <v>45696</v>
      </c>
      <c r="B42" s="362" t="str">
        <f>UPPER(TEXT(Lançamentos_2025[[#This Row],[DATA]],"MMM"))</f>
        <v>FEV</v>
      </c>
      <c r="C42" s="363"/>
      <c r="D42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42" s="363" t="str">
        <f ca="1">VLOOKUP(RANDBETWEEN(1,5),FORMAS_PGMTO[#All],2,FALSE)</f>
        <v>Boleto</v>
      </c>
      <c r="F42" s="367"/>
      <c r="G42" s="380"/>
    </row>
    <row r="43" spans="1:9" s="338" customFormat="1" ht="21" hidden="1">
      <c r="A43" s="376">
        <v>45697</v>
      </c>
      <c r="B43" s="362" t="str">
        <f>UPPER(TEXT(Lançamentos_2025[[#This Row],[DATA]],"MMM"))</f>
        <v>FEV</v>
      </c>
      <c r="C43" s="363"/>
      <c r="D43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43" s="363" t="str">
        <f ca="1">VLOOKUP(RANDBETWEEN(1,5),FORMAS_PGMTO[#All],2,FALSE)</f>
        <v>Boleto</v>
      </c>
      <c r="F43" s="435"/>
      <c r="G43" s="442"/>
    </row>
    <row r="44" spans="1:9" s="338" customFormat="1" ht="21" hidden="1">
      <c r="A44" s="376">
        <v>45698</v>
      </c>
      <c r="B44" s="362" t="str">
        <f>UPPER(TEXT(Lançamentos_2025[[#This Row],[DATA]],"MMM"))</f>
        <v>FEV</v>
      </c>
      <c r="C44" s="363"/>
      <c r="D44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44" s="363" t="str">
        <f ca="1">VLOOKUP(RANDBETWEEN(1,5),FORMAS_PGMTO[#All],2,FALSE)</f>
        <v>Dinheiro</v>
      </c>
      <c r="F44" s="435"/>
      <c r="G44" s="442"/>
    </row>
    <row r="45" spans="1:9" s="338" customFormat="1" ht="21" hidden="1">
      <c r="A45" s="376">
        <v>45699</v>
      </c>
      <c r="B45" s="362" t="str">
        <f>UPPER(TEXT(Lançamentos_2025[[#This Row],[DATA]],"MMM"))</f>
        <v>FEV</v>
      </c>
      <c r="C45" s="363"/>
      <c r="D45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45" s="363" t="str">
        <f ca="1">VLOOKUP(RANDBETWEEN(1,5),FORMAS_PGMTO[#All],2,FALSE)</f>
        <v>Crédito</v>
      </c>
      <c r="F45" s="435"/>
      <c r="G45" s="442"/>
    </row>
    <row r="46" spans="1:9" s="338" customFormat="1" ht="21" hidden="1">
      <c r="A46" s="376">
        <v>45700</v>
      </c>
      <c r="B46" s="362" t="str">
        <f>UPPER(TEXT(Lançamentos_2025[[#This Row],[DATA]],"MMM"))</f>
        <v>FEV</v>
      </c>
      <c r="C46" s="363"/>
      <c r="D46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46" s="363" t="str">
        <f ca="1">VLOOKUP(RANDBETWEEN(1,5),FORMAS_PGMTO[#All],2,FALSE)</f>
        <v>Pix</v>
      </c>
      <c r="F46" s="435"/>
      <c r="G46" s="442"/>
    </row>
    <row r="47" spans="1:9" s="338" customFormat="1" ht="21" hidden="1">
      <c r="A47" s="376">
        <v>45701</v>
      </c>
      <c r="B47" s="362" t="str">
        <f>UPPER(TEXT(Lançamentos_2025[[#This Row],[DATA]],"MMM"))</f>
        <v>FEV</v>
      </c>
      <c r="C47" s="363"/>
      <c r="D47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47" s="363" t="str">
        <f ca="1">VLOOKUP(RANDBETWEEN(1,5),FORMAS_PGMTO[#All],2,FALSE)</f>
        <v>Crédito</v>
      </c>
      <c r="F47" s="435"/>
      <c r="G47" s="442"/>
    </row>
    <row r="48" spans="1:9" s="338" customFormat="1" ht="21" hidden="1">
      <c r="A48" s="376">
        <v>45702</v>
      </c>
      <c r="B48" s="362" t="str">
        <f>UPPER(TEXT(Lançamentos_2025[[#This Row],[DATA]],"MMM"))</f>
        <v>FEV</v>
      </c>
      <c r="C48" s="363"/>
      <c r="D48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48" s="363" t="str">
        <f ca="1">VLOOKUP(RANDBETWEEN(1,5),FORMAS_PGMTO[#All],2,FALSE)</f>
        <v>Boleto</v>
      </c>
      <c r="F48" s="435"/>
      <c r="G48" s="442"/>
    </row>
    <row r="49" spans="1:9" s="338" customFormat="1" ht="21" hidden="1">
      <c r="A49" s="376">
        <v>45703</v>
      </c>
      <c r="B49" s="362" t="str">
        <f>UPPER(TEXT(Lançamentos_2025[[#This Row],[DATA]],"MMM"))</f>
        <v>FEV</v>
      </c>
      <c r="C49" s="363"/>
      <c r="D49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49" s="363" t="str">
        <f ca="1">VLOOKUP(RANDBETWEEN(1,5),FORMAS_PGMTO[#All],2,FALSE)</f>
        <v>Crédito</v>
      </c>
      <c r="F49" s="435"/>
      <c r="G49" s="442"/>
    </row>
    <row r="50" spans="1:9" s="338" customFormat="1" ht="21" hidden="1">
      <c r="A50" s="376">
        <v>45704</v>
      </c>
      <c r="B50" s="364" t="str">
        <f>UPPER(TEXT(Lançamentos_2025[[#This Row],[DATA]],"MMM"))</f>
        <v>FEV</v>
      </c>
      <c r="C50" s="363"/>
      <c r="D50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50" s="366" t="str">
        <f ca="1">VLOOKUP(RANDBETWEEN(1,5),FORMAS_PGMTO[#All],2,FALSE)</f>
        <v>Boleto</v>
      </c>
      <c r="F50" s="435"/>
      <c r="G50" s="442"/>
    </row>
    <row r="51" spans="1:9" s="338" customFormat="1" ht="21" hidden="1">
      <c r="A51" s="376">
        <v>45705</v>
      </c>
      <c r="B51" s="362" t="str">
        <f>UPPER(TEXT(Lançamentos_2025[[#This Row],[DATA]],"MMM"))</f>
        <v>FEV</v>
      </c>
      <c r="C51" s="363"/>
      <c r="D51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51" s="363" t="str">
        <f ca="1">VLOOKUP(RANDBETWEEN(1,5),FORMAS_PGMTO[#All],2,FALSE)</f>
        <v>Pix</v>
      </c>
      <c r="F51" s="435"/>
      <c r="G51" s="442"/>
    </row>
    <row r="52" spans="1:9" s="338" customFormat="1" ht="21" hidden="1">
      <c r="A52" s="376">
        <v>45706</v>
      </c>
      <c r="B52" s="364" t="str">
        <f>UPPER(TEXT(Lançamentos_2025[[#This Row],[DATA]],"MMM"))</f>
        <v>FEV</v>
      </c>
      <c r="C52" s="363"/>
      <c r="D52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52" s="366" t="str">
        <f ca="1">VLOOKUP(RANDBETWEEN(1,5),FORMAS_PGMTO[#All],2,FALSE)</f>
        <v>Débito</v>
      </c>
      <c r="F52" s="435"/>
      <c r="G52" s="442"/>
    </row>
    <row r="53" spans="1:9" s="338" customFormat="1" ht="21" hidden="1">
      <c r="A53" s="376">
        <v>45707</v>
      </c>
      <c r="B53" s="364" t="str">
        <f>UPPER(TEXT(Lançamentos_2025[[#This Row],[DATA]],"MMM"))</f>
        <v>FEV</v>
      </c>
      <c r="C53" s="363"/>
      <c r="D53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53" s="366" t="str">
        <f ca="1">VLOOKUP(RANDBETWEEN(1,5),FORMAS_PGMTO[#All],2,FALSE)</f>
        <v>Pix</v>
      </c>
      <c r="F53" s="435"/>
      <c r="G53" s="442"/>
    </row>
    <row r="54" spans="1:9" s="338" customFormat="1" ht="21" hidden="1">
      <c r="A54" s="376">
        <v>45708</v>
      </c>
      <c r="B54" s="433" t="str">
        <f>UPPER(TEXT(Lançamentos_2025[[#This Row],[DATA]],"MMM"))</f>
        <v>FEV</v>
      </c>
      <c r="C54" s="363"/>
      <c r="D54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54" s="434" t="str">
        <f ca="1">VLOOKUP(RANDBETWEEN(1,5),FORMAS_PGMTO[#All],2,FALSE)</f>
        <v>Boleto</v>
      </c>
      <c r="F54" s="435"/>
      <c r="G54" s="442"/>
    </row>
    <row r="55" spans="1:9" s="338" customFormat="1" ht="21" hidden="1">
      <c r="A55" s="376">
        <v>45709</v>
      </c>
      <c r="B55" s="362" t="str">
        <f>UPPER(TEXT(Lançamentos_2025[[#This Row],[DATA]],"MMM"))</f>
        <v>FEV</v>
      </c>
      <c r="C55" s="363"/>
      <c r="D55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55" s="363" t="str">
        <f ca="1">VLOOKUP(RANDBETWEEN(1,5),FORMAS_PGMTO[#All],2,FALSE)</f>
        <v>Dinheiro</v>
      </c>
      <c r="F55" s="435"/>
      <c r="G55" s="442"/>
      <c r="I55" s="347"/>
    </row>
    <row r="56" spans="1:9" s="338" customFormat="1" ht="21" hidden="1">
      <c r="A56" s="376">
        <v>45710</v>
      </c>
      <c r="B56" s="362" t="str">
        <f>UPPER(TEXT(Lançamentos_2025[[#This Row],[DATA]],"MMM"))</f>
        <v>FEV</v>
      </c>
      <c r="C56" s="363"/>
      <c r="D56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56" s="366" t="str">
        <f ca="1">VLOOKUP(RANDBETWEEN(1,5),FORMAS_PGMTO[#All],2,FALSE)</f>
        <v>Crédito</v>
      </c>
      <c r="F56" s="435"/>
      <c r="G56" s="442"/>
    </row>
    <row r="57" spans="1:9" s="338" customFormat="1" ht="21" hidden="1">
      <c r="A57" s="376">
        <v>45711</v>
      </c>
      <c r="B57" s="433" t="str">
        <f>UPPER(TEXT(Lançamentos_2025[[#This Row],[DATA]],"MMM"))</f>
        <v>FEV</v>
      </c>
      <c r="C57" s="363"/>
      <c r="D57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57" s="434" t="str">
        <f ca="1">VLOOKUP(RANDBETWEEN(1,5),FORMAS_PGMTO[#All],2,FALSE)</f>
        <v>Pix</v>
      </c>
      <c r="F57" s="435"/>
      <c r="G57" s="442"/>
    </row>
    <row r="58" spans="1:9" s="338" customFormat="1" ht="21" hidden="1">
      <c r="A58" s="376">
        <v>45712</v>
      </c>
      <c r="B58" s="364" t="str">
        <f>UPPER(TEXT(Lançamentos_2025[[#This Row],[DATA]],"MMM"))</f>
        <v>FEV</v>
      </c>
      <c r="C58" s="363"/>
      <c r="D58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58" s="363" t="str">
        <f ca="1">VLOOKUP(RANDBETWEEN(1,5),FORMAS_PGMTO[#All],2,FALSE)</f>
        <v>Pix</v>
      </c>
      <c r="F58" s="367"/>
      <c r="G58" s="381"/>
    </row>
    <row r="59" spans="1:9" s="338" customFormat="1" ht="21" hidden="1">
      <c r="A59" s="376">
        <v>45713</v>
      </c>
      <c r="B59" s="362" t="str">
        <f>UPPER(TEXT(Lançamentos_2025[[#This Row],[DATA]],"MMM"))</f>
        <v>FEV</v>
      </c>
      <c r="C59" s="362"/>
      <c r="D59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59" s="363" t="str">
        <f ca="1">VLOOKUP(RANDBETWEEN(1,5),FORMAS_PGMTO[#All],2,FALSE)</f>
        <v>Débito</v>
      </c>
      <c r="F59" s="367"/>
      <c r="G59" s="380"/>
      <c r="H59" s="347"/>
    </row>
    <row r="60" spans="1:9" s="338" customFormat="1" ht="21" hidden="1">
      <c r="A60" s="376">
        <v>45714</v>
      </c>
      <c r="B60" s="364" t="str">
        <f>UPPER(TEXT(Lançamentos_2025[[#This Row],[DATA]],"MMM"))</f>
        <v>FEV</v>
      </c>
      <c r="C60" s="363"/>
      <c r="D60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60" s="366" t="str">
        <f ca="1">VLOOKUP(RANDBETWEEN(1,5),FORMAS_PGMTO[#All],2,FALSE)</f>
        <v>Débito</v>
      </c>
      <c r="F60" s="369"/>
      <c r="G60" s="381"/>
    </row>
    <row r="61" spans="1:9" s="338" customFormat="1" ht="21" hidden="1">
      <c r="A61" s="376">
        <v>45715</v>
      </c>
      <c r="B61" s="362" t="str">
        <f>UPPER(TEXT(Lançamentos_2025[[#This Row],[DATA]],"MMM"))</f>
        <v>FEV</v>
      </c>
      <c r="C61" s="362"/>
      <c r="D61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61" s="363" t="str">
        <f ca="1">VLOOKUP(RANDBETWEEN(1,5),FORMAS_PGMTO[#All],2,FALSE)</f>
        <v>Crédito</v>
      </c>
      <c r="F61" s="367"/>
      <c r="G61" s="380"/>
    </row>
    <row r="62" spans="1:9" s="338" customFormat="1" ht="21" hidden="1">
      <c r="A62" s="376">
        <v>45716</v>
      </c>
      <c r="B62" s="362" t="str">
        <f>UPPER(TEXT(Lançamentos_2025[[#This Row],[DATA]],"MMM"))</f>
        <v>FEV</v>
      </c>
      <c r="C62" s="362"/>
      <c r="D62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62" s="363" t="str">
        <f ca="1">VLOOKUP(RANDBETWEEN(1,5),FORMAS_PGMTO[#All],2,FALSE)</f>
        <v>Boleto</v>
      </c>
      <c r="F62" s="367"/>
      <c r="G62" s="380"/>
    </row>
    <row r="63" spans="1:9" s="338" customFormat="1" ht="21" hidden="1">
      <c r="A63" s="376">
        <v>45717</v>
      </c>
      <c r="B63" s="362" t="str">
        <f>UPPER(TEXT(Lançamentos_2025[[#This Row],[DATA]],"MMM"))</f>
        <v>MAR</v>
      </c>
      <c r="C63" s="362"/>
      <c r="D63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63" s="363" t="str">
        <f ca="1">VLOOKUP(RANDBETWEEN(1,5),FORMAS_PGMTO[#All],2,FALSE)</f>
        <v>Dinheiro</v>
      </c>
      <c r="F63" s="367"/>
      <c r="G63" s="380"/>
    </row>
    <row r="64" spans="1:9" s="338" customFormat="1" ht="21" hidden="1">
      <c r="A64" s="376">
        <v>45718</v>
      </c>
      <c r="B64" s="362" t="str">
        <f>UPPER(TEXT(Lançamentos_2025[[#This Row],[DATA]],"MMM"))</f>
        <v>MAR</v>
      </c>
      <c r="C64" s="362"/>
      <c r="D64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64" s="363" t="str">
        <f ca="1">VLOOKUP(RANDBETWEEN(1,5),FORMAS_PGMTO[#All],2,FALSE)</f>
        <v>Crédito</v>
      </c>
      <c r="F64" s="367"/>
      <c r="G64" s="380"/>
    </row>
    <row r="65" spans="1:7" s="338" customFormat="1" ht="21" hidden="1">
      <c r="A65" s="376">
        <v>45719</v>
      </c>
      <c r="B65" s="362" t="str">
        <f>UPPER(TEXT(Lançamentos_2025[[#This Row],[DATA]],"MMM"))</f>
        <v>MAR</v>
      </c>
      <c r="C65" s="362"/>
      <c r="D65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65" s="363" t="str">
        <f ca="1">VLOOKUP(RANDBETWEEN(1,5),FORMAS_PGMTO[#All],2,FALSE)</f>
        <v>Boleto</v>
      </c>
      <c r="F65" s="367"/>
      <c r="G65" s="380"/>
    </row>
    <row r="66" spans="1:7" s="338" customFormat="1" ht="21" hidden="1">
      <c r="A66" s="376">
        <v>45720</v>
      </c>
      <c r="B66" s="362" t="str">
        <f>UPPER(TEXT(Lançamentos_2025[[#This Row],[DATA]],"MMM"))</f>
        <v>MAR</v>
      </c>
      <c r="C66" s="362"/>
      <c r="D66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66" s="363" t="str">
        <f ca="1">VLOOKUP(RANDBETWEEN(1,5),FORMAS_PGMTO[#All],2,FALSE)</f>
        <v>Boleto</v>
      </c>
      <c r="F66" s="367"/>
      <c r="G66" s="380"/>
    </row>
    <row r="67" spans="1:7" s="338" customFormat="1" ht="21" hidden="1">
      <c r="A67" s="376">
        <v>45721</v>
      </c>
      <c r="B67" s="362" t="str">
        <f>UPPER(TEXT(Lançamentos_2025[[#This Row],[DATA]],"MMM"))</f>
        <v>MAR</v>
      </c>
      <c r="C67" s="362"/>
      <c r="D67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67" s="363" t="str">
        <f ca="1">VLOOKUP(RANDBETWEEN(1,5),FORMAS_PGMTO[#All],2,FALSE)</f>
        <v>Pix</v>
      </c>
      <c r="F67" s="367"/>
      <c r="G67" s="380"/>
    </row>
    <row r="68" spans="1:7" s="338" customFormat="1" ht="21" hidden="1">
      <c r="A68" s="376">
        <v>45722</v>
      </c>
      <c r="B68" s="362" t="str">
        <f>UPPER(TEXT(Lançamentos_2025[[#This Row],[DATA]],"MMM"))</f>
        <v>MAR</v>
      </c>
      <c r="C68" s="362"/>
      <c r="D68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68" s="363" t="str">
        <f ca="1">VLOOKUP(RANDBETWEEN(1,5),FORMAS_PGMTO[#All],2,FALSE)</f>
        <v>Pix</v>
      </c>
      <c r="F68" s="367"/>
      <c r="G68" s="380"/>
    </row>
    <row r="69" spans="1:7" s="338" customFormat="1" ht="21" hidden="1">
      <c r="A69" s="376">
        <v>45723</v>
      </c>
      <c r="B69" s="362" t="str">
        <f>UPPER(TEXT(Lançamentos_2025[[#This Row],[DATA]],"MMM"))</f>
        <v>MAR</v>
      </c>
      <c r="C69" s="362"/>
      <c r="D69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69" s="363" t="str">
        <f ca="1">VLOOKUP(RANDBETWEEN(1,5),FORMAS_PGMTO[#All],2,FALSE)</f>
        <v>Débito</v>
      </c>
      <c r="F69" s="367"/>
      <c r="G69" s="380"/>
    </row>
    <row r="70" spans="1:7" s="338" customFormat="1" ht="21" hidden="1">
      <c r="A70" s="376">
        <v>45724</v>
      </c>
      <c r="B70" s="364" t="str">
        <f>UPPER(TEXT(Lançamentos_2025[[#This Row],[DATA]],"MMM"))</f>
        <v>MAR</v>
      </c>
      <c r="C70" s="363"/>
      <c r="D70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70" s="366" t="str">
        <f ca="1">VLOOKUP(RANDBETWEEN(1,5),FORMAS_PGMTO[#All],2,FALSE)</f>
        <v>Débito</v>
      </c>
      <c r="F70" s="367"/>
      <c r="G70" s="381"/>
    </row>
    <row r="71" spans="1:7" s="338" customFormat="1" ht="21" hidden="1">
      <c r="A71" s="376">
        <v>45725</v>
      </c>
      <c r="B71" s="364" t="str">
        <f>UPPER(TEXT(Lançamentos_2025[[#This Row],[DATA]],"MMM"))</f>
        <v>MAR</v>
      </c>
      <c r="C71" s="363"/>
      <c r="D71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71" s="366" t="str">
        <f ca="1">VLOOKUP(RANDBETWEEN(1,5),FORMAS_PGMTO[#All],2,FALSE)</f>
        <v>Dinheiro</v>
      </c>
      <c r="F71" s="367"/>
      <c r="G71" s="380"/>
    </row>
    <row r="72" spans="1:7" s="338" customFormat="1" ht="21">
      <c r="A72" s="376">
        <v>45726</v>
      </c>
      <c r="B72" s="364" t="str">
        <f>UPPER(TEXT(Lançamentos_2025[[#This Row],[DATA]],"MMM"))</f>
        <v>MAR</v>
      </c>
      <c r="C72" s="363" t="s">
        <v>7</v>
      </c>
      <c r="D72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ENTRADA</v>
      </c>
      <c r="E72" s="363" t="str">
        <f ca="1">VLOOKUP(RANDBETWEEN(1,5),FORMAS_PGMTO[#All],2,FALSE)</f>
        <v>Dinheiro</v>
      </c>
      <c r="F72" s="367" t="s">
        <v>760</v>
      </c>
      <c r="G72" s="377">
        <v>2500</v>
      </c>
    </row>
    <row r="73" spans="1:7" s="338" customFormat="1" ht="21">
      <c r="A73" s="376">
        <v>45727</v>
      </c>
      <c r="B73" s="362" t="str">
        <f>UPPER(TEXT(Lançamentos_2025[[#This Row],[DATA]],"MMM"))</f>
        <v>MAR</v>
      </c>
      <c r="C73" s="362" t="s">
        <v>21</v>
      </c>
      <c r="D73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73" s="363" t="str">
        <f ca="1">VLOOKUP(RANDBETWEEN(1,5),FORMAS_PGMTO[#All],2,FALSE)</f>
        <v>Débito</v>
      </c>
      <c r="F73" s="367" t="s">
        <v>798</v>
      </c>
      <c r="G73" s="380">
        <v>120</v>
      </c>
    </row>
    <row r="74" spans="1:7" s="338" customFormat="1" ht="21">
      <c r="A74" s="376">
        <v>45728</v>
      </c>
      <c r="B74" s="362" t="str">
        <f>UPPER(TEXT(Lançamentos_2025[[#This Row],[DATA]],"MMM"))</f>
        <v>MAR</v>
      </c>
      <c r="C74" s="362" t="s">
        <v>5</v>
      </c>
      <c r="D74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74" s="363" t="str">
        <f ca="1">VLOOKUP(RANDBETWEEN(1,5),FORMAS_PGMTO[#All],2,FALSE)</f>
        <v>Pix</v>
      </c>
      <c r="F74" s="369" t="s">
        <v>806</v>
      </c>
      <c r="G74" s="440">
        <v>850</v>
      </c>
    </row>
    <row r="75" spans="1:7" s="338" customFormat="1" ht="21">
      <c r="A75" s="376">
        <v>45729</v>
      </c>
      <c r="B75" s="364" t="str">
        <f>UPPER(TEXT(Lançamentos_2025[[#This Row],[DATA]],"MMM"))</f>
        <v>MAR</v>
      </c>
      <c r="C75" s="362" t="s">
        <v>8</v>
      </c>
      <c r="D75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75" s="363" t="str">
        <f ca="1">VLOOKUP(RANDBETWEEN(1,5),FORMAS_PGMTO[#All],2,FALSE)</f>
        <v>Boleto</v>
      </c>
      <c r="F75" s="367" t="s">
        <v>780</v>
      </c>
      <c r="G75" s="380">
        <v>300</v>
      </c>
    </row>
    <row r="76" spans="1:7" s="338" customFormat="1" ht="21">
      <c r="A76" s="376">
        <v>45730</v>
      </c>
      <c r="B76" s="364" t="str">
        <f>UPPER(TEXT(Lançamentos_2025[[#This Row],[DATA]],"MMM"))</f>
        <v>MAR</v>
      </c>
      <c r="C76" s="363" t="s">
        <v>11</v>
      </c>
      <c r="D76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76" s="363" t="str">
        <f ca="1">VLOOKUP(RANDBETWEEN(1,5),FORMAS_PGMTO[#All],2,FALSE)</f>
        <v>Boleto</v>
      </c>
      <c r="F76" s="369" t="s">
        <v>799</v>
      </c>
      <c r="G76" s="440">
        <v>450</v>
      </c>
    </row>
    <row r="77" spans="1:7" s="338" customFormat="1" ht="21">
      <c r="A77" s="376">
        <v>45731</v>
      </c>
      <c r="B77" s="364" t="str">
        <f>UPPER(TEXT(Lançamentos_2025[[#This Row],[DATA]],"MMM"))</f>
        <v>MAR</v>
      </c>
      <c r="C77" s="363" t="s">
        <v>13</v>
      </c>
      <c r="D77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77" s="363" t="str">
        <f ca="1">VLOOKUP(RANDBETWEEN(1,5),FORMAS_PGMTO[#All],2,FALSE)</f>
        <v>Débito</v>
      </c>
      <c r="F77" s="369" t="s">
        <v>800</v>
      </c>
      <c r="G77" s="440">
        <v>200</v>
      </c>
    </row>
    <row r="78" spans="1:7" s="338" customFormat="1" ht="21">
      <c r="A78" s="376">
        <v>45732</v>
      </c>
      <c r="B78" s="362" t="str">
        <f>UPPER(TEXT(Lançamentos_2025[[#This Row],[DATA]],"MMM"))</f>
        <v>MAR</v>
      </c>
      <c r="C78" s="433" t="s">
        <v>15</v>
      </c>
      <c r="D78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78" s="363" t="str">
        <f ca="1">VLOOKUP(RANDBETWEEN(1,5),FORMAS_PGMTO[#All],2,FALSE)</f>
        <v>Pix</v>
      </c>
      <c r="F78" s="435" t="s">
        <v>801</v>
      </c>
      <c r="G78" s="436">
        <v>250</v>
      </c>
    </row>
    <row r="79" spans="1:7" s="338" customFormat="1" ht="21">
      <c r="A79" s="376">
        <v>45733</v>
      </c>
      <c r="B79" s="362" t="str">
        <f>UPPER(TEXT(Lançamentos_2025[[#This Row],[DATA]],"MMM"))</f>
        <v>MAR</v>
      </c>
      <c r="C79" s="363" t="s">
        <v>17</v>
      </c>
      <c r="D79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79" s="363" t="str">
        <f ca="1">VLOOKUP(RANDBETWEEN(1,5),FORMAS_PGMTO[#All],2,FALSE)</f>
        <v>Pix</v>
      </c>
      <c r="F79" s="367" t="s">
        <v>802</v>
      </c>
      <c r="G79" s="441">
        <v>100</v>
      </c>
    </row>
    <row r="80" spans="1:7" s="338" customFormat="1" ht="21">
      <c r="A80" s="376">
        <v>45734</v>
      </c>
      <c r="B80" s="362" t="str">
        <f>UPPER(TEXT(Lançamentos_2025[[#This Row],[DATA]],"MMM"))</f>
        <v>MAR</v>
      </c>
      <c r="C80" s="363" t="s">
        <v>17</v>
      </c>
      <c r="D80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80" s="363" t="str">
        <f ca="1">VLOOKUP(RANDBETWEEN(1,5),FORMAS_PGMTO[#All],2,FALSE)</f>
        <v>Dinheiro</v>
      </c>
      <c r="F80" s="369" t="s">
        <v>803</v>
      </c>
      <c r="G80" s="440">
        <v>200</v>
      </c>
    </row>
    <row r="81" spans="1:9" s="338" customFormat="1" ht="21">
      <c r="A81" s="376">
        <v>45735</v>
      </c>
      <c r="B81" s="362" t="str">
        <f>UPPER(TEXT(Lançamentos_2025[[#This Row],[DATA]],"MMM"))</f>
        <v>MAR</v>
      </c>
      <c r="C81" s="363" t="s">
        <v>19</v>
      </c>
      <c r="D81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81" s="363" t="str">
        <f ca="1">VLOOKUP(RANDBETWEEN(1,5),FORMAS_PGMTO[#All],2,FALSE)</f>
        <v>Pix</v>
      </c>
      <c r="F81" s="435" t="s">
        <v>804</v>
      </c>
      <c r="G81" s="436">
        <v>80</v>
      </c>
    </row>
    <row r="82" spans="1:9" s="338" customFormat="1" ht="21">
      <c r="A82" s="376">
        <v>45736</v>
      </c>
      <c r="B82" s="364" t="str">
        <f>UPPER(TEXT(Lançamentos_2025[[#This Row],[DATA]],"MMM"))</f>
        <v>MAR</v>
      </c>
      <c r="C82" s="433" t="s">
        <v>21</v>
      </c>
      <c r="D82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82" s="363" t="str">
        <f ca="1">VLOOKUP(RANDBETWEEN(1,5),FORMAS_PGMTO[#All],2,FALSE)</f>
        <v>Débito</v>
      </c>
      <c r="F82" s="367"/>
      <c r="G82" s="381"/>
    </row>
    <row r="83" spans="1:9" s="338" customFormat="1" ht="21" hidden="1">
      <c r="A83" s="376">
        <v>45737</v>
      </c>
      <c r="B83" s="362" t="str">
        <f>UPPER(TEXT(Lançamentos_2025[[#This Row],[DATA]],"MMM"))</f>
        <v>MAR</v>
      </c>
      <c r="C83" s="363"/>
      <c r="D83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83" s="363" t="str">
        <f ca="1">VLOOKUP(RANDBETWEEN(1,5),FORMAS_PGMTO[#All],2,FALSE)</f>
        <v>Boleto</v>
      </c>
      <c r="F83" s="367"/>
      <c r="G83" s="381"/>
    </row>
    <row r="84" spans="1:9" s="338" customFormat="1" ht="21" hidden="1">
      <c r="A84" s="376">
        <v>45738</v>
      </c>
      <c r="B84" s="362" t="str">
        <f>UPPER(TEXT(Lançamentos_2025[[#This Row],[DATA]],"MMM"))</f>
        <v>MAR</v>
      </c>
      <c r="C84" s="363"/>
      <c r="D84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84" s="363" t="str">
        <f ca="1">VLOOKUP(RANDBETWEEN(1,5),FORMAS_PGMTO[#All],2,FALSE)</f>
        <v>Crédito</v>
      </c>
      <c r="F84" s="367"/>
      <c r="G84" s="381"/>
    </row>
    <row r="85" spans="1:9" s="338" customFormat="1" ht="21" hidden="1">
      <c r="A85" s="376">
        <v>45739</v>
      </c>
      <c r="B85" s="364" t="str">
        <f>UPPER(TEXT(Lançamentos_2025[[#This Row],[DATA]],"MMM"))</f>
        <v>MAR</v>
      </c>
      <c r="C85" s="363"/>
      <c r="D85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85" s="363" t="str">
        <f ca="1">VLOOKUP(RANDBETWEEN(1,5),FORMAS_PGMTO[#All],2,FALSE)</f>
        <v>Dinheiro</v>
      </c>
      <c r="F85" s="367"/>
      <c r="G85" s="381"/>
    </row>
    <row r="86" spans="1:9" s="338" customFormat="1" ht="21" hidden="1">
      <c r="A86" s="376">
        <v>45740</v>
      </c>
      <c r="B86" s="364" t="str">
        <f>UPPER(TEXT(Lançamentos_2025[[#This Row],[DATA]],"MMM"))</f>
        <v>MAR</v>
      </c>
      <c r="C86" s="363"/>
      <c r="D86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86" s="363" t="str">
        <f ca="1">VLOOKUP(RANDBETWEEN(1,5),FORMAS_PGMTO[#All],2,FALSE)</f>
        <v>Boleto</v>
      </c>
      <c r="F86" s="367"/>
      <c r="G86" s="379"/>
    </row>
    <row r="87" spans="1:9" s="338" customFormat="1" ht="21" hidden="1">
      <c r="A87" s="376">
        <v>45741</v>
      </c>
      <c r="B87" s="364" t="str">
        <f>UPPER(TEXT(Lançamentos_2025[[#This Row],[DATA]],"MMM"))</f>
        <v>MAR</v>
      </c>
      <c r="C87" s="363"/>
      <c r="D87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87" s="363" t="str">
        <f ca="1">VLOOKUP(RANDBETWEEN(1,5),FORMAS_PGMTO[#All],2,FALSE)</f>
        <v>Dinheiro</v>
      </c>
      <c r="F87" s="367"/>
      <c r="G87" s="381"/>
      <c r="I87" s="347"/>
    </row>
    <row r="88" spans="1:9" s="338" customFormat="1" ht="21" hidden="1">
      <c r="A88" s="376">
        <v>45742</v>
      </c>
      <c r="B88" s="362" t="str">
        <f>UPPER(TEXT(Lançamentos_2025[[#This Row],[DATA]],"MMM"))</f>
        <v>MAR</v>
      </c>
      <c r="C88" s="363"/>
      <c r="D88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88" s="363" t="str">
        <f ca="1">VLOOKUP(RANDBETWEEN(1,5),FORMAS_PGMTO[#All],2,FALSE)</f>
        <v>Boleto</v>
      </c>
      <c r="F88" s="367"/>
      <c r="G88" s="381"/>
    </row>
    <row r="89" spans="1:9" s="338" customFormat="1" ht="21" hidden="1">
      <c r="A89" s="376">
        <v>45743</v>
      </c>
      <c r="B89" s="362" t="str">
        <f>UPPER(TEXT(Lançamentos_2025[[#This Row],[DATA]],"MMM"))</f>
        <v>MAR</v>
      </c>
      <c r="C89" s="363"/>
      <c r="D89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89" s="363" t="str">
        <f ca="1">VLOOKUP(RANDBETWEEN(1,5),FORMAS_PGMTO[#All],2,FALSE)</f>
        <v>Pix</v>
      </c>
      <c r="F89" s="367"/>
      <c r="G89" s="381"/>
    </row>
    <row r="90" spans="1:9" s="338" customFormat="1" ht="21" hidden="1">
      <c r="A90" s="376">
        <v>45744</v>
      </c>
      <c r="B90" s="362" t="str">
        <f>UPPER(TEXT(Lançamentos_2025[[#This Row],[DATA]],"MMM"))</f>
        <v>MAR</v>
      </c>
      <c r="C90" s="363"/>
      <c r="D90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90" s="363" t="str">
        <f ca="1">VLOOKUP(RANDBETWEEN(1,5),FORMAS_PGMTO[#All],2,FALSE)</f>
        <v>Débito</v>
      </c>
      <c r="F90" s="367"/>
      <c r="G90" s="381"/>
    </row>
    <row r="91" spans="1:9" s="338" customFormat="1" ht="21" hidden="1">
      <c r="A91" s="376">
        <v>45745</v>
      </c>
      <c r="B91" s="362" t="str">
        <f>UPPER(TEXT(Lançamentos_2025[[#This Row],[DATA]],"MMM"))</f>
        <v>MAR</v>
      </c>
      <c r="C91" s="363"/>
      <c r="D91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91" s="363" t="str">
        <f ca="1">VLOOKUP(RANDBETWEEN(1,5),FORMAS_PGMTO[#All],2,FALSE)</f>
        <v>Pix</v>
      </c>
      <c r="F91" s="367"/>
      <c r="G91" s="381"/>
    </row>
    <row r="92" spans="1:9" s="338" customFormat="1" ht="21" hidden="1">
      <c r="A92" s="376">
        <v>45746</v>
      </c>
      <c r="B92" s="364" t="str">
        <f>UPPER(TEXT(Lançamentos_2025[[#This Row],[DATA]],"MMM"))</f>
        <v>MAR</v>
      </c>
      <c r="C92" s="363"/>
      <c r="D92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92" s="366" t="str">
        <f ca="1">VLOOKUP(RANDBETWEEN(1,5),FORMAS_PGMTO[#All],2,FALSE)</f>
        <v>Crédito</v>
      </c>
      <c r="F92" s="367"/>
      <c r="G92" s="381"/>
    </row>
    <row r="93" spans="1:9" s="338" customFormat="1" ht="21" hidden="1">
      <c r="A93" s="376">
        <v>45747</v>
      </c>
      <c r="B93" s="364" t="str">
        <f>UPPER(TEXT(Lançamentos_2025[[#This Row],[DATA]],"MMM"))</f>
        <v>MAR</v>
      </c>
      <c r="C93" s="363"/>
      <c r="D93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93" s="366" t="str">
        <f ca="1">VLOOKUP(RANDBETWEEN(1,5),FORMAS_PGMTO[#All],2,FALSE)</f>
        <v>Boleto</v>
      </c>
      <c r="F93" s="369"/>
      <c r="G93" s="379"/>
    </row>
    <row r="94" spans="1:9" s="338" customFormat="1" ht="21" hidden="1">
      <c r="A94" s="376">
        <v>45748</v>
      </c>
      <c r="B94" s="364" t="str">
        <f>UPPER(TEXT(Lançamentos_2025[[#This Row],[DATA]],"MMM"))</f>
        <v>ABR</v>
      </c>
      <c r="C94" s="363"/>
      <c r="D94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94" s="366" t="str">
        <f ca="1">VLOOKUP(RANDBETWEEN(1,5),FORMAS_PGMTO[#All],2,FALSE)</f>
        <v>Dinheiro</v>
      </c>
      <c r="F94" s="369"/>
      <c r="G94" s="379"/>
    </row>
    <row r="95" spans="1:9" s="338" customFormat="1" ht="21" hidden="1">
      <c r="A95" s="376">
        <v>45749</v>
      </c>
      <c r="B95" s="362" t="str">
        <f>UPPER(TEXT(Lançamentos_2025[[#This Row],[DATA]],"MMM"))</f>
        <v>ABR</v>
      </c>
      <c r="C95" s="363"/>
      <c r="D95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95" s="363" t="str">
        <f ca="1">VLOOKUP(RANDBETWEEN(1,5),FORMAS_PGMTO[#All],2,FALSE)</f>
        <v>Dinheiro</v>
      </c>
      <c r="F95" s="367"/>
      <c r="G95" s="381"/>
    </row>
    <row r="96" spans="1:9" s="338" customFormat="1" ht="21" hidden="1">
      <c r="A96" s="376">
        <v>45750</v>
      </c>
      <c r="B96" s="362" t="str">
        <f>UPPER(TEXT(Lançamentos_2025[[#This Row],[DATA]],"MMM"))</f>
        <v>ABR</v>
      </c>
      <c r="C96" s="363"/>
      <c r="D96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96" s="363" t="str">
        <f ca="1">VLOOKUP(RANDBETWEEN(1,5),FORMAS_PGMTO[#All],2,FALSE)</f>
        <v>Boleto</v>
      </c>
      <c r="F96" s="367"/>
      <c r="G96" s="381"/>
    </row>
    <row r="97" spans="1:7" s="338" customFormat="1" ht="21">
      <c r="A97" s="376">
        <v>45751</v>
      </c>
      <c r="B97" s="364" t="str">
        <f>UPPER(TEXT(Lançamentos_2025[[#This Row],[DATA]],"MMM"))</f>
        <v>ABR</v>
      </c>
      <c r="C97" s="363" t="s">
        <v>7</v>
      </c>
      <c r="D97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ENTRADA</v>
      </c>
      <c r="E97" s="363" t="str">
        <f ca="1">VLOOKUP(RANDBETWEEN(1,5),FORMAS_PGMTO[#All],2,FALSE)</f>
        <v>Boleto</v>
      </c>
      <c r="F97" s="367" t="s">
        <v>760</v>
      </c>
      <c r="G97" s="377">
        <v>2500</v>
      </c>
    </row>
    <row r="98" spans="1:7" s="338" customFormat="1" ht="21">
      <c r="A98" s="376">
        <v>45752</v>
      </c>
      <c r="B98" s="362" t="str">
        <f>UPPER(TEXT(Lançamentos_2025[[#This Row],[DATA]],"MMM"))</f>
        <v>ABR</v>
      </c>
      <c r="C98" s="362" t="s">
        <v>8</v>
      </c>
      <c r="D98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98" s="366" t="str">
        <f ca="1">VLOOKUP(RANDBETWEEN(1,5),FORMAS_PGMTO[#All],2,FALSE)</f>
        <v>Dinheiro</v>
      </c>
      <c r="F98" s="367" t="s">
        <v>807</v>
      </c>
      <c r="G98" s="380">
        <v>400</v>
      </c>
    </row>
    <row r="99" spans="1:7" s="338" customFormat="1" ht="21">
      <c r="A99" s="376">
        <v>45753</v>
      </c>
      <c r="B99" s="362" t="str">
        <f>UPPER(TEXT(Lançamentos_2025[[#This Row],[DATA]],"MMM"))</f>
        <v>ABR</v>
      </c>
      <c r="C99" s="362" t="s">
        <v>11</v>
      </c>
      <c r="D99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99" s="363" t="str">
        <f ca="1">VLOOKUP(RANDBETWEEN(1,5),FORMAS_PGMTO[#All],2,FALSE)</f>
        <v>Boleto</v>
      </c>
      <c r="F99" s="367" t="s">
        <v>793</v>
      </c>
      <c r="G99" s="380">
        <v>350</v>
      </c>
    </row>
    <row r="100" spans="1:7" s="338" customFormat="1" ht="21">
      <c r="A100" s="376">
        <v>45754</v>
      </c>
      <c r="B100" s="364" t="str">
        <f>UPPER(TEXT(Lançamentos_2025[[#This Row],[DATA]],"MMM"))</f>
        <v>ABR</v>
      </c>
      <c r="C100" s="362" t="s">
        <v>13</v>
      </c>
      <c r="D100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100" s="366" t="str">
        <f ca="1">VLOOKUP(RANDBETWEEN(1,5),FORMAS_PGMTO[#All],2,FALSE)</f>
        <v>Pix</v>
      </c>
      <c r="F100" s="367" t="s">
        <v>794</v>
      </c>
      <c r="G100" s="380">
        <v>250</v>
      </c>
    </row>
    <row r="101" spans="1:7" s="338" customFormat="1" ht="21">
      <c r="A101" s="376">
        <v>45755</v>
      </c>
      <c r="B101" s="362" t="str">
        <f>UPPER(TEXT(Lançamentos_2025[[#This Row],[DATA]],"MMM"))</f>
        <v>ABR</v>
      </c>
      <c r="C101" s="362" t="s">
        <v>15</v>
      </c>
      <c r="D101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101" s="363" t="str">
        <f ca="1">VLOOKUP(RANDBETWEEN(1,5),FORMAS_PGMTO[#All],2,FALSE)</f>
        <v>Pix</v>
      </c>
      <c r="F101" s="367" t="s">
        <v>795</v>
      </c>
      <c r="G101" s="380">
        <v>400</v>
      </c>
    </row>
    <row r="102" spans="1:7" s="338" customFormat="1" ht="21">
      <c r="A102" s="376">
        <v>45756</v>
      </c>
      <c r="B102" s="364" t="str">
        <f>UPPER(TEXT(Lançamentos_2025[[#This Row],[DATA]],"MMM"))</f>
        <v>ABR</v>
      </c>
      <c r="C102" s="363" t="s">
        <v>17</v>
      </c>
      <c r="D102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102" s="366" t="str">
        <f ca="1">VLOOKUP(RANDBETWEEN(1,5),FORMAS_PGMTO[#All],2,FALSE)</f>
        <v>Débito</v>
      </c>
      <c r="F102" s="367" t="s">
        <v>796</v>
      </c>
      <c r="G102" s="441">
        <v>130</v>
      </c>
    </row>
    <row r="103" spans="1:7" s="338" customFormat="1" ht="21">
      <c r="A103" s="376">
        <v>45757</v>
      </c>
      <c r="B103" s="362" t="str">
        <f>UPPER(TEXT(Lançamentos_2025[[#This Row],[DATA]],"MMM"))</f>
        <v>ABR</v>
      </c>
      <c r="C103" s="362" t="s">
        <v>19</v>
      </c>
      <c r="D103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103" s="366" t="str">
        <f ca="1">VLOOKUP(RANDBETWEEN(1,5),FORMAS_PGMTO[#All],2,FALSE)</f>
        <v>Crédito</v>
      </c>
      <c r="F103" s="367" t="s">
        <v>797</v>
      </c>
      <c r="G103" s="380">
        <v>300</v>
      </c>
    </row>
    <row r="104" spans="1:7" s="338" customFormat="1" ht="21" hidden="1">
      <c r="A104" s="376">
        <v>45758</v>
      </c>
      <c r="B104" s="364" t="str">
        <f>UPPER(TEXT(Lançamentos_2025[[#This Row],[DATA]],"MMM"))</f>
        <v>ABR</v>
      </c>
      <c r="C104" s="363"/>
      <c r="D104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04" s="366" t="str">
        <f ca="1">VLOOKUP(RANDBETWEEN(1,5),FORMAS_PGMTO[#All],2,FALSE)</f>
        <v>Pix</v>
      </c>
      <c r="F104" s="369"/>
      <c r="G104" s="379"/>
    </row>
    <row r="105" spans="1:7" s="338" customFormat="1" ht="21" hidden="1">
      <c r="A105" s="376">
        <v>45759</v>
      </c>
      <c r="B105" s="362" t="str">
        <f>UPPER(TEXT(Lançamentos_2025[[#This Row],[DATA]],"MMM"))</f>
        <v>ABR</v>
      </c>
      <c r="C105" s="363"/>
      <c r="D105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05" s="366" t="str">
        <f ca="1">VLOOKUP(RANDBETWEEN(1,5),FORMAS_PGMTO[#All],2,FALSE)</f>
        <v>Dinheiro</v>
      </c>
      <c r="F105" s="369"/>
      <c r="G105" s="381"/>
    </row>
    <row r="106" spans="1:7" s="338" customFormat="1" ht="21" hidden="1">
      <c r="A106" s="376">
        <v>45760</v>
      </c>
      <c r="B106" s="362" t="str">
        <f>UPPER(TEXT(Lançamentos_2025[[#This Row],[DATA]],"MMM"))</f>
        <v>ABR</v>
      </c>
      <c r="C106" s="363"/>
      <c r="D106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06" s="363" t="str">
        <f ca="1">VLOOKUP(RANDBETWEEN(1,5),FORMAS_PGMTO[#All],2,FALSE)</f>
        <v>Crédito</v>
      </c>
      <c r="F106" s="367"/>
      <c r="G106" s="381"/>
    </row>
    <row r="107" spans="1:7" s="338" customFormat="1" ht="21" hidden="1">
      <c r="A107" s="376">
        <v>45761</v>
      </c>
      <c r="B107" s="362" t="str">
        <f>UPPER(TEXT(Lançamentos_2025[[#This Row],[DATA]],"MMM"))</f>
        <v>ABR</v>
      </c>
      <c r="C107" s="363"/>
      <c r="D107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07" s="363" t="str">
        <f ca="1">VLOOKUP(RANDBETWEEN(1,5),FORMAS_PGMTO[#All],2,FALSE)</f>
        <v>Pix</v>
      </c>
      <c r="F107" s="367"/>
      <c r="G107" s="381"/>
    </row>
    <row r="108" spans="1:7" s="338" customFormat="1" ht="21" hidden="1">
      <c r="A108" s="376">
        <v>45762</v>
      </c>
      <c r="B108" s="364" t="str">
        <f>UPPER(TEXT(Lançamentos_2025[[#This Row],[DATA]],"MMM"))</f>
        <v>ABR</v>
      </c>
      <c r="C108" s="363"/>
      <c r="D108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08" s="363" t="str">
        <f ca="1">VLOOKUP(RANDBETWEEN(1,5),FORMAS_PGMTO[#All],2,FALSE)</f>
        <v>Crédito</v>
      </c>
      <c r="F108" s="367"/>
      <c r="G108" s="381"/>
    </row>
    <row r="109" spans="1:7" s="338" customFormat="1" ht="21" hidden="1">
      <c r="A109" s="376">
        <v>45763</v>
      </c>
      <c r="B109" s="364" t="str">
        <f>UPPER(TEXT(Lançamentos_2025[[#This Row],[DATA]],"MMM"))</f>
        <v>ABR</v>
      </c>
      <c r="C109" s="363"/>
      <c r="D109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09" s="366" t="str">
        <f ca="1">VLOOKUP(RANDBETWEEN(1,5),FORMAS_PGMTO[#All],2,FALSE)</f>
        <v>Boleto</v>
      </c>
      <c r="F109" s="369"/>
      <c r="G109" s="381"/>
    </row>
    <row r="110" spans="1:7" s="338" customFormat="1" ht="21" hidden="1">
      <c r="A110" s="376">
        <v>45764</v>
      </c>
      <c r="B110" s="364" t="str">
        <f>UPPER(TEXT(Lançamentos_2025[[#This Row],[DATA]],"MMM"))</f>
        <v>ABR</v>
      </c>
      <c r="C110" s="363"/>
      <c r="D110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10" s="363" t="str">
        <f ca="1">VLOOKUP(RANDBETWEEN(1,5),FORMAS_PGMTO[#All],2,FALSE)</f>
        <v>Boleto</v>
      </c>
      <c r="F110" s="367"/>
      <c r="G110" s="381"/>
    </row>
    <row r="111" spans="1:7" s="338" customFormat="1" ht="21" hidden="1">
      <c r="A111" s="376">
        <v>45765</v>
      </c>
      <c r="B111" s="364" t="str">
        <f>UPPER(TEXT(Lançamentos_2025[[#This Row],[DATA]],"MMM"))</f>
        <v>ABR</v>
      </c>
      <c r="C111" s="363"/>
      <c r="D111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11" s="363" t="str">
        <f ca="1">VLOOKUP(RANDBETWEEN(1,5),FORMAS_PGMTO[#All],2,FALSE)</f>
        <v>Pix</v>
      </c>
      <c r="F111" s="367"/>
      <c r="G111" s="381"/>
    </row>
    <row r="112" spans="1:7" s="338" customFormat="1" ht="21" hidden="1">
      <c r="A112" s="376">
        <v>45766</v>
      </c>
      <c r="B112" s="364" t="str">
        <f>UPPER(TEXT(Lançamentos_2025[[#This Row],[DATA]],"MMM"))</f>
        <v>ABR</v>
      </c>
      <c r="C112" s="363"/>
      <c r="D112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12" s="363" t="str">
        <f ca="1">VLOOKUP(RANDBETWEEN(1,5),FORMAS_PGMTO[#All],2,FALSE)</f>
        <v>Crédito</v>
      </c>
      <c r="F112" s="367"/>
      <c r="G112" s="381"/>
    </row>
    <row r="113" spans="1:7" s="338" customFormat="1" ht="21" hidden="1">
      <c r="A113" s="376">
        <v>45767</v>
      </c>
      <c r="B113" s="364" t="str">
        <f>UPPER(TEXT(Lançamentos_2025[[#This Row],[DATA]],"MMM"))</f>
        <v>ABR</v>
      </c>
      <c r="C113" s="363"/>
      <c r="D113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13" s="363" t="str">
        <f ca="1">VLOOKUP(RANDBETWEEN(1,5),FORMAS_PGMTO[#All],2,FALSE)</f>
        <v>Débito</v>
      </c>
      <c r="F113" s="367"/>
      <c r="G113" s="381"/>
    </row>
    <row r="114" spans="1:7" s="338" customFormat="1" ht="21" hidden="1">
      <c r="A114" s="376">
        <v>45768</v>
      </c>
      <c r="B114" s="364" t="str">
        <f>UPPER(TEXT(Lançamentos_2025[[#This Row],[DATA]],"MMM"))</f>
        <v>ABR</v>
      </c>
      <c r="C114" s="363"/>
      <c r="D114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14" s="363" t="str">
        <f ca="1">VLOOKUP(RANDBETWEEN(1,5),FORMAS_PGMTO[#All],2,FALSE)</f>
        <v>Pix</v>
      </c>
      <c r="F114" s="367"/>
      <c r="G114" s="381"/>
    </row>
    <row r="115" spans="1:7" s="338" customFormat="1" ht="21" hidden="1">
      <c r="A115" s="376">
        <v>45769</v>
      </c>
      <c r="B115" s="364" t="str">
        <f>UPPER(TEXT(Lançamentos_2025[[#This Row],[DATA]],"MMM"))</f>
        <v>ABR</v>
      </c>
      <c r="C115" s="363"/>
      <c r="D115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15" s="363" t="str">
        <f ca="1">VLOOKUP(RANDBETWEEN(1,5),FORMAS_PGMTO[#All],2,FALSE)</f>
        <v>Débito</v>
      </c>
      <c r="F115" s="367"/>
      <c r="G115" s="381"/>
    </row>
    <row r="116" spans="1:7" s="338" customFormat="1" ht="21" hidden="1">
      <c r="A116" s="376">
        <v>45770</v>
      </c>
      <c r="B116" s="362" t="str">
        <f>UPPER(TEXT(Lançamentos_2025[[#This Row],[DATA]],"MMM"))</f>
        <v>ABR</v>
      </c>
      <c r="C116" s="363"/>
      <c r="D116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16" s="363" t="str">
        <f ca="1">VLOOKUP(RANDBETWEEN(1,5),FORMAS_PGMTO[#All],2,FALSE)</f>
        <v>Boleto</v>
      </c>
      <c r="F116" s="367"/>
      <c r="G116" s="381"/>
    </row>
    <row r="117" spans="1:7" s="338" customFormat="1" ht="21" hidden="1">
      <c r="A117" s="376">
        <v>45771</v>
      </c>
      <c r="B117" s="362" t="str">
        <f>UPPER(TEXT(Lançamentos_2025[[#This Row],[DATA]],"MMM"))</f>
        <v>ABR</v>
      </c>
      <c r="C117" s="363"/>
      <c r="D117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17" s="363" t="str">
        <f ca="1">VLOOKUP(RANDBETWEEN(1,5),FORMAS_PGMTO[#All],2,FALSE)</f>
        <v>Dinheiro</v>
      </c>
      <c r="F117" s="367"/>
      <c r="G117" s="381"/>
    </row>
    <row r="118" spans="1:7" s="338" customFormat="1" ht="21" hidden="1">
      <c r="A118" s="376">
        <v>45772</v>
      </c>
      <c r="B118" s="362" t="str">
        <f>UPPER(TEXT(Lançamentos_2025[[#This Row],[DATA]],"MMM"))</f>
        <v>ABR</v>
      </c>
      <c r="C118" s="363"/>
      <c r="D118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18" s="363" t="str">
        <f ca="1">VLOOKUP(RANDBETWEEN(1,5),FORMAS_PGMTO[#All],2,FALSE)</f>
        <v>Dinheiro</v>
      </c>
      <c r="F118" s="367"/>
      <c r="G118" s="381"/>
    </row>
    <row r="119" spans="1:7" s="338" customFormat="1" ht="21" hidden="1">
      <c r="A119" s="376">
        <v>45773</v>
      </c>
      <c r="B119" s="362" t="str">
        <f>UPPER(TEXT(Lançamentos_2025[[#This Row],[DATA]],"MMM"))</f>
        <v>ABR</v>
      </c>
      <c r="C119" s="363"/>
      <c r="D119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19" s="363" t="str">
        <f ca="1">VLOOKUP(RANDBETWEEN(1,5),FORMAS_PGMTO[#All],2,FALSE)</f>
        <v>Débito</v>
      </c>
      <c r="F119" s="367"/>
      <c r="G119" s="381"/>
    </row>
    <row r="120" spans="1:7" s="338" customFormat="1" ht="21" hidden="1">
      <c r="A120" s="376">
        <v>45774</v>
      </c>
      <c r="B120" s="362" t="str">
        <f>UPPER(TEXT(Lançamentos_2025[[#This Row],[DATA]],"MMM"))</f>
        <v>ABR</v>
      </c>
      <c r="C120" s="363"/>
      <c r="D120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20" s="363" t="str">
        <f ca="1">VLOOKUP(RANDBETWEEN(1,5),FORMAS_PGMTO[#All],2,FALSE)</f>
        <v>Débito</v>
      </c>
      <c r="F120" s="367"/>
      <c r="G120" s="381"/>
    </row>
    <row r="121" spans="1:7" s="338" customFormat="1" ht="21" hidden="1">
      <c r="A121" s="376">
        <v>45775</v>
      </c>
      <c r="B121" s="362" t="str">
        <f>UPPER(TEXT(Lançamentos_2025[[#This Row],[DATA]],"MMM"))</f>
        <v>ABR</v>
      </c>
      <c r="C121" s="363"/>
      <c r="D121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21" s="363" t="str">
        <f ca="1">VLOOKUP(RANDBETWEEN(1,5),FORMAS_PGMTO[#All],2,FALSE)</f>
        <v>Pix</v>
      </c>
      <c r="F121" s="367"/>
      <c r="G121" s="381"/>
    </row>
    <row r="122" spans="1:7" s="338" customFormat="1" ht="21" hidden="1">
      <c r="A122" s="376">
        <v>45776</v>
      </c>
      <c r="B122" s="362" t="str">
        <f>UPPER(TEXT(Lançamentos_2025[[#This Row],[DATA]],"MMM"))</f>
        <v>ABR</v>
      </c>
      <c r="C122" s="363"/>
      <c r="D122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22" s="363" t="str">
        <f ca="1">VLOOKUP(RANDBETWEEN(1,5),FORMAS_PGMTO[#All],2,FALSE)</f>
        <v>Dinheiro</v>
      </c>
      <c r="F122" s="367"/>
      <c r="G122" s="381"/>
    </row>
    <row r="123" spans="1:7" s="338" customFormat="1" ht="21" hidden="1">
      <c r="A123" s="376">
        <v>45777</v>
      </c>
      <c r="B123" s="362" t="str">
        <f>UPPER(TEXT(Lançamentos_2025[[#This Row],[DATA]],"MMM"))</f>
        <v>ABR</v>
      </c>
      <c r="C123" s="363"/>
      <c r="D123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23" s="363" t="str">
        <f ca="1">VLOOKUP(RANDBETWEEN(1,5),FORMAS_PGMTO[#All],2,FALSE)</f>
        <v>Boleto</v>
      </c>
      <c r="F123" s="367"/>
      <c r="G123" s="381"/>
    </row>
    <row r="124" spans="1:7" s="338" customFormat="1" ht="21" hidden="1">
      <c r="A124" s="376">
        <v>45778</v>
      </c>
      <c r="B124" s="362" t="str">
        <f>UPPER(TEXT(Lançamentos_2025[[#This Row],[DATA]],"MMM"))</f>
        <v>MAI</v>
      </c>
      <c r="C124" s="363"/>
      <c r="D124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24" s="363" t="str">
        <f ca="1">VLOOKUP(RANDBETWEEN(1,5),FORMAS_PGMTO[#All],2,FALSE)</f>
        <v>Pix</v>
      </c>
      <c r="F124" s="367"/>
      <c r="G124" s="381"/>
    </row>
    <row r="125" spans="1:7" s="338" customFormat="1" ht="21" hidden="1">
      <c r="A125" s="376">
        <v>45779</v>
      </c>
      <c r="B125" s="364" t="str">
        <f>UPPER(TEXT(Lançamentos_2025[[#This Row],[DATA]],"MMM"))</f>
        <v>MAI</v>
      </c>
      <c r="C125" s="363"/>
      <c r="D125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25" s="363" t="str">
        <f ca="1">VLOOKUP(RANDBETWEEN(1,5),FORMAS_PGMTO[#All],2,FALSE)</f>
        <v>Crédito</v>
      </c>
      <c r="F125" s="367"/>
      <c r="G125" s="381"/>
    </row>
    <row r="126" spans="1:7" s="338" customFormat="1" ht="21" hidden="1">
      <c r="A126" s="376">
        <v>45780</v>
      </c>
      <c r="B126" s="364" t="str">
        <f>UPPER(TEXT(Lançamentos_2025[[#This Row],[DATA]],"MMM"))</f>
        <v>MAI</v>
      </c>
      <c r="C126" s="363"/>
      <c r="D126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26" s="366" t="str">
        <f ca="1">VLOOKUP(RANDBETWEEN(1,5),FORMAS_PGMTO[#All],2,FALSE)</f>
        <v>Boleto</v>
      </c>
      <c r="F126" s="369"/>
      <c r="G126" s="379"/>
    </row>
    <row r="127" spans="1:7" s="338" customFormat="1" ht="21" hidden="1">
      <c r="A127" s="376">
        <v>45781</v>
      </c>
      <c r="B127" s="364" t="str">
        <f>UPPER(TEXT(Lançamentos_2025[[#This Row],[DATA]],"MMM"))</f>
        <v>MAI</v>
      </c>
      <c r="C127" s="363"/>
      <c r="D127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27" s="366" t="str">
        <f ca="1">VLOOKUP(RANDBETWEEN(1,5),FORMAS_PGMTO[#All],2,FALSE)</f>
        <v>Dinheiro</v>
      </c>
      <c r="F127" s="369"/>
      <c r="G127" s="379"/>
    </row>
    <row r="128" spans="1:7" s="338" customFormat="1" ht="21" hidden="1">
      <c r="A128" s="376">
        <v>45782</v>
      </c>
      <c r="B128" s="362" t="str">
        <f>UPPER(TEXT(Lançamentos_2025[[#This Row],[DATA]],"MMM"))</f>
        <v>MAI</v>
      </c>
      <c r="C128" s="363"/>
      <c r="D128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28" s="366" t="str">
        <f ca="1">VLOOKUP(RANDBETWEEN(1,5),FORMAS_PGMTO[#All],2,FALSE)</f>
        <v>Dinheiro</v>
      </c>
      <c r="F128" s="367"/>
      <c r="G128" s="381"/>
    </row>
    <row r="129" spans="1:8" s="338" customFormat="1" ht="21" hidden="1">
      <c r="A129" s="376">
        <v>45783</v>
      </c>
      <c r="B129" s="364" t="str">
        <f>UPPER(TEXT(Lançamentos_2025[[#This Row],[DATA]],"MMM"))</f>
        <v>MAI</v>
      </c>
      <c r="C129" s="363"/>
      <c r="D129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29" s="366" t="str">
        <f ca="1">VLOOKUP(RANDBETWEEN(1,5),FORMAS_PGMTO[#All],2,FALSE)</f>
        <v>Boleto</v>
      </c>
      <c r="F129" s="369"/>
      <c r="G129" s="379"/>
    </row>
    <row r="130" spans="1:8" s="338" customFormat="1" ht="21" hidden="1">
      <c r="A130" s="376">
        <v>45784</v>
      </c>
      <c r="B130" s="362" t="str">
        <f>UPPER(TEXT(Lançamentos_2025[[#This Row],[DATA]],"MMM"))</f>
        <v>MAI</v>
      </c>
      <c r="C130" s="363"/>
      <c r="D130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30" s="366" t="str">
        <f ca="1">VLOOKUP(RANDBETWEEN(1,5),FORMAS_PGMTO[#All],2,FALSE)</f>
        <v>Débito</v>
      </c>
      <c r="F130" s="367"/>
      <c r="G130" s="381"/>
    </row>
    <row r="131" spans="1:8" s="338" customFormat="1" ht="21" hidden="1">
      <c r="A131" s="376">
        <v>45785</v>
      </c>
      <c r="B131" s="362" t="str">
        <f>UPPER(TEXT(Lançamentos_2025[[#This Row],[DATA]],"MMM"))</f>
        <v>MAI</v>
      </c>
      <c r="C131" s="363"/>
      <c r="D131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31" s="363" t="str">
        <f ca="1">VLOOKUP(RANDBETWEEN(1,5),FORMAS_PGMTO[#All],2,FALSE)</f>
        <v>Pix</v>
      </c>
      <c r="F131" s="367"/>
      <c r="G131" s="381"/>
    </row>
    <row r="132" spans="1:8" s="338" customFormat="1" ht="21">
      <c r="A132" s="376">
        <v>45786</v>
      </c>
      <c r="B132" s="364" t="str">
        <f>UPPER(TEXT(Lançamentos_2025[[#This Row],[DATA]],"MMM"))</f>
        <v>MAI</v>
      </c>
      <c r="C132" s="363" t="s">
        <v>7</v>
      </c>
      <c r="D132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ENTRADA</v>
      </c>
      <c r="E132" s="363" t="str">
        <f ca="1">VLOOKUP(RANDBETWEEN(1,5),FORMAS_PGMTO[#All],2,FALSE)</f>
        <v>Pix</v>
      </c>
      <c r="F132" s="367" t="s">
        <v>760</v>
      </c>
      <c r="G132" s="377">
        <v>2350</v>
      </c>
    </row>
    <row r="133" spans="1:8" s="338" customFormat="1" ht="21">
      <c r="A133" s="376">
        <v>45787</v>
      </c>
      <c r="B133" s="364" t="str">
        <f>UPPER(TEXT(Lançamentos_2025[[#This Row],[DATA]],"MMM"))</f>
        <v>MAI</v>
      </c>
      <c r="C133" s="363" t="s">
        <v>13</v>
      </c>
      <c r="D133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133" s="366" t="str">
        <f ca="1">VLOOKUP(RANDBETWEEN(1,5),FORMAS_PGMTO[#All],2,FALSE)</f>
        <v>Pix</v>
      </c>
      <c r="F133" s="370" t="s">
        <v>788</v>
      </c>
      <c r="G133" s="440">
        <v>300</v>
      </c>
    </row>
    <row r="134" spans="1:8" s="338" customFormat="1" ht="21">
      <c r="A134" s="376">
        <v>45788</v>
      </c>
      <c r="B134" s="362" t="str">
        <f>UPPER(TEXT(Lançamentos_2025[[#This Row],[DATA]],"MMM"))</f>
        <v>MAI</v>
      </c>
      <c r="C134" s="362" t="s">
        <v>15</v>
      </c>
      <c r="D134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134" s="366" t="str">
        <f ca="1">VLOOKUP(RANDBETWEEN(1,5),FORMAS_PGMTO[#All],2,FALSE)</f>
        <v>Débito</v>
      </c>
      <c r="F134" s="371" t="s">
        <v>789</v>
      </c>
      <c r="G134" s="380">
        <v>200</v>
      </c>
    </row>
    <row r="135" spans="1:8" s="338" customFormat="1" ht="21">
      <c r="A135" s="376">
        <v>45789</v>
      </c>
      <c r="B135" s="364" t="str">
        <f>UPPER(TEXT(Lançamentos_2025[[#This Row],[DATA]],"MMM"))</f>
        <v>MAI</v>
      </c>
      <c r="C135" s="362" t="s">
        <v>17</v>
      </c>
      <c r="D135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135" s="366" t="str">
        <f ca="1">VLOOKUP(RANDBETWEEN(1,5),FORMAS_PGMTO[#All],2,FALSE)</f>
        <v>Débito</v>
      </c>
      <c r="F135" s="371" t="s">
        <v>790</v>
      </c>
      <c r="G135" s="380">
        <v>120</v>
      </c>
    </row>
    <row r="136" spans="1:8" s="338" customFormat="1" ht="21">
      <c r="A136" s="376">
        <v>45790</v>
      </c>
      <c r="B136" s="364" t="str">
        <f>UPPER(TEXT(Lançamentos_2025[[#This Row],[DATA]],"MMM"))</f>
        <v>MAI</v>
      </c>
      <c r="C136" s="363" t="s">
        <v>19</v>
      </c>
      <c r="D136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136" s="366" t="str">
        <f ca="1">VLOOKUP(RANDBETWEEN(1,5),FORMAS_PGMTO[#All],2,FALSE)</f>
        <v>Boleto</v>
      </c>
      <c r="F136" s="367" t="s">
        <v>791</v>
      </c>
      <c r="G136" s="441">
        <v>250</v>
      </c>
    </row>
    <row r="137" spans="1:8" s="338" customFormat="1" ht="21">
      <c r="A137" s="376">
        <v>45791</v>
      </c>
      <c r="B137" s="362" t="str">
        <f>UPPER(TEXT(Lançamentos_2025[[#This Row],[DATA]],"MMM"))</f>
        <v>MAI</v>
      </c>
      <c r="C137" s="362" t="s">
        <v>21</v>
      </c>
      <c r="D137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137" s="366" t="str">
        <f ca="1">VLOOKUP(RANDBETWEEN(1,5),FORMAS_PGMTO[#All],2,FALSE)</f>
        <v>Pix</v>
      </c>
      <c r="F137" s="367" t="s">
        <v>792</v>
      </c>
      <c r="G137" s="380">
        <v>120</v>
      </c>
    </row>
    <row r="138" spans="1:8" s="338" customFormat="1" ht="21">
      <c r="A138" s="376">
        <v>45792</v>
      </c>
      <c r="B138" s="364" t="str">
        <f>UPPER(TEXT(Lançamentos_2025[[#This Row],[DATA]],"MMM"))</f>
        <v>MAI</v>
      </c>
      <c r="C138" s="362" t="s">
        <v>5</v>
      </c>
      <c r="D138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138" s="366" t="str">
        <f ca="1">VLOOKUP(RANDBETWEEN(1,5),FORMAS_PGMTO[#All],2,FALSE)</f>
        <v>Dinheiro</v>
      </c>
      <c r="F138" s="367" t="s">
        <v>805</v>
      </c>
      <c r="G138" s="380">
        <v>950</v>
      </c>
    </row>
    <row r="139" spans="1:8" s="338" customFormat="1" ht="21" hidden="1">
      <c r="A139" s="376">
        <v>45793</v>
      </c>
      <c r="B139" s="362" t="str">
        <f>UPPER(TEXT(Lançamentos_2025[[#This Row],[DATA]],"MMM"))</f>
        <v>MAI</v>
      </c>
      <c r="C139" s="363"/>
      <c r="D139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39" s="366" t="str">
        <f ca="1">VLOOKUP(RANDBETWEEN(1,5),FORMAS_PGMTO[#All],2,FALSE)</f>
        <v>Crédito</v>
      </c>
      <c r="F139" s="367"/>
      <c r="G139" s="381"/>
      <c r="H139" s="345"/>
    </row>
    <row r="140" spans="1:8" s="338" customFormat="1" ht="21" hidden="1">
      <c r="A140" s="376">
        <v>45794</v>
      </c>
      <c r="B140" s="364" t="str">
        <f>UPPER(TEXT(Lançamentos_2025[[#This Row],[DATA]],"MMM"))</f>
        <v>MAI</v>
      </c>
      <c r="C140" s="363"/>
      <c r="D140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40" s="366" t="str">
        <f ca="1">VLOOKUP(RANDBETWEEN(1,5),FORMAS_PGMTO[#All],2,FALSE)</f>
        <v>Dinheiro</v>
      </c>
      <c r="F140" s="369"/>
      <c r="G140" s="379"/>
    </row>
    <row r="141" spans="1:8" s="338" customFormat="1" ht="21" hidden="1">
      <c r="A141" s="376">
        <v>45795</v>
      </c>
      <c r="B141" s="364" t="str">
        <f>UPPER(TEXT(Lançamentos_2025[[#This Row],[DATA]],"MMM"))</f>
        <v>MAI</v>
      </c>
      <c r="C141" s="363"/>
      <c r="D141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41" s="366" t="str">
        <f ca="1">VLOOKUP(RANDBETWEEN(1,5),FORMAS_PGMTO[#All],2,FALSE)</f>
        <v>Boleto</v>
      </c>
      <c r="F141" s="369"/>
      <c r="G141" s="379"/>
    </row>
    <row r="142" spans="1:8" s="338" customFormat="1" ht="21" hidden="1">
      <c r="A142" s="376">
        <v>45796</v>
      </c>
      <c r="B142" s="364" t="str">
        <f>UPPER(TEXT(Lançamentos_2025[[#This Row],[DATA]],"MMM"))</f>
        <v>MAI</v>
      </c>
      <c r="C142" s="363"/>
      <c r="D142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42" s="366" t="str">
        <f ca="1">VLOOKUP(RANDBETWEEN(1,5),FORMAS_PGMTO[#All],2,FALSE)</f>
        <v>Pix</v>
      </c>
      <c r="F142" s="369"/>
      <c r="G142" s="379"/>
    </row>
    <row r="143" spans="1:8" s="338" customFormat="1" ht="21" hidden="1">
      <c r="A143" s="376">
        <v>45797</v>
      </c>
      <c r="B143" s="364" t="str">
        <f>UPPER(TEXT(Lançamentos_2025[[#This Row],[DATA]],"MMM"))</f>
        <v>MAI</v>
      </c>
      <c r="C143" s="363"/>
      <c r="D143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43" s="366" t="str">
        <f ca="1">VLOOKUP(RANDBETWEEN(1,5),FORMAS_PGMTO[#All],2,FALSE)</f>
        <v>Pix</v>
      </c>
      <c r="F143" s="369"/>
      <c r="G143" s="379"/>
    </row>
    <row r="144" spans="1:8" s="338" customFormat="1" ht="21" hidden="1">
      <c r="A144" s="376">
        <v>45798</v>
      </c>
      <c r="B144" s="362" t="str">
        <f>UPPER(TEXT(Lançamentos_2025[[#This Row],[DATA]],"MMM"))</f>
        <v>MAI</v>
      </c>
      <c r="C144" s="363"/>
      <c r="D144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44" s="366" t="str">
        <f ca="1">VLOOKUP(RANDBETWEEN(1,5),FORMAS_PGMTO[#All],2,FALSE)</f>
        <v>Boleto</v>
      </c>
      <c r="F144" s="369"/>
      <c r="G144" s="381"/>
    </row>
    <row r="145" spans="1:7" s="338" customFormat="1" ht="21" hidden="1">
      <c r="A145" s="376">
        <v>45799</v>
      </c>
      <c r="B145" s="362" t="str">
        <f>UPPER(TEXT(Lançamentos_2025[[#This Row],[DATA]],"MMM"))</f>
        <v>MAI</v>
      </c>
      <c r="C145" s="363"/>
      <c r="D145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45" s="366" t="str">
        <f ca="1">VLOOKUP(RANDBETWEEN(1,5),FORMAS_PGMTO[#All],2,FALSE)</f>
        <v>Débito</v>
      </c>
      <c r="F145" s="369"/>
      <c r="G145" s="381"/>
    </row>
    <row r="146" spans="1:7" s="338" customFormat="1" ht="21" hidden="1">
      <c r="A146" s="376">
        <v>45800</v>
      </c>
      <c r="B146" s="362" t="str">
        <f>UPPER(TEXT(Lançamentos_2025[[#This Row],[DATA]],"MMM"))</f>
        <v>MAI</v>
      </c>
      <c r="C146" s="363"/>
      <c r="D146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46" s="363" t="str">
        <f ca="1">VLOOKUP(RANDBETWEEN(1,5),FORMAS_PGMTO[#All],2,FALSE)</f>
        <v>Boleto</v>
      </c>
      <c r="F146" s="367"/>
      <c r="G146" s="381"/>
    </row>
    <row r="147" spans="1:7" s="338" customFormat="1" ht="21" hidden="1">
      <c r="A147" s="376">
        <v>45801</v>
      </c>
      <c r="B147" s="362" t="str">
        <f>UPPER(TEXT(Lançamentos_2025[[#This Row],[DATA]],"MMM"))</f>
        <v>MAI</v>
      </c>
      <c r="C147" s="363"/>
      <c r="D147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47" s="372" t="str">
        <f ca="1">VLOOKUP(RANDBETWEEN(1,5),FORMAS_PGMTO[#All],2,FALSE)</f>
        <v>Pix</v>
      </c>
      <c r="F147" s="367"/>
      <c r="G147" s="381"/>
    </row>
    <row r="148" spans="1:7" s="338" customFormat="1" ht="21" hidden="1">
      <c r="A148" s="376">
        <v>45802</v>
      </c>
      <c r="B148" s="362" t="str">
        <f>UPPER(TEXT(Lançamentos_2025[[#This Row],[DATA]],"MMM"))</f>
        <v>MAI</v>
      </c>
      <c r="C148" s="363"/>
      <c r="D148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48" s="372" t="str">
        <f ca="1">VLOOKUP(RANDBETWEEN(1,5),FORMAS_PGMTO[#All],2,FALSE)</f>
        <v>Pix</v>
      </c>
      <c r="F148" s="367"/>
      <c r="G148" s="381"/>
    </row>
    <row r="149" spans="1:7" s="338" customFormat="1" ht="21" hidden="1">
      <c r="A149" s="376">
        <v>45803</v>
      </c>
      <c r="B149" s="362" t="str">
        <f>UPPER(TEXT(Lançamentos_2025[[#This Row],[DATA]],"MMM"))</f>
        <v>MAI</v>
      </c>
      <c r="C149" s="363"/>
      <c r="D149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49" s="372" t="str">
        <f ca="1">VLOOKUP(RANDBETWEEN(1,5),FORMAS_PGMTO[#All],2,FALSE)</f>
        <v>Pix</v>
      </c>
      <c r="F149" s="367"/>
      <c r="G149" s="381"/>
    </row>
    <row r="150" spans="1:7" s="338" customFormat="1" ht="21" hidden="1">
      <c r="A150" s="376">
        <v>45804</v>
      </c>
      <c r="B150" s="362" t="str">
        <f>UPPER(TEXT(Lançamentos_2025[[#This Row],[DATA]],"MMM"))</f>
        <v>MAI</v>
      </c>
      <c r="C150" s="363"/>
      <c r="D150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50" s="372" t="str">
        <f ca="1">VLOOKUP(RANDBETWEEN(1,5),FORMAS_PGMTO[#All],2,FALSE)</f>
        <v>Dinheiro</v>
      </c>
      <c r="F150" s="367"/>
      <c r="G150" s="381"/>
    </row>
    <row r="151" spans="1:7" s="338" customFormat="1" ht="21" hidden="1">
      <c r="A151" s="376">
        <v>45805</v>
      </c>
      <c r="B151" s="362" t="str">
        <f>UPPER(TEXT(Lançamentos_2025[[#This Row],[DATA]],"MMM"))</f>
        <v>MAI</v>
      </c>
      <c r="C151" s="363"/>
      <c r="D151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51" s="372" t="str">
        <f ca="1">VLOOKUP(RANDBETWEEN(1,5),FORMAS_PGMTO[#All],2,FALSE)</f>
        <v>Dinheiro</v>
      </c>
      <c r="F151" s="367"/>
      <c r="G151" s="381"/>
    </row>
    <row r="152" spans="1:7" s="338" customFormat="1" ht="21" hidden="1">
      <c r="A152" s="376">
        <v>45806</v>
      </c>
      <c r="B152" s="362" t="str">
        <f>UPPER(TEXT(Lançamentos_2025[[#This Row],[DATA]],"MMM"))</f>
        <v>MAI</v>
      </c>
      <c r="C152" s="363"/>
      <c r="D152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52" s="372" t="str">
        <f ca="1">VLOOKUP(RANDBETWEEN(1,5),FORMAS_PGMTO[#All],2,FALSE)</f>
        <v>Pix</v>
      </c>
      <c r="F152" s="367"/>
      <c r="G152" s="381"/>
    </row>
    <row r="153" spans="1:7" s="338" customFormat="1" ht="21" hidden="1">
      <c r="A153" s="376">
        <v>45807</v>
      </c>
      <c r="B153" s="362" t="str">
        <f>UPPER(TEXT(Lançamentos_2025[[#This Row],[DATA]],"MMM"))</f>
        <v>MAI</v>
      </c>
      <c r="C153" s="363"/>
      <c r="D153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53" s="372" t="str">
        <f ca="1">VLOOKUP(RANDBETWEEN(1,5),FORMAS_PGMTO[#All],2,FALSE)</f>
        <v>Crédito</v>
      </c>
      <c r="F153" s="367"/>
      <c r="G153" s="381"/>
    </row>
    <row r="154" spans="1:7" s="338" customFormat="1" ht="21" hidden="1">
      <c r="A154" s="376">
        <v>45808</v>
      </c>
      <c r="B154" s="362" t="str">
        <f>UPPER(TEXT(Lançamentos_2025[[#This Row],[DATA]],"MMM"))</f>
        <v>MAI</v>
      </c>
      <c r="C154" s="363"/>
      <c r="D154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54" s="372" t="str">
        <f ca="1">VLOOKUP(RANDBETWEEN(1,5),FORMAS_PGMTO[#All],2,FALSE)</f>
        <v>Dinheiro</v>
      </c>
      <c r="F154" s="367"/>
      <c r="G154" s="381"/>
    </row>
    <row r="155" spans="1:7" s="338" customFormat="1" ht="21" hidden="1">
      <c r="A155" s="376">
        <v>45809</v>
      </c>
      <c r="B155" s="362" t="str">
        <f>UPPER(TEXT(Lançamentos_2025[[#This Row],[DATA]],"MMM"))</f>
        <v>JUN</v>
      </c>
      <c r="C155" s="363"/>
      <c r="D155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55" s="372" t="str">
        <f ca="1">VLOOKUP(RANDBETWEEN(1,5),FORMAS_PGMTO[#All],2,FALSE)</f>
        <v>Débito</v>
      </c>
      <c r="F155" s="367"/>
      <c r="G155" s="381"/>
    </row>
    <row r="156" spans="1:7" s="338" customFormat="1" ht="21" hidden="1">
      <c r="A156" s="376">
        <v>45810</v>
      </c>
      <c r="B156" s="362" t="str">
        <f>UPPER(TEXT(Lançamentos_2025[[#This Row],[DATA]],"MMM"))</f>
        <v>JUN</v>
      </c>
      <c r="C156" s="363"/>
      <c r="D156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56" s="372" t="str">
        <f ca="1">VLOOKUP(RANDBETWEEN(1,5),FORMAS_PGMTO[#All],2,FALSE)</f>
        <v>Crédito</v>
      </c>
      <c r="F156" s="367"/>
      <c r="G156" s="381"/>
    </row>
    <row r="157" spans="1:7" s="338" customFormat="1" ht="21" hidden="1">
      <c r="A157" s="376">
        <v>45811</v>
      </c>
      <c r="B157" s="364" t="str">
        <f>UPPER(TEXT(Lançamentos_2025[[#This Row],[DATA]],"MMM"))</f>
        <v>JUN</v>
      </c>
      <c r="C157" s="363"/>
      <c r="D157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57" s="366" t="str">
        <f ca="1">VLOOKUP(RANDBETWEEN(1,5),FORMAS_PGMTO[#All],2,FALSE)</f>
        <v>Dinheiro</v>
      </c>
      <c r="F157" s="369"/>
      <c r="G157" s="379"/>
    </row>
    <row r="158" spans="1:7" s="338" customFormat="1" ht="21" hidden="1">
      <c r="A158" s="376">
        <v>45812</v>
      </c>
      <c r="B158" s="364" t="str">
        <f>UPPER(TEXT(Lançamentos_2025[[#This Row],[DATA]],"MMM"))</f>
        <v>JUN</v>
      </c>
      <c r="C158" s="363"/>
      <c r="D158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58" s="366" t="str">
        <f ca="1">VLOOKUP(RANDBETWEEN(1,5),FORMAS_PGMTO[#All],2,FALSE)</f>
        <v>Dinheiro</v>
      </c>
      <c r="F158" s="369"/>
      <c r="G158" s="379"/>
    </row>
    <row r="159" spans="1:7" s="338" customFormat="1" ht="21" hidden="1">
      <c r="A159" s="376">
        <v>45813</v>
      </c>
      <c r="B159" s="362" t="str">
        <f>UPPER(TEXT(Lançamentos_2025[[#This Row],[DATA]],"MMM"))</f>
        <v>JUN</v>
      </c>
      <c r="C159" s="363"/>
      <c r="D159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59" s="366" t="str">
        <f ca="1">VLOOKUP(RANDBETWEEN(1,5),FORMAS_PGMTO[#All],2,FALSE)</f>
        <v>Débito</v>
      </c>
      <c r="F159" s="367"/>
      <c r="G159" s="381"/>
    </row>
    <row r="160" spans="1:7" s="338" customFormat="1" ht="21" hidden="1">
      <c r="A160" s="376">
        <v>45814</v>
      </c>
      <c r="B160" s="362" t="str">
        <f>UPPER(TEXT(Lançamentos_2025[[#This Row],[DATA]],"MMM"))</f>
        <v>JUN</v>
      </c>
      <c r="C160" s="363"/>
      <c r="D160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60" s="366" t="str">
        <f ca="1">VLOOKUP(RANDBETWEEN(1,5),FORMAS_PGMTO[#All],2,FALSE)</f>
        <v>Pix</v>
      </c>
      <c r="F160" s="367"/>
      <c r="G160" s="381"/>
    </row>
    <row r="161" spans="1:7" s="338" customFormat="1" ht="21" hidden="1">
      <c r="A161" s="376">
        <v>45815</v>
      </c>
      <c r="B161" s="362" t="str">
        <f>UPPER(TEXT(Lançamentos_2025[[#This Row],[DATA]],"MMM"))</f>
        <v>JUN</v>
      </c>
      <c r="C161" s="363"/>
      <c r="D161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61" s="366" t="str">
        <f ca="1">VLOOKUP(RANDBETWEEN(1,5),FORMAS_PGMTO[#All],2,FALSE)</f>
        <v>Dinheiro</v>
      </c>
      <c r="F161" s="367"/>
      <c r="G161" s="381"/>
    </row>
    <row r="162" spans="1:7" s="338" customFormat="1" ht="21" hidden="1">
      <c r="A162" s="376">
        <v>45816</v>
      </c>
      <c r="B162" s="364" t="str">
        <f>UPPER(TEXT(Lançamentos_2025[[#This Row],[DATA]],"MMM"))</f>
        <v>JUN</v>
      </c>
      <c r="C162" s="363"/>
      <c r="D162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62" s="366" t="str">
        <f ca="1">VLOOKUP(RANDBETWEEN(1,5),FORMAS_PGMTO[#All],2,FALSE)</f>
        <v>Crédito</v>
      </c>
      <c r="F162" s="369"/>
      <c r="G162" s="379"/>
    </row>
    <row r="163" spans="1:7" s="338" customFormat="1" ht="21" hidden="1">
      <c r="A163" s="376">
        <v>45817</v>
      </c>
      <c r="B163" s="362" t="str">
        <f>UPPER(TEXT(Lançamentos_2025[[#This Row],[DATA]],"MMM"))</f>
        <v>JUN</v>
      </c>
      <c r="C163" s="363"/>
      <c r="D163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63" s="366" t="str">
        <f ca="1">VLOOKUP(RANDBETWEEN(1,5),FORMAS_PGMTO[#All],2,FALSE)</f>
        <v>Débito</v>
      </c>
      <c r="F163" s="367"/>
      <c r="G163" s="381"/>
    </row>
    <row r="164" spans="1:7" s="338" customFormat="1" ht="21" hidden="1">
      <c r="A164" s="376">
        <v>45818</v>
      </c>
      <c r="B164" s="362" t="str">
        <f>UPPER(TEXT(Lançamentos_2025[[#This Row],[DATA]],"MMM"))</f>
        <v>JUN</v>
      </c>
      <c r="C164" s="363"/>
      <c r="D164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64" s="366" t="str">
        <f ca="1">VLOOKUP(RANDBETWEEN(1,5),FORMAS_PGMTO[#All],2,FALSE)</f>
        <v>Dinheiro</v>
      </c>
      <c r="F164" s="367"/>
      <c r="G164" s="381"/>
    </row>
    <row r="165" spans="1:7" s="338" customFormat="1" ht="21" hidden="1">
      <c r="A165" s="376">
        <v>45819</v>
      </c>
      <c r="B165" s="364" t="str">
        <f>UPPER(TEXT(Lançamentos_2025[[#This Row],[DATA]],"MMM"))</f>
        <v>JUN</v>
      </c>
      <c r="C165" s="363"/>
      <c r="D165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65" s="366" t="str">
        <f ca="1">VLOOKUP(RANDBETWEEN(1,5),FORMAS_PGMTO[#All],2,FALSE)</f>
        <v>Débito</v>
      </c>
      <c r="F165" s="369"/>
      <c r="G165" s="379"/>
    </row>
    <row r="166" spans="1:7" s="338" customFormat="1" ht="21" hidden="1">
      <c r="A166" s="376">
        <v>45820</v>
      </c>
      <c r="B166" s="362" t="str">
        <f>UPPER(TEXT(Lançamentos_2025[[#This Row],[DATA]],"MMM"))</f>
        <v>JUN</v>
      </c>
      <c r="C166" s="363"/>
      <c r="D166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66" s="366" t="str">
        <f ca="1">VLOOKUP(RANDBETWEEN(1,5),FORMAS_PGMTO[#All],2,FALSE)</f>
        <v>Débito</v>
      </c>
      <c r="F166" s="367"/>
      <c r="G166" s="381"/>
    </row>
    <row r="167" spans="1:7" s="338" customFormat="1" ht="21">
      <c r="A167" s="376">
        <v>45821</v>
      </c>
      <c r="B167" s="364" t="str">
        <f>UPPER(TEXT(Lançamentos_2025[[#This Row],[DATA]],"MMM"))</f>
        <v>JUN</v>
      </c>
      <c r="C167" s="363" t="s">
        <v>7</v>
      </c>
      <c r="D167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ENTRADA</v>
      </c>
      <c r="E167" s="363" t="str">
        <f ca="1">VLOOKUP(RANDBETWEEN(1,5),FORMAS_PGMTO[#All],2,FALSE)</f>
        <v>Dinheiro</v>
      </c>
      <c r="F167" s="367" t="s">
        <v>760</v>
      </c>
      <c r="G167" s="377">
        <v>2300</v>
      </c>
    </row>
    <row r="168" spans="1:7" s="338" customFormat="1" ht="21">
      <c r="A168" s="376">
        <v>45822</v>
      </c>
      <c r="B168" s="364" t="str">
        <f>UPPER(TEXT(Lançamentos_2025[[#This Row],[DATA]],"MMM"))</f>
        <v>JUN</v>
      </c>
      <c r="C168" s="363" t="s">
        <v>13</v>
      </c>
      <c r="D168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168" s="366" t="str">
        <f ca="1">VLOOKUP(RANDBETWEEN(1,5),FORMAS_PGMTO[#All],2,FALSE)</f>
        <v>Crédito</v>
      </c>
      <c r="F168" s="370" t="s">
        <v>788</v>
      </c>
      <c r="G168" s="440">
        <v>300</v>
      </c>
    </row>
    <row r="169" spans="1:7" s="338" customFormat="1" ht="21">
      <c r="A169" s="376">
        <v>45823</v>
      </c>
      <c r="B169" s="364" t="str">
        <f>UPPER(TEXT(Lançamentos_2025[[#This Row],[DATA]],"MMM"))</f>
        <v>JUN</v>
      </c>
      <c r="C169" s="362" t="s">
        <v>15</v>
      </c>
      <c r="D169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169" s="366" t="str">
        <f ca="1">VLOOKUP(RANDBETWEEN(1,5),FORMAS_PGMTO[#All],2,FALSE)</f>
        <v>Crédito</v>
      </c>
      <c r="F169" s="371" t="s">
        <v>789</v>
      </c>
      <c r="G169" s="380">
        <v>200</v>
      </c>
    </row>
    <row r="170" spans="1:7" s="338" customFormat="1" ht="21">
      <c r="A170" s="376">
        <v>45824</v>
      </c>
      <c r="B170" s="364" t="str">
        <f>UPPER(TEXT(Lançamentos_2025[[#This Row],[DATA]],"MMM"))</f>
        <v>JUN</v>
      </c>
      <c r="C170" s="362" t="s">
        <v>17</v>
      </c>
      <c r="D170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170" s="366" t="str">
        <f ca="1">VLOOKUP(RANDBETWEEN(1,5),FORMAS_PGMTO[#All],2,FALSE)</f>
        <v>Débito</v>
      </c>
      <c r="F170" s="371" t="s">
        <v>790</v>
      </c>
      <c r="G170" s="380">
        <v>120</v>
      </c>
    </row>
    <row r="171" spans="1:7" s="338" customFormat="1" ht="21">
      <c r="A171" s="376">
        <v>45825</v>
      </c>
      <c r="B171" s="364" t="str">
        <f>UPPER(TEXT(Lançamentos_2025[[#This Row],[DATA]],"MMM"))</f>
        <v>JUN</v>
      </c>
      <c r="C171" s="363" t="s">
        <v>19</v>
      </c>
      <c r="D171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171" s="366" t="str">
        <f ca="1">VLOOKUP(RANDBETWEEN(1,5),FORMAS_PGMTO[#All],2,FALSE)</f>
        <v>Boleto</v>
      </c>
      <c r="F171" s="367" t="s">
        <v>791</v>
      </c>
      <c r="G171" s="441">
        <v>250</v>
      </c>
    </row>
    <row r="172" spans="1:7" s="338" customFormat="1" ht="21">
      <c r="A172" s="376">
        <v>45826</v>
      </c>
      <c r="B172" s="364" t="str">
        <f>UPPER(TEXT(Lançamentos_2025[[#This Row],[DATA]],"MMM"))</f>
        <v>JUN</v>
      </c>
      <c r="C172" s="362" t="s">
        <v>21</v>
      </c>
      <c r="D172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172" s="366" t="str">
        <f ca="1">VLOOKUP(RANDBETWEEN(1,5),FORMAS_PGMTO[#All],2,FALSE)</f>
        <v>Débito</v>
      </c>
      <c r="F172" s="367" t="s">
        <v>792</v>
      </c>
      <c r="G172" s="380">
        <v>120</v>
      </c>
    </row>
    <row r="173" spans="1:7" s="338" customFormat="1" ht="21">
      <c r="A173" s="376">
        <v>45827</v>
      </c>
      <c r="B173" s="364" t="str">
        <f>UPPER(TEXT(Lançamentos_2025[[#This Row],[DATA]],"MMM"))</f>
        <v>JUN</v>
      </c>
      <c r="C173" s="362" t="s">
        <v>5</v>
      </c>
      <c r="D173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173" s="366" t="str">
        <f ca="1">VLOOKUP(RANDBETWEEN(1,5),FORMAS_PGMTO[#All],2,FALSE)</f>
        <v>Débito</v>
      </c>
      <c r="F173" s="367" t="s">
        <v>805</v>
      </c>
      <c r="G173" s="380">
        <v>950</v>
      </c>
    </row>
    <row r="174" spans="1:7" s="338" customFormat="1" ht="21" hidden="1">
      <c r="A174" s="376">
        <v>45828</v>
      </c>
      <c r="B174" s="364" t="str">
        <f>UPPER(TEXT(Lançamentos_2025[[#This Row],[DATA]],"MMM"))</f>
        <v>JUN</v>
      </c>
      <c r="C174" s="363"/>
      <c r="D174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74" s="366" t="str">
        <f ca="1">VLOOKUP(RANDBETWEEN(1,5),FORMAS_PGMTO[#All],2,FALSE)</f>
        <v>Crédito</v>
      </c>
      <c r="F174" s="367"/>
      <c r="G174" s="381"/>
    </row>
    <row r="175" spans="1:7" s="338" customFormat="1" ht="21" hidden="1">
      <c r="A175" s="376">
        <v>45829</v>
      </c>
      <c r="B175" s="364" t="str">
        <f>UPPER(TEXT(Lançamentos_2025[[#This Row],[DATA]],"MMM"))</f>
        <v>JUN</v>
      </c>
      <c r="C175" s="363"/>
      <c r="D175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75" s="366" t="str">
        <f ca="1">VLOOKUP(RANDBETWEEN(1,5),FORMAS_PGMTO[#All],2,FALSE)</f>
        <v>Crédito</v>
      </c>
      <c r="F175" s="367"/>
      <c r="G175" s="381"/>
    </row>
    <row r="176" spans="1:7" s="338" customFormat="1" ht="21" hidden="1">
      <c r="A176" s="376">
        <v>45830</v>
      </c>
      <c r="B176" s="364" t="str">
        <f>UPPER(TEXT(Lançamentos_2025[[#This Row],[DATA]],"MMM"))</f>
        <v>JUN</v>
      </c>
      <c r="C176" s="363"/>
      <c r="D176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76" s="366" t="str">
        <f ca="1">VLOOKUP(RANDBETWEEN(1,5),FORMAS_PGMTO[#All],2,FALSE)</f>
        <v>Boleto</v>
      </c>
      <c r="F176" s="367"/>
      <c r="G176" s="381"/>
    </row>
    <row r="177" spans="1:7" s="338" customFormat="1" ht="21" hidden="1">
      <c r="A177" s="376">
        <v>45831</v>
      </c>
      <c r="B177" s="362" t="str">
        <f>UPPER(TEXT(Lançamentos_2025[[#This Row],[DATA]],"MMM"))</f>
        <v>JUN</v>
      </c>
      <c r="C177" s="363"/>
      <c r="D177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77" s="366" t="str">
        <f ca="1">VLOOKUP(RANDBETWEEN(1,5),FORMAS_PGMTO[#All],2,FALSE)</f>
        <v>Pix</v>
      </c>
      <c r="F177" s="367"/>
      <c r="G177" s="381"/>
    </row>
    <row r="178" spans="1:7" s="338" customFormat="1" ht="21" hidden="1">
      <c r="A178" s="376">
        <v>45832</v>
      </c>
      <c r="B178" s="362" t="str">
        <f>UPPER(TEXT(Lançamentos_2025[[#This Row],[DATA]],"MMM"))</f>
        <v>JUN</v>
      </c>
      <c r="C178" s="363"/>
      <c r="D178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78" s="366" t="str">
        <f ca="1">VLOOKUP(RANDBETWEEN(1,5),FORMAS_PGMTO[#All],2,FALSE)</f>
        <v>Débito</v>
      </c>
      <c r="F178" s="367"/>
      <c r="G178" s="381"/>
    </row>
    <row r="179" spans="1:7" s="338" customFormat="1" ht="21" hidden="1">
      <c r="A179" s="376">
        <v>45833</v>
      </c>
      <c r="B179" s="362" t="str">
        <f>UPPER(TEXT(Lançamentos_2025[[#This Row],[DATA]],"MMM"))</f>
        <v>JUN</v>
      </c>
      <c r="C179" s="363"/>
      <c r="D179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79" s="366" t="str">
        <f ca="1">VLOOKUP(RANDBETWEEN(1,5),FORMAS_PGMTO[#All],2,FALSE)</f>
        <v>Pix</v>
      </c>
      <c r="F179" s="367"/>
      <c r="G179" s="381"/>
    </row>
    <row r="180" spans="1:7" s="338" customFormat="1" ht="21" hidden="1">
      <c r="A180" s="376">
        <v>45834</v>
      </c>
      <c r="B180" s="362" t="str">
        <f>UPPER(TEXT(Lançamentos_2025[[#This Row],[DATA]],"MMM"))</f>
        <v>JUN</v>
      </c>
      <c r="C180" s="363"/>
      <c r="D180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80" s="366" t="str">
        <f ca="1">VLOOKUP(RANDBETWEEN(1,5),FORMAS_PGMTO[#All],2,FALSE)</f>
        <v>Boleto</v>
      </c>
      <c r="F180" s="367"/>
      <c r="G180" s="381"/>
    </row>
    <row r="181" spans="1:7" s="338" customFormat="1" ht="21" hidden="1">
      <c r="A181" s="376">
        <v>45835</v>
      </c>
      <c r="B181" s="362" t="str">
        <f>UPPER(TEXT(Lançamentos_2025[[#This Row],[DATA]],"MMM"))</f>
        <v>JUN</v>
      </c>
      <c r="C181" s="363"/>
      <c r="D181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81" s="366" t="str">
        <f ca="1">VLOOKUP(RANDBETWEEN(1,5),FORMAS_PGMTO[#All],2,FALSE)</f>
        <v>Pix</v>
      </c>
      <c r="F181" s="367"/>
      <c r="G181" s="381"/>
    </row>
    <row r="182" spans="1:7" s="338" customFormat="1" ht="21" hidden="1">
      <c r="A182" s="376">
        <v>45836</v>
      </c>
      <c r="B182" s="362" t="str">
        <f>UPPER(TEXT(Lançamentos_2025[[#This Row],[DATA]],"MMM"))</f>
        <v>JUN</v>
      </c>
      <c r="C182" s="363"/>
      <c r="D182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82" s="366" t="str">
        <f ca="1">VLOOKUP(RANDBETWEEN(1,5),FORMAS_PGMTO[#All],2,FALSE)</f>
        <v>Boleto</v>
      </c>
      <c r="F182" s="367"/>
      <c r="G182" s="381"/>
    </row>
    <row r="183" spans="1:7" s="338" customFormat="1" ht="21" hidden="1">
      <c r="A183" s="376">
        <v>45837</v>
      </c>
      <c r="B183" s="362" t="str">
        <f>UPPER(TEXT(Lançamentos_2025[[#This Row],[DATA]],"MMM"))</f>
        <v>JUN</v>
      </c>
      <c r="C183" s="363"/>
      <c r="D183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83" s="366" t="str">
        <f ca="1">VLOOKUP(RANDBETWEEN(1,5),FORMAS_PGMTO[#All],2,FALSE)</f>
        <v>Dinheiro</v>
      </c>
      <c r="F183" s="367"/>
      <c r="G183" s="381"/>
    </row>
    <row r="184" spans="1:7" s="338" customFormat="1" ht="21" hidden="1">
      <c r="A184" s="376">
        <v>45838</v>
      </c>
      <c r="B184" s="362" t="str">
        <f>UPPER(TEXT(Lançamentos_2025[[#This Row],[DATA]],"MMM"))</f>
        <v>JUN</v>
      </c>
      <c r="C184" s="363"/>
      <c r="D184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84" s="366" t="str">
        <f ca="1">VLOOKUP(RANDBETWEEN(1,5),FORMAS_PGMTO[#All],2,FALSE)</f>
        <v>Crédito</v>
      </c>
      <c r="F184" s="367"/>
      <c r="G184" s="381"/>
    </row>
    <row r="185" spans="1:7" s="338" customFormat="1" ht="21" hidden="1">
      <c r="A185" s="376">
        <v>45839</v>
      </c>
      <c r="B185" s="362" t="str">
        <f>UPPER(TEXT(Lançamentos_2025[[#This Row],[DATA]],"MMM"))</f>
        <v>JUL</v>
      </c>
      <c r="C185" s="363"/>
      <c r="D185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85" s="366" t="str">
        <f ca="1">VLOOKUP(RANDBETWEEN(1,5),FORMAS_PGMTO[#All],2,FALSE)</f>
        <v>Débito</v>
      </c>
      <c r="F185" s="367"/>
      <c r="G185" s="381"/>
    </row>
    <row r="186" spans="1:7" s="338" customFormat="1" ht="21" hidden="1">
      <c r="A186" s="376">
        <v>45840</v>
      </c>
      <c r="B186" s="362" t="str">
        <f>UPPER(TEXT(Lançamentos_2025[[#This Row],[DATA]],"MMM"))</f>
        <v>JUL</v>
      </c>
      <c r="C186" s="363"/>
      <c r="D186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86" s="366" t="str">
        <f ca="1">VLOOKUP(RANDBETWEEN(1,5),FORMAS_PGMTO[#All],2,FALSE)</f>
        <v>Boleto</v>
      </c>
      <c r="F186" s="367"/>
      <c r="G186" s="381"/>
    </row>
    <row r="187" spans="1:7" s="338" customFormat="1" ht="21" hidden="1">
      <c r="A187" s="376">
        <v>45841</v>
      </c>
      <c r="B187" s="362" t="str">
        <f>UPPER(TEXT(Lançamentos_2025[[#This Row],[DATA]],"MMM"))</f>
        <v>JUL</v>
      </c>
      <c r="C187" s="363"/>
      <c r="D187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87" s="366" t="str">
        <f ca="1">VLOOKUP(RANDBETWEEN(1,5),FORMAS_PGMTO[#All],2,FALSE)</f>
        <v>Pix</v>
      </c>
      <c r="F187" s="367"/>
      <c r="G187" s="381"/>
    </row>
    <row r="188" spans="1:7" s="338" customFormat="1" ht="21" hidden="1">
      <c r="A188" s="376">
        <v>45842</v>
      </c>
      <c r="B188" s="362" t="str">
        <f>UPPER(TEXT(Lançamentos_2025[[#This Row],[DATA]],"MMM"))</f>
        <v>JUL</v>
      </c>
      <c r="C188" s="363"/>
      <c r="D188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88" s="366" t="str">
        <f ca="1">VLOOKUP(RANDBETWEEN(1,5),FORMAS_PGMTO[#All],2,FALSE)</f>
        <v>Crédito</v>
      </c>
      <c r="F188" s="367"/>
      <c r="G188" s="381"/>
    </row>
    <row r="189" spans="1:7" s="338" customFormat="1" ht="21" hidden="1">
      <c r="A189" s="376">
        <v>45843</v>
      </c>
      <c r="B189" s="362" t="str">
        <f>UPPER(TEXT(Lançamentos_2025[[#This Row],[DATA]],"MMM"))</f>
        <v>JUL</v>
      </c>
      <c r="C189" s="363"/>
      <c r="D189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89" s="366" t="str">
        <f ca="1">VLOOKUP(RANDBETWEEN(1,5),FORMAS_PGMTO[#All],2,FALSE)</f>
        <v>Pix</v>
      </c>
      <c r="F189" s="367"/>
      <c r="G189" s="381"/>
    </row>
    <row r="190" spans="1:7" s="338" customFormat="1" ht="21" hidden="1">
      <c r="A190" s="376">
        <v>45844</v>
      </c>
      <c r="B190" s="362" t="str">
        <f>UPPER(TEXT(Lançamentos_2025[[#This Row],[DATA]],"MMM"))</f>
        <v>JUL</v>
      </c>
      <c r="C190" s="363"/>
      <c r="D190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90" s="366" t="str">
        <f ca="1">VLOOKUP(RANDBETWEEN(1,5),FORMAS_PGMTO[#All],2,FALSE)</f>
        <v>Crédito</v>
      </c>
      <c r="F190" s="367"/>
      <c r="G190" s="381"/>
    </row>
    <row r="191" spans="1:7" s="338" customFormat="1" ht="21" hidden="1">
      <c r="A191" s="376">
        <v>45845</v>
      </c>
      <c r="B191" s="362" t="str">
        <f>UPPER(TEXT(Lançamentos_2025[[#This Row],[DATA]],"MMM"))</f>
        <v>JUL</v>
      </c>
      <c r="C191" s="363"/>
      <c r="D191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91" s="366" t="str">
        <f ca="1">VLOOKUP(RANDBETWEEN(1,5),FORMAS_PGMTO[#All],2,FALSE)</f>
        <v>Crédito</v>
      </c>
      <c r="F191" s="367"/>
      <c r="G191" s="381"/>
    </row>
    <row r="192" spans="1:7" s="338" customFormat="1" ht="21" hidden="1">
      <c r="A192" s="376">
        <v>45846</v>
      </c>
      <c r="B192" s="362" t="str">
        <f>UPPER(TEXT(Lançamentos_2025[[#This Row],[DATA]],"MMM"))</f>
        <v>JUL</v>
      </c>
      <c r="C192" s="363"/>
      <c r="D192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92" s="366" t="str">
        <f ca="1">VLOOKUP(RANDBETWEEN(1,5),FORMAS_PGMTO[#All],2,FALSE)</f>
        <v>Pix</v>
      </c>
      <c r="F192" s="367"/>
      <c r="G192" s="381"/>
    </row>
    <row r="193" spans="1:7" s="338" customFormat="1" ht="21" hidden="1">
      <c r="A193" s="376">
        <v>45847</v>
      </c>
      <c r="B193" s="364" t="str">
        <f>UPPER(TEXT(Lançamentos_2025[[#This Row],[DATA]],"MMM"))</f>
        <v>JUL</v>
      </c>
      <c r="C193" s="363"/>
      <c r="D193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93" s="366" t="str">
        <f ca="1">VLOOKUP(RANDBETWEEN(1,5),FORMAS_PGMTO[#All],2,FALSE)</f>
        <v>Pix</v>
      </c>
      <c r="F193" s="369"/>
      <c r="G193" s="379"/>
    </row>
    <row r="194" spans="1:7" s="338" customFormat="1" ht="21">
      <c r="A194" s="376">
        <v>45848</v>
      </c>
      <c r="B194" s="362" t="str">
        <f>UPPER(TEXT(Lançamentos_2025[[#This Row],[DATA]],"MMM"))</f>
        <v>JUL</v>
      </c>
      <c r="C194" s="363" t="s">
        <v>7</v>
      </c>
      <c r="D194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ENTRADA</v>
      </c>
      <c r="E194" s="363" t="str">
        <f ca="1">VLOOKUP(RANDBETWEEN(1,5),FORMAS_PGMTO[#All],2,FALSE)</f>
        <v>Pix</v>
      </c>
      <c r="F194" s="367" t="s">
        <v>760</v>
      </c>
      <c r="G194" s="377">
        <v>2400</v>
      </c>
    </row>
    <row r="195" spans="1:7" s="338" customFormat="1" ht="21">
      <c r="A195" s="376">
        <v>45849</v>
      </c>
      <c r="B195" s="364" t="str">
        <f>UPPER(TEXT(Lançamentos_2025[[#This Row],[DATA]],"MMM"))</f>
        <v>JUL</v>
      </c>
      <c r="C195" s="362" t="s">
        <v>11</v>
      </c>
      <c r="D195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195" s="363" t="str">
        <f ca="1">VLOOKUP(RANDBETWEEN(1,5),FORMAS_PGMTO[#All],2,FALSE)</f>
        <v>Crédito</v>
      </c>
      <c r="F195" s="367" t="s">
        <v>781</v>
      </c>
      <c r="G195" s="380">
        <v>500</v>
      </c>
    </row>
    <row r="196" spans="1:7" s="338" customFormat="1" ht="21">
      <c r="A196" s="376">
        <v>45850</v>
      </c>
      <c r="B196" s="364" t="str">
        <f>UPPER(TEXT(Lançamentos_2025[[#This Row],[DATA]],"MMM"))</f>
        <v>JUL</v>
      </c>
      <c r="C196" s="363" t="s">
        <v>13</v>
      </c>
      <c r="D196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196" s="366" t="str">
        <f ca="1">VLOOKUP(RANDBETWEEN(1,5),FORMAS_PGMTO[#All],2,FALSE)</f>
        <v>Boleto</v>
      </c>
      <c r="F196" s="369" t="s">
        <v>811</v>
      </c>
      <c r="G196" s="440">
        <v>200</v>
      </c>
    </row>
    <row r="197" spans="1:7" s="338" customFormat="1" ht="21">
      <c r="A197" s="376">
        <v>45851</v>
      </c>
      <c r="B197" s="364" t="str">
        <f>UPPER(TEXT(Lançamentos_2025[[#This Row],[DATA]],"MMM"))</f>
        <v>JUL</v>
      </c>
      <c r="C197" s="363" t="s">
        <v>15</v>
      </c>
      <c r="D197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197" s="363" t="str">
        <f ca="1">VLOOKUP(RANDBETWEEN(1,5),FORMAS_PGMTO[#All],2,FALSE)</f>
        <v>Crédito</v>
      </c>
      <c r="F197" s="367" t="s">
        <v>782</v>
      </c>
      <c r="G197" s="380">
        <v>300</v>
      </c>
    </row>
    <row r="198" spans="1:7" s="338" customFormat="1" ht="21">
      <c r="A198" s="376">
        <v>45852</v>
      </c>
      <c r="B198" s="364" t="str">
        <f>UPPER(TEXT(Lançamentos_2025[[#This Row],[DATA]],"MMM"))</f>
        <v>JUL</v>
      </c>
      <c r="C198" s="363" t="s">
        <v>17</v>
      </c>
      <c r="D198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198" s="366" t="str">
        <f ca="1">VLOOKUP(RANDBETWEEN(1,5),FORMAS_PGMTO[#All],2,FALSE)</f>
        <v>Crédito</v>
      </c>
      <c r="F198" s="369" t="s">
        <v>783</v>
      </c>
      <c r="G198" s="440">
        <v>150</v>
      </c>
    </row>
    <row r="199" spans="1:7" s="338" customFormat="1" ht="21" hidden="1">
      <c r="A199" s="376">
        <v>45853</v>
      </c>
      <c r="B199" s="362" t="str">
        <f>UPPER(TEXT(Lançamentos_2025[[#This Row],[DATA]],"MMM"))</f>
        <v>JUL</v>
      </c>
      <c r="C199" s="363"/>
      <c r="D199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199" s="366" t="str">
        <f ca="1">VLOOKUP(RANDBETWEEN(1,5),FORMAS_PGMTO[#All],2,FALSE)</f>
        <v>Boleto</v>
      </c>
      <c r="F199" s="367"/>
      <c r="G199" s="381"/>
    </row>
    <row r="200" spans="1:7" s="338" customFormat="1" ht="21" hidden="1">
      <c r="A200" s="376">
        <v>45854</v>
      </c>
      <c r="B200" s="362" t="str">
        <f>UPPER(TEXT(Lançamentos_2025[[#This Row],[DATA]],"MMM"))</f>
        <v>JUL</v>
      </c>
      <c r="C200" s="363"/>
      <c r="D200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00" s="366" t="str">
        <f ca="1">VLOOKUP(RANDBETWEEN(1,5),FORMAS_PGMTO[#All],2,FALSE)</f>
        <v>Crédito</v>
      </c>
      <c r="F200" s="367"/>
      <c r="G200" s="381"/>
    </row>
    <row r="201" spans="1:7" s="338" customFormat="1" ht="21" hidden="1">
      <c r="A201" s="376">
        <v>45855</v>
      </c>
      <c r="B201" s="364" t="str">
        <f>UPPER(TEXT(Lançamentos_2025[[#This Row],[DATA]],"MMM"))</f>
        <v>JUL</v>
      </c>
      <c r="C201" s="363"/>
      <c r="D201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01" s="366" t="str">
        <f ca="1">VLOOKUP(RANDBETWEEN(1,5),FORMAS_PGMTO[#All],2,FALSE)</f>
        <v>Dinheiro</v>
      </c>
      <c r="F201" s="369"/>
      <c r="G201" s="379"/>
    </row>
    <row r="202" spans="1:7" s="338" customFormat="1" ht="21" hidden="1">
      <c r="A202" s="376">
        <v>45856</v>
      </c>
      <c r="B202" s="364" t="str">
        <f>UPPER(TEXT(Lançamentos_2025[[#This Row],[DATA]],"MMM"))</f>
        <v>JUL</v>
      </c>
      <c r="C202" s="363"/>
      <c r="D202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02" s="363" t="str">
        <f ca="1">VLOOKUP(RANDBETWEEN(1,5),FORMAS_PGMTO[#All],2,FALSE)</f>
        <v>Boleto</v>
      </c>
      <c r="F202" s="367"/>
      <c r="G202" s="381"/>
    </row>
    <row r="203" spans="1:7" s="338" customFormat="1" ht="21" hidden="1">
      <c r="A203" s="376">
        <v>45857</v>
      </c>
      <c r="B203" s="362" t="str">
        <f>UPPER(TEXT(Lançamentos_2025[[#This Row],[DATA]],"MMM"))</f>
        <v>JUL</v>
      </c>
      <c r="C203" s="363"/>
      <c r="D203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03" s="363" t="str">
        <f ca="1">VLOOKUP(RANDBETWEEN(1,5),FORMAS_PGMTO[#All],2,FALSE)</f>
        <v>Pix</v>
      </c>
      <c r="F203" s="367"/>
      <c r="G203" s="381"/>
    </row>
    <row r="204" spans="1:7" s="338" customFormat="1" ht="21" hidden="1">
      <c r="A204" s="376">
        <v>45858</v>
      </c>
      <c r="B204" s="364" t="str">
        <f>UPPER(TEXT(Lançamentos_2025[[#This Row],[DATA]],"MMM"))</f>
        <v>JUL</v>
      </c>
      <c r="C204" s="363"/>
      <c r="D204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04" s="366" t="str">
        <f ca="1">VLOOKUP(RANDBETWEEN(1,5),FORMAS_PGMTO[#All],2,FALSE)</f>
        <v>Dinheiro</v>
      </c>
      <c r="F204" s="369"/>
      <c r="G204" s="379"/>
    </row>
    <row r="205" spans="1:7" s="338" customFormat="1" ht="21" hidden="1">
      <c r="A205" s="376">
        <v>45859</v>
      </c>
      <c r="B205" s="364" t="str">
        <f>UPPER(TEXT(Lançamentos_2025[[#This Row],[DATA]],"MMM"))</f>
        <v>JUL</v>
      </c>
      <c r="C205" s="363"/>
      <c r="D205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05" s="366" t="str">
        <f ca="1">VLOOKUP(RANDBETWEEN(1,5),FORMAS_PGMTO[#All],2,FALSE)</f>
        <v>Pix</v>
      </c>
      <c r="F205" s="369"/>
      <c r="G205" s="379"/>
    </row>
    <row r="206" spans="1:7" s="338" customFormat="1" ht="21" hidden="1">
      <c r="A206" s="376">
        <v>45860</v>
      </c>
      <c r="B206" s="364" t="str">
        <f>UPPER(TEXT(Lançamentos_2025[[#This Row],[DATA]],"MMM"))</f>
        <v>JUL</v>
      </c>
      <c r="C206" s="363"/>
      <c r="D206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06" s="366" t="str">
        <f ca="1">VLOOKUP(RANDBETWEEN(1,5),FORMAS_PGMTO[#All],2,FALSE)</f>
        <v>Pix</v>
      </c>
      <c r="F206" s="369"/>
      <c r="G206" s="379"/>
    </row>
    <row r="207" spans="1:7" s="338" customFormat="1" ht="21" hidden="1">
      <c r="A207" s="376">
        <v>45861</v>
      </c>
      <c r="B207" s="364" t="str">
        <f>UPPER(TEXT(Lançamentos_2025[[#This Row],[DATA]],"MMM"))</f>
        <v>JUL</v>
      </c>
      <c r="C207" s="363"/>
      <c r="D207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07" s="366" t="str">
        <f ca="1">VLOOKUP(RANDBETWEEN(1,5),FORMAS_PGMTO[#All],2,FALSE)</f>
        <v>Crédito</v>
      </c>
      <c r="F207" s="369"/>
      <c r="G207" s="379"/>
    </row>
    <row r="208" spans="1:7" s="338" customFormat="1" ht="21" hidden="1">
      <c r="A208" s="376">
        <v>45862</v>
      </c>
      <c r="B208" s="364" t="str">
        <f>UPPER(TEXT(Lançamentos_2025[[#This Row],[DATA]],"MMM"))</f>
        <v>JUL</v>
      </c>
      <c r="C208" s="363"/>
      <c r="D208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08" s="366" t="str">
        <f ca="1">VLOOKUP(RANDBETWEEN(1,5),FORMAS_PGMTO[#All],2,FALSE)</f>
        <v>Débito</v>
      </c>
      <c r="F208" s="373"/>
      <c r="G208" s="379"/>
    </row>
    <row r="209" spans="1:7" s="338" customFormat="1" ht="21" hidden="1">
      <c r="A209" s="376">
        <v>45863</v>
      </c>
      <c r="B209" s="362" t="str">
        <f>UPPER(TEXT(Lançamentos_2025[[#This Row],[DATA]],"MMM"))</f>
        <v>JUL</v>
      </c>
      <c r="C209" s="363"/>
      <c r="D209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09" s="363" t="str">
        <f ca="1">VLOOKUP(RANDBETWEEN(1,5),FORMAS_PGMTO[#All],2,FALSE)</f>
        <v>Crédito</v>
      </c>
      <c r="F209" s="374"/>
      <c r="G209" s="381"/>
    </row>
    <row r="210" spans="1:7" s="338" customFormat="1" ht="21" hidden="1">
      <c r="A210" s="376">
        <v>45864</v>
      </c>
      <c r="B210" s="364" t="str">
        <f>UPPER(TEXT(Lançamentos_2025[[#This Row],[DATA]],"MMM"))</f>
        <v>JUL</v>
      </c>
      <c r="C210" s="363"/>
      <c r="D210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10" s="366" t="str">
        <f ca="1">VLOOKUP(RANDBETWEEN(1,5),FORMAS_PGMTO[#All],2,FALSE)</f>
        <v>Pix</v>
      </c>
      <c r="F210" s="369"/>
      <c r="G210" s="379"/>
    </row>
    <row r="211" spans="1:7" s="338" customFormat="1" ht="21" hidden="1">
      <c r="A211" s="376">
        <v>45865</v>
      </c>
      <c r="B211" s="364" t="str">
        <f>UPPER(TEXT(Lançamentos_2025[[#This Row],[DATA]],"MMM"))</f>
        <v>JUL</v>
      </c>
      <c r="C211" s="363"/>
      <c r="D211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11" s="366" t="str">
        <f ca="1">VLOOKUP(RANDBETWEEN(1,5),FORMAS_PGMTO[#All],2,FALSE)</f>
        <v>Crédito</v>
      </c>
      <c r="F211" s="373"/>
      <c r="G211" s="379"/>
    </row>
    <row r="212" spans="1:7" s="338" customFormat="1" ht="21" hidden="1">
      <c r="A212" s="376">
        <v>45866</v>
      </c>
      <c r="B212" s="362" t="str">
        <f>UPPER(TEXT(Lançamentos_2025[[#This Row],[DATA]],"MMM"))</f>
        <v>JUL</v>
      </c>
      <c r="C212" s="363"/>
      <c r="D212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12" s="363" t="str">
        <f ca="1">VLOOKUP(RANDBETWEEN(1,5),FORMAS_PGMTO[#All],2,FALSE)</f>
        <v>Dinheiro</v>
      </c>
      <c r="F212" s="374"/>
      <c r="G212" s="381"/>
    </row>
    <row r="213" spans="1:7" s="338" customFormat="1" ht="21" hidden="1">
      <c r="A213" s="376">
        <v>45867</v>
      </c>
      <c r="B213" s="364" t="str">
        <f>UPPER(TEXT(Lançamentos_2025[[#This Row],[DATA]],"MMM"))</f>
        <v>JUL</v>
      </c>
      <c r="C213" s="363"/>
      <c r="D213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13" s="366" t="str">
        <f ca="1">VLOOKUP(RANDBETWEEN(1,5),FORMAS_PGMTO[#All],2,FALSE)</f>
        <v>Crédito</v>
      </c>
      <c r="F213" s="367"/>
      <c r="G213" s="381"/>
    </row>
    <row r="214" spans="1:7" s="338" customFormat="1" ht="21" hidden="1">
      <c r="A214" s="376">
        <v>45868</v>
      </c>
      <c r="B214" s="362" t="str">
        <f>UPPER(TEXT(Lançamentos_2025[[#This Row],[DATA]],"MMM"))</f>
        <v>JUL</v>
      </c>
      <c r="C214" s="363"/>
      <c r="D214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14" s="366" t="str">
        <f ca="1">VLOOKUP(RANDBETWEEN(1,5),FORMAS_PGMTO[#All],2,FALSE)</f>
        <v>Crédito</v>
      </c>
      <c r="F214" s="367"/>
      <c r="G214" s="381"/>
    </row>
    <row r="215" spans="1:7" s="338" customFormat="1" ht="21" hidden="1">
      <c r="A215" s="376">
        <v>45869</v>
      </c>
      <c r="B215" s="362" t="str">
        <f>UPPER(TEXT(Lançamentos_2025[[#This Row],[DATA]],"MMM"))</f>
        <v>JUL</v>
      </c>
      <c r="C215" s="363"/>
      <c r="D215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15" s="366" t="str">
        <f ca="1">VLOOKUP(RANDBETWEEN(1,5),FORMAS_PGMTO[#All],2,FALSE)</f>
        <v>Pix</v>
      </c>
      <c r="F215" s="367"/>
      <c r="G215" s="381"/>
    </row>
    <row r="216" spans="1:7" s="338" customFormat="1" ht="21" hidden="1">
      <c r="A216" s="376">
        <v>45870</v>
      </c>
      <c r="B216" s="362" t="str">
        <f>UPPER(TEXT(Lançamentos_2025[[#This Row],[DATA]],"MMM"))</f>
        <v>AGO</v>
      </c>
      <c r="C216" s="363"/>
      <c r="D216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16" s="366" t="str">
        <f ca="1">VLOOKUP(RANDBETWEEN(1,5),FORMAS_PGMTO[#All],2,FALSE)</f>
        <v>Débito</v>
      </c>
      <c r="F216" s="369"/>
      <c r="G216" s="381"/>
    </row>
    <row r="217" spans="1:7" s="338" customFormat="1" ht="21" hidden="1">
      <c r="A217" s="376">
        <v>45871</v>
      </c>
      <c r="B217" s="362" t="str">
        <f>UPPER(TEXT(Lançamentos_2025[[#This Row],[DATA]],"MMM"))</f>
        <v>AGO</v>
      </c>
      <c r="C217" s="363"/>
      <c r="D217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17" s="366" t="str">
        <f ca="1">VLOOKUP(RANDBETWEEN(1,5),FORMAS_PGMTO[#All],2,FALSE)</f>
        <v>Pix</v>
      </c>
      <c r="F217" s="369"/>
      <c r="G217" s="381"/>
    </row>
    <row r="218" spans="1:7" s="338" customFormat="1" ht="21" hidden="1">
      <c r="A218" s="376">
        <v>45872</v>
      </c>
      <c r="B218" s="362" t="str">
        <f>UPPER(TEXT(Lançamentos_2025[[#This Row],[DATA]],"MMM"))</f>
        <v>AGO</v>
      </c>
      <c r="C218" s="363"/>
      <c r="D218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18" s="366" t="str">
        <f ca="1">VLOOKUP(RANDBETWEEN(1,5),FORMAS_PGMTO[#All],2,FALSE)</f>
        <v>Boleto</v>
      </c>
      <c r="F218" s="367"/>
      <c r="G218" s="381"/>
    </row>
    <row r="219" spans="1:7" s="338" customFormat="1" ht="21" hidden="1">
      <c r="A219" s="376">
        <v>45873</v>
      </c>
      <c r="B219" s="362" t="str">
        <f>UPPER(TEXT(Lançamentos_2025[[#This Row],[DATA]],"MMM"))</f>
        <v>AGO</v>
      </c>
      <c r="C219" s="363"/>
      <c r="D219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19" s="366" t="str">
        <f ca="1">VLOOKUP(RANDBETWEEN(1,5),FORMAS_PGMTO[#All],2,FALSE)</f>
        <v>Dinheiro</v>
      </c>
      <c r="F219" s="367"/>
      <c r="G219" s="381"/>
    </row>
    <row r="220" spans="1:7" s="338" customFormat="1" ht="21" hidden="1">
      <c r="A220" s="376">
        <v>45874</v>
      </c>
      <c r="B220" s="362" t="str">
        <f>UPPER(TEXT(Lançamentos_2025[[#This Row],[DATA]],"MMM"))</f>
        <v>AGO</v>
      </c>
      <c r="C220" s="363"/>
      <c r="D220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20" s="366" t="str">
        <f ca="1">VLOOKUP(RANDBETWEEN(1,5),FORMAS_PGMTO[#All],2,FALSE)</f>
        <v>Boleto</v>
      </c>
      <c r="F220" s="367"/>
      <c r="G220" s="381"/>
    </row>
    <row r="221" spans="1:7" s="338" customFormat="1" ht="21" hidden="1">
      <c r="A221" s="376">
        <v>45875</v>
      </c>
      <c r="B221" s="362" t="str">
        <f>UPPER(TEXT(Lançamentos_2025[[#This Row],[DATA]],"MMM"))</f>
        <v>AGO</v>
      </c>
      <c r="C221" s="363"/>
      <c r="D221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21" s="366" t="str">
        <f ca="1">VLOOKUP(RANDBETWEEN(1,5),FORMAS_PGMTO[#All],2,FALSE)</f>
        <v>Débito</v>
      </c>
      <c r="F221" s="367"/>
      <c r="G221" s="381"/>
    </row>
    <row r="222" spans="1:7" s="338" customFormat="1" ht="21" hidden="1">
      <c r="A222" s="376">
        <v>45876</v>
      </c>
      <c r="B222" s="362" t="str">
        <f>UPPER(TEXT(Lançamentos_2025[[#This Row],[DATA]],"MMM"))</f>
        <v>AGO</v>
      </c>
      <c r="C222" s="363"/>
      <c r="D222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22" s="366" t="str">
        <f ca="1">VLOOKUP(RANDBETWEEN(1,5),FORMAS_PGMTO[#All],2,FALSE)</f>
        <v>Dinheiro</v>
      </c>
      <c r="F222" s="367"/>
      <c r="G222" s="381"/>
    </row>
    <row r="223" spans="1:7" s="338" customFormat="1" ht="21" hidden="1">
      <c r="A223" s="376">
        <v>45877</v>
      </c>
      <c r="B223" s="362" t="str">
        <f>UPPER(TEXT(Lançamentos_2025[[#This Row],[DATA]],"MMM"))</f>
        <v>AGO</v>
      </c>
      <c r="C223" s="363"/>
      <c r="D223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23" s="366" t="str">
        <f ca="1">VLOOKUP(RANDBETWEEN(1,5),FORMAS_PGMTO[#All],2,FALSE)</f>
        <v>Pix</v>
      </c>
      <c r="F223" s="367"/>
      <c r="G223" s="381"/>
    </row>
    <row r="224" spans="1:7" s="338" customFormat="1" ht="21" hidden="1">
      <c r="A224" s="376">
        <v>45878</v>
      </c>
      <c r="B224" s="362" t="str">
        <f>UPPER(TEXT(Lançamentos_2025[[#This Row],[DATA]],"MMM"))</f>
        <v>AGO</v>
      </c>
      <c r="C224" s="363"/>
      <c r="D224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24" s="366" t="str">
        <f ca="1">VLOOKUP(RANDBETWEEN(1,5),FORMAS_PGMTO[#All],2,FALSE)</f>
        <v>Dinheiro</v>
      </c>
      <c r="F224" s="367"/>
      <c r="G224" s="381"/>
    </row>
    <row r="225" spans="1:9" s="338" customFormat="1" ht="21">
      <c r="A225" s="376">
        <v>45879</v>
      </c>
      <c r="B225" s="362" t="str">
        <f>UPPER(TEXT(Lançamentos_2025[[#This Row],[DATA]],"MMM"))</f>
        <v>AGO</v>
      </c>
      <c r="C225" s="363" t="s">
        <v>7</v>
      </c>
      <c r="D225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ENTRADA</v>
      </c>
      <c r="E225" s="363" t="str">
        <f ca="1">VLOOKUP(RANDBETWEEN(1,5),FORMAS_PGMTO[#All],2,FALSE)</f>
        <v>Crédito</v>
      </c>
      <c r="F225" s="367" t="s">
        <v>760</v>
      </c>
      <c r="G225" s="377">
        <v>2600</v>
      </c>
    </row>
    <row r="226" spans="1:9" s="338" customFormat="1" ht="21">
      <c r="A226" s="376">
        <v>45880</v>
      </c>
      <c r="B226" s="362" t="str">
        <f>UPPER(TEXT(Lançamentos_2025[[#This Row],[DATA]],"MMM"))</f>
        <v>AGO</v>
      </c>
      <c r="C226" s="363" t="s">
        <v>19</v>
      </c>
      <c r="D226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226" s="363" t="str">
        <f ca="1">VLOOKUP(RANDBETWEEN(1,5),FORMAS_PGMTO[#All],2,FALSE)</f>
        <v>Débito</v>
      </c>
      <c r="F226" s="367" t="s">
        <v>777</v>
      </c>
      <c r="G226" s="441">
        <v>250</v>
      </c>
    </row>
    <row r="227" spans="1:9" s="338" customFormat="1" ht="21">
      <c r="A227" s="376">
        <v>45881</v>
      </c>
      <c r="B227" s="364" t="str">
        <f>UPPER(TEXT(Lançamentos_2025[[#This Row],[DATA]],"MMM"))</f>
        <v>AGO</v>
      </c>
      <c r="C227" s="363" t="s">
        <v>21</v>
      </c>
      <c r="D227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227" s="363" t="str">
        <f ca="1">VLOOKUP(RANDBETWEEN(1,5),FORMAS_PGMTO[#All],2,FALSE)</f>
        <v>Débito</v>
      </c>
      <c r="F227" s="367" t="s">
        <v>778</v>
      </c>
      <c r="G227" s="380">
        <v>100</v>
      </c>
    </row>
    <row r="228" spans="1:9" s="338" customFormat="1" ht="21">
      <c r="A228" s="376">
        <v>45882</v>
      </c>
      <c r="B228" s="364" t="str">
        <f>UPPER(TEXT(Lançamentos_2025[[#This Row],[DATA]],"MMM"))</f>
        <v>AGO</v>
      </c>
      <c r="C228" s="363" t="s">
        <v>5</v>
      </c>
      <c r="D228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228" s="363" t="str">
        <f ca="1">VLOOKUP(RANDBETWEEN(1,5),FORMAS_PGMTO[#All],2,FALSE)</f>
        <v>Débito</v>
      </c>
      <c r="F228" s="367" t="s">
        <v>779</v>
      </c>
      <c r="G228" s="441">
        <v>1200</v>
      </c>
    </row>
    <row r="229" spans="1:9" s="338" customFormat="1" ht="21">
      <c r="A229" s="376">
        <v>45883</v>
      </c>
      <c r="B229" s="362" t="str">
        <f>UPPER(TEXT(Lançamentos_2025[[#This Row],[DATA]],"MMM"))</f>
        <v>AGO</v>
      </c>
      <c r="C229" s="362" t="s">
        <v>8</v>
      </c>
      <c r="D229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229" s="363" t="str">
        <f ca="1">VLOOKUP(RANDBETWEEN(1,5),FORMAS_PGMTO[#All],2,FALSE)</f>
        <v>Débito</v>
      </c>
      <c r="F229" s="367" t="s">
        <v>810</v>
      </c>
      <c r="G229" s="380">
        <v>350</v>
      </c>
    </row>
    <row r="230" spans="1:9" s="338" customFormat="1" ht="21" hidden="1">
      <c r="A230" s="376">
        <v>45884</v>
      </c>
      <c r="B230" s="362" t="str">
        <f>UPPER(TEXT(Lançamentos_2025[[#This Row],[DATA]],"MMM"))</f>
        <v>AGO</v>
      </c>
      <c r="C230" s="363"/>
      <c r="D230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30" s="366" t="str">
        <f ca="1">VLOOKUP(RANDBETWEEN(1,5),FORMAS_PGMTO[#All],2,FALSE)</f>
        <v>Crédito</v>
      </c>
      <c r="F230" s="367"/>
      <c r="G230" s="381"/>
    </row>
    <row r="231" spans="1:9" s="338" customFormat="1" ht="21" hidden="1">
      <c r="A231" s="376">
        <v>45885</v>
      </c>
      <c r="B231" s="364" t="str">
        <f>UPPER(TEXT(Lançamentos_2025[[#This Row],[DATA]],"MMM"))</f>
        <v>AGO</v>
      </c>
      <c r="C231" s="363"/>
      <c r="D231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31" s="366" t="str">
        <f ca="1">VLOOKUP(RANDBETWEEN(1,5),FORMAS_PGMTO[#All],2,FALSE)</f>
        <v>Crédito</v>
      </c>
      <c r="F231" s="369"/>
      <c r="G231" s="379"/>
    </row>
    <row r="232" spans="1:9" s="338" customFormat="1" ht="21" hidden="1">
      <c r="A232" s="376">
        <v>45886</v>
      </c>
      <c r="B232" s="362" t="str">
        <f>UPPER(TEXT(Lançamentos_2025[[#This Row],[DATA]],"MMM"))</f>
        <v>AGO</v>
      </c>
      <c r="C232" s="363"/>
      <c r="D232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32" s="366" t="str">
        <f ca="1">VLOOKUP(RANDBETWEEN(1,5),FORMAS_PGMTO[#All],2,FALSE)</f>
        <v>Débito</v>
      </c>
      <c r="F232" s="367"/>
      <c r="G232" s="381"/>
    </row>
    <row r="233" spans="1:9" s="338" customFormat="1" ht="21" hidden="1">
      <c r="A233" s="376">
        <v>45887</v>
      </c>
      <c r="B233" s="364" t="str">
        <f>UPPER(TEXT(Lançamentos_2025[[#This Row],[DATA]],"MMM"))</f>
        <v>AGO</v>
      </c>
      <c r="C233" s="363"/>
      <c r="D233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33" s="366" t="str">
        <f ca="1">VLOOKUP(RANDBETWEEN(1,5),FORMAS_PGMTO[#All],2,FALSE)</f>
        <v>Débito</v>
      </c>
      <c r="F233" s="367"/>
      <c r="G233" s="381"/>
    </row>
    <row r="234" spans="1:9" s="338" customFormat="1" ht="21" hidden="1">
      <c r="A234" s="376">
        <v>45888</v>
      </c>
      <c r="B234" s="364" t="str">
        <f>UPPER(TEXT(Lançamentos_2025[[#This Row],[DATA]],"MMM"))</f>
        <v>AGO</v>
      </c>
      <c r="C234" s="363"/>
      <c r="D234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34" s="366" t="str">
        <f ca="1">VLOOKUP(RANDBETWEEN(1,5),FORMAS_PGMTO[#All],2,FALSE)</f>
        <v>Dinheiro</v>
      </c>
      <c r="F234" s="369"/>
      <c r="G234" s="379"/>
    </row>
    <row r="235" spans="1:9" s="338" customFormat="1" ht="21" hidden="1">
      <c r="A235" s="376">
        <v>45889</v>
      </c>
      <c r="B235" s="362" t="str">
        <f>UPPER(TEXT(Lançamentos_2025[[#This Row],[DATA]],"MMM"))</f>
        <v>AGO</v>
      </c>
      <c r="C235" s="363"/>
      <c r="D235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35" s="366" t="str">
        <f ca="1">VLOOKUP(RANDBETWEEN(1,5),FORMAS_PGMTO[#All],2,FALSE)</f>
        <v>Pix</v>
      </c>
      <c r="F235" s="367"/>
      <c r="G235" s="381"/>
    </row>
    <row r="236" spans="1:9" s="338" customFormat="1" ht="21" hidden="1">
      <c r="A236" s="376">
        <v>45890</v>
      </c>
      <c r="B236" s="364" t="str">
        <f>UPPER(TEXT(Lançamentos_2025[[#This Row],[DATA]],"MMM"))</f>
        <v>AGO</v>
      </c>
      <c r="C236" s="363"/>
      <c r="D236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36" s="366" t="str">
        <f ca="1">VLOOKUP(RANDBETWEEN(1,5),FORMAS_PGMTO[#All],2,FALSE)</f>
        <v>Crédito</v>
      </c>
      <c r="F236" s="369"/>
      <c r="G236" s="379"/>
    </row>
    <row r="237" spans="1:9" s="338" customFormat="1" ht="21" hidden="1">
      <c r="A237" s="376">
        <v>45891</v>
      </c>
      <c r="B237" s="362" t="str">
        <f>UPPER(TEXT(Lançamentos_2025[[#This Row],[DATA]],"MMM"))</f>
        <v>AGO</v>
      </c>
      <c r="C237" s="363"/>
      <c r="D237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37" s="366" t="str">
        <f ca="1">VLOOKUP(RANDBETWEEN(1,5),FORMAS_PGMTO[#All],2,FALSE)</f>
        <v>Boleto</v>
      </c>
      <c r="F237" s="367"/>
      <c r="G237" s="381"/>
    </row>
    <row r="238" spans="1:9" s="338" customFormat="1" ht="21" hidden="1">
      <c r="A238" s="376">
        <v>45892</v>
      </c>
      <c r="B238" s="364" t="str">
        <f>UPPER(TEXT(Lançamentos_2025[[#This Row],[DATA]],"MMM"))</f>
        <v>AGO</v>
      </c>
      <c r="C238" s="363"/>
      <c r="D238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38" s="366" t="str">
        <f ca="1">VLOOKUP(RANDBETWEEN(1,5),FORMAS_PGMTO[#All],2,FALSE)</f>
        <v>Crédito</v>
      </c>
      <c r="F238" s="369"/>
      <c r="G238" s="379"/>
      <c r="H238" s="345"/>
      <c r="I238" s="345"/>
    </row>
    <row r="239" spans="1:9" s="338" customFormat="1" ht="21" hidden="1">
      <c r="A239" s="376">
        <v>45893</v>
      </c>
      <c r="B239" s="364" t="str">
        <f>UPPER(TEXT(Lançamentos_2025[[#This Row],[DATA]],"MMM"))</f>
        <v>AGO</v>
      </c>
      <c r="C239" s="363"/>
      <c r="D239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39" s="366" t="str">
        <f ca="1">VLOOKUP(RANDBETWEEN(1,5),FORMAS_PGMTO[#All],2,FALSE)</f>
        <v>Crédito</v>
      </c>
      <c r="F239" s="369"/>
      <c r="G239" s="379"/>
    </row>
    <row r="240" spans="1:9" s="338" customFormat="1" ht="21" hidden="1">
      <c r="A240" s="376">
        <v>45894</v>
      </c>
      <c r="B240" s="364" t="str">
        <f>UPPER(TEXT(Lançamentos_2025[[#This Row],[DATA]],"MMM"))</f>
        <v>AGO</v>
      </c>
      <c r="C240" s="363"/>
      <c r="D240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40" s="366" t="str">
        <f ca="1">VLOOKUP(RANDBETWEEN(1,5),FORMAS_PGMTO[#All],2,FALSE)</f>
        <v>Dinheiro</v>
      </c>
      <c r="F240" s="367"/>
      <c r="G240" s="381"/>
    </row>
    <row r="241" spans="1:7" s="338" customFormat="1" ht="21" hidden="1">
      <c r="A241" s="376">
        <v>45895</v>
      </c>
      <c r="B241" s="364" t="str">
        <f>UPPER(TEXT(Lançamentos_2025[[#This Row],[DATA]],"MMM"))</f>
        <v>AGO</v>
      </c>
      <c r="C241" s="363"/>
      <c r="D241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41" s="366" t="str">
        <f ca="1">VLOOKUP(RANDBETWEEN(1,5),FORMAS_PGMTO[#All],2,FALSE)</f>
        <v>Boleto</v>
      </c>
      <c r="F241" s="369"/>
      <c r="G241" s="379"/>
    </row>
    <row r="242" spans="1:7" s="338" customFormat="1" ht="21" hidden="1">
      <c r="A242" s="376">
        <v>45896</v>
      </c>
      <c r="B242" s="362" t="str">
        <f>UPPER(TEXT(Lançamentos_2025[[#This Row],[DATA]],"MMM"))</f>
        <v>AGO</v>
      </c>
      <c r="C242" s="363"/>
      <c r="D242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42" s="366" t="str">
        <f ca="1">VLOOKUP(RANDBETWEEN(1,5),FORMAS_PGMTO[#All],2,FALSE)</f>
        <v>Crédito</v>
      </c>
      <c r="F242" s="367"/>
      <c r="G242" s="381"/>
    </row>
    <row r="243" spans="1:7" s="338" customFormat="1" ht="21" hidden="1">
      <c r="A243" s="376">
        <v>45897</v>
      </c>
      <c r="B243" s="364" t="str">
        <f>UPPER(TEXT(Lançamentos_2025[[#This Row],[DATA]],"MMM"))</f>
        <v>AGO</v>
      </c>
      <c r="C243" s="363"/>
      <c r="D243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43" s="366" t="str">
        <f ca="1">VLOOKUP(RANDBETWEEN(1,5),FORMAS_PGMTO[#All],2,FALSE)</f>
        <v>Dinheiro</v>
      </c>
      <c r="F243" s="369"/>
      <c r="G243" s="379"/>
    </row>
    <row r="244" spans="1:7" s="338" customFormat="1" ht="21" hidden="1">
      <c r="A244" s="376">
        <v>45898</v>
      </c>
      <c r="B244" s="362" t="str">
        <f>UPPER(TEXT(Lançamentos_2025[[#This Row],[DATA]],"MMM"))</f>
        <v>AGO</v>
      </c>
      <c r="C244" s="363"/>
      <c r="D244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44" s="366" t="str">
        <f ca="1">VLOOKUP(RANDBETWEEN(1,5),FORMAS_PGMTO[#All],2,FALSE)</f>
        <v>Crédito</v>
      </c>
      <c r="F244" s="367"/>
      <c r="G244" s="381"/>
    </row>
    <row r="245" spans="1:7" s="338" customFormat="1" ht="21" hidden="1">
      <c r="A245" s="376">
        <v>45899</v>
      </c>
      <c r="B245" s="362" t="str">
        <f>UPPER(TEXT(Lançamentos_2025[[#This Row],[DATA]],"MMM"))</f>
        <v>AGO</v>
      </c>
      <c r="C245" s="363"/>
      <c r="D245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45" s="366" t="str">
        <f ca="1">VLOOKUP(RANDBETWEEN(1,5),FORMAS_PGMTO[#All],2,FALSE)</f>
        <v>Dinheiro</v>
      </c>
      <c r="F245" s="367"/>
      <c r="G245" s="381"/>
    </row>
    <row r="246" spans="1:7" s="338" customFormat="1" ht="21" hidden="1">
      <c r="A246" s="376">
        <v>45900</v>
      </c>
      <c r="B246" s="364" t="str">
        <f>UPPER(TEXT(Lançamentos_2025[[#This Row],[DATA]],"MMM"))</f>
        <v>AGO</v>
      </c>
      <c r="C246" s="363"/>
      <c r="D246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46" s="366" t="str">
        <f ca="1">VLOOKUP(RANDBETWEEN(1,5),FORMAS_PGMTO[#All],2,FALSE)</f>
        <v>Pix</v>
      </c>
      <c r="F246" s="369"/>
      <c r="G246" s="379"/>
    </row>
    <row r="247" spans="1:7" s="338" customFormat="1" ht="21" hidden="1">
      <c r="A247" s="376">
        <v>45901</v>
      </c>
      <c r="B247" s="362" t="str">
        <f>UPPER(TEXT(Lançamentos_2025[[#This Row],[DATA]],"MMM"))</f>
        <v>SET</v>
      </c>
      <c r="C247" s="363"/>
      <c r="D247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47" s="366" t="str">
        <f ca="1">VLOOKUP(RANDBETWEEN(1,5),FORMAS_PGMTO[#All],2,FALSE)</f>
        <v>Dinheiro</v>
      </c>
      <c r="F247" s="367"/>
      <c r="G247" s="381"/>
    </row>
    <row r="248" spans="1:7" s="338" customFormat="1" ht="21" hidden="1">
      <c r="A248" s="376">
        <v>45902</v>
      </c>
      <c r="B248" s="364" t="str">
        <f>UPPER(TEXT(Lançamentos_2025[[#This Row],[DATA]],"MMM"))</f>
        <v>SET</v>
      </c>
      <c r="C248" s="363"/>
      <c r="D248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48" s="366" t="str">
        <f ca="1">VLOOKUP(RANDBETWEEN(1,5),FORMAS_PGMTO[#All],2,FALSE)</f>
        <v>Pix</v>
      </c>
      <c r="F248" s="369"/>
      <c r="G248" s="379"/>
    </row>
    <row r="249" spans="1:7" s="338" customFormat="1" ht="21" hidden="1">
      <c r="A249" s="376">
        <v>45903</v>
      </c>
      <c r="B249" s="362" t="str">
        <f>UPPER(TEXT(Lançamentos_2025[[#This Row],[DATA]],"MMM"))</f>
        <v>SET</v>
      </c>
      <c r="C249" s="363"/>
      <c r="D249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49" s="366" t="str">
        <f ca="1">VLOOKUP(RANDBETWEEN(1,5),FORMAS_PGMTO[#All],2,FALSE)</f>
        <v>Débito</v>
      </c>
      <c r="F249" s="367"/>
      <c r="G249" s="381"/>
    </row>
    <row r="250" spans="1:7" s="338" customFormat="1" ht="21" hidden="1">
      <c r="A250" s="376">
        <v>45904</v>
      </c>
      <c r="B250" s="362" t="str">
        <f>UPPER(TEXT(Lançamentos_2025[[#This Row],[DATA]],"MMM"))</f>
        <v>SET</v>
      </c>
      <c r="C250" s="363"/>
      <c r="D250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50" s="366" t="str">
        <f ca="1">VLOOKUP(RANDBETWEEN(1,5),FORMAS_PGMTO[#All],2,FALSE)</f>
        <v>Pix</v>
      </c>
      <c r="F250" s="367"/>
      <c r="G250" s="381"/>
    </row>
    <row r="251" spans="1:7" s="338" customFormat="1" ht="21" hidden="1">
      <c r="A251" s="376">
        <v>45905</v>
      </c>
      <c r="B251" s="364" t="str">
        <f>UPPER(TEXT(Lançamentos_2025[[#This Row],[DATA]],"MMM"))</f>
        <v>SET</v>
      </c>
      <c r="C251" s="363"/>
      <c r="D251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51" s="366" t="str">
        <f ca="1">VLOOKUP(RANDBETWEEN(1,5),FORMAS_PGMTO[#All],2,FALSE)</f>
        <v>Boleto</v>
      </c>
      <c r="F251" s="369"/>
      <c r="G251" s="379"/>
    </row>
    <row r="252" spans="1:7" s="338" customFormat="1" ht="21" hidden="1">
      <c r="A252" s="376">
        <v>45906</v>
      </c>
      <c r="B252" s="364" t="str">
        <f>UPPER(TEXT(Lançamentos_2025[[#This Row],[DATA]],"MMM"))</f>
        <v>SET</v>
      </c>
      <c r="C252" s="363"/>
      <c r="D252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52" s="366" t="str">
        <f ca="1">VLOOKUP(RANDBETWEEN(1,5),FORMAS_PGMTO[#All],2,FALSE)</f>
        <v>Pix</v>
      </c>
      <c r="F252" s="367"/>
      <c r="G252" s="382"/>
    </row>
    <row r="253" spans="1:7" s="338" customFormat="1" ht="21" hidden="1">
      <c r="A253" s="376">
        <v>45907</v>
      </c>
      <c r="B253" s="362" t="str">
        <f>UPPER(TEXT(Lançamentos_2025[[#This Row],[DATA]],"MMM"))</f>
        <v>SET</v>
      </c>
      <c r="C253" s="363"/>
      <c r="D253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53" s="366" t="str">
        <f ca="1">VLOOKUP(RANDBETWEEN(1,5),FORMAS_PGMTO[#All],2,FALSE)</f>
        <v>Pix</v>
      </c>
      <c r="F253" s="367"/>
      <c r="G253" s="382"/>
    </row>
    <row r="254" spans="1:7" s="338" customFormat="1" ht="21" hidden="1">
      <c r="A254" s="376">
        <v>45908</v>
      </c>
      <c r="B254" s="362" t="str">
        <f>UPPER(TEXT(Lançamentos_2025[[#This Row],[DATA]],"MMM"))</f>
        <v>SET</v>
      </c>
      <c r="C254" s="363"/>
      <c r="D254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54" s="366" t="str">
        <f ca="1">VLOOKUP(RANDBETWEEN(1,5),FORMAS_PGMTO[#All],2,FALSE)</f>
        <v>Crédito</v>
      </c>
      <c r="F254" s="367"/>
      <c r="G254" s="381"/>
    </row>
    <row r="255" spans="1:7" s="338" customFormat="1" ht="21" hidden="1">
      <c r="A255" s="376">
        <v>45909</v>
      </c>
      <c r="B255" s="362" t="str">
        <f>UPPER(TEXT(Lançamentos_2025[[#This Row],[DATA]],"MMM"))</f>
        <v>SET</v>
      </c>
      <c r="C255" s="363"/>
      <c r="D255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55" s="366" t="str">
        <f ca="1">VLOOKUP(RANDBETWEEN(1,5),FORMAS_PGMTO[#All],2,FALSE)</f>
        <v>Crédito</v>
      </c>
      <c r="F255" s="367"/>
      <c r="G255" s="381"/>
    </row>
    <row r="256" spans="1:7" s="338" customFormat="1" ht="21" hidden="1">
      <c r="A256" s="376">
        <v>45910</v>
      </c>
      <c r="B256" s="362" t="str">
        <f>UPPER(TEXT(Lançamentos_2025[[#This Row],[DATA]],"MMM"))</f>
        <v>SET</v>
      </c>
      <c r="C256" s="363"/>
      <c r="D256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56" s="366" t="str">
        <f ca="1">VLOOKUP(RANDBETWEEN(1,5),FORMAS_PGMTO[#All],2,FALSE)</f>
        <v>Débito</v>
      </c>
      <c r="F256" s="367"/>
      <c r="G256" s="381"/>
    </row>
    <row r="257" spans="1:7" s="338" customFormat="1" ht="21" hidden="1">
      <c r="A257" s="376">
        <v>45911</v>
      </c>
      <c r="B257" s="362" t="str">
        <f>UPPER(TEXT(Lançamentos_2025[[#This Row],[DATA]],"MMM"))</f>
        <v>SET</v>
      </c>
      <c r="C257" s="363"/>
      <c r="D257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57" s="366" t="str">
        <f ca="1">VLOOKUP(RANDBETWEEN(1,5),FORMAS_PGMTO[#All],2,FALSE)</f>
        <v>Pix</v>
      </c>
      <c r="F257" s="369"/>
      <c r="G257" s="381"/>
    </row>
    <row r="258" spans="1:7" s="338" customFormat="1" ht="21" hidden="1">
      <c r="A258" s="376">
        <v>45912</v>
      </c>
      <c r="B258" s="362" t="str">
        <f>UPPER(TEXT(Lançamentos_2025[[#This Row],[DATA]],"MMM"))</f>
        <v>SET</v>
      </c>
      <c r="C258" s="363"/>
      <c r="D258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58" s="366" t="str">
        <f ca="1">VLOOKUP(RANDBETWEEN(1,5),FORMAS_PGMTO[#All],2,FALSE)</f>
        <v>Pix</v>
      </c>
      <c r="F258" s="369"/>
      <c r="G258" s="381"/>
    </row>
    <row r="259" spans="1:7" s="338" customFormat="1" ht="21" hidden="1">
      <c r="A259" s="376">
        <v>45913</v>
      </c>
      <c r="B259" s="362" t="str">
        <f>UPPER(TEXT(Lançamentos_2025[[#This Row],[DATA]],"MMM"))</f>
        <v>SET</v>
      </c>
      <c r="C259" s="363"/>
      <c r="D259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59" s="366" t="str">
        <f ca="1">VLOOKUP(RANDBETWEEN(1,5),FORMAS_PGMTO[#All],2,FALSE)</f>
        <v>Dinheiro</v>
      </c>
      <c r="F259" s="367"/>
      <c r="G259" s="381"/>
    </row>
    <row r="260" spans="1:7" s="338" customFormat="1" ht="21" hidden="1">
      <c r="A260" s="376">
        <v>45914</v>
      </c>
      <c r="B260" s="362" t="str">
        <f>UPPER(TEXT(Lançamentos_2025[[#This Row],[DATA]],"MMM"))</f>
        <v>SET</v>
      </c>
      <c r="C260" s="363"/>
      <c r="D260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60" s="366" t="str">
        <f ca="1">VLOOKUP(RANDBETWEEN(1,5),FORMAS_PGMTO[#All],2,FALSE)</f>
        <v>Dinheiro</v>
      </c>
      <c r="F260" s="367"/>
      <c r="G260" s="381"/>
    </row>
    <row r="261" spans="1:7" s="338" customFormat="1" ht="21">
      <c r="A261" s="376">
        <v>45915</v>
      </c>
      <c r="B261" s="362" t="str">
        <f>UPPER(TEXT(Lançamentos_2025[[#This Row],[DATA]],"MMM"))</f>
        <v>SET</v>
      </c>
      <c r="C261" s="363" t="s">
        <v>7</v>
      </c>
      <c r="D261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ENTRADA</v>
      </c>
      <c r="E261" s="363" t="str">
        <f ca="1">VLOOKUP(RANDBETWEEN(1,5),FORMAS_PGMTO[#All],2,FALSE)</f>
        <v>Débito</v>
      </c>
      <c r="F261" s="367" t="s">
        <v>760</v>
      </c>
      <c r="G261" s="377">
        <v>1950</v>
      </c>
    </row>
    <row r="262" spans="1:7" s="338" customFormat="1" ht="21">
      <c r="A262" s="376">
        <v>45916</v>
      </c>
      <c r="B262" s="362" t="str">
        <f>UPPER(TEXT(Lançamentos_2025[[#This Row],[DATA]],"MMM"))</f>
        <v>SET</v>
      </c>
      <c r="C262" s="363" t="s">
        <v>5</v>
      </c>
      <c r="D262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262" s="363" t="str">
        <f ca="1">VLOOKUP(RANDBETWEEN(1,5),FORMAS_PGMTO[#All],2,FALSE)</f>
        <v>Pix</v>
      </c>
      <c r="F262" s="367" t="s">
        <v>805</v>
      </c>
      <c r="G262" s="380">
        <v>850</v>
      </c>
    </row>
    <row r="263" spans="1:7" s="338" customFormat="1" ht="21" hidden="1">
      <c r="A263" s="376">
        <v>45917</v>
      </c>
      <c r="B263" s="362" t="str">
        <f>UPPER(TEXT(Lançamentos_2025[[#This Row],[DATA]],"MMM"))</f>
        <v>SET</v>
      </c>
      <c r="C263" s="433"/>
      <c r="D263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63" s="434" t="str">
        <f ca="1">VLOOKUP(RANDBETWEEN(1,5),FORMAS_PGMTO[#All],2,FALSE)</f>
        <v>Crédito</v>
      </c>
      <c r="F263" s="435"/>
      <c r="G263" s="442"/>
    </row>
    <row r="264" spans="1:7" s="338" customFormat="1" ht="21" hidden="1">
      <c r="A264" s="376">
        <v>45918</v>
      </c>
      <c r="B264" s="362" t="str">
        <f>UPPER(TEXT(Lançamentos_2025[[#This Row],[DATA]],"MMM"))</f>
        <v>SET</v>
      </c>
      <c r="C264" s="433"/>
      <c r="D264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64" s="434" t="str">
        <f ca="1">VLOOKUP(RANDBETWEEN(1,5),FORMAS_PGMTO[#All],2,FALSE)</f>
        <v>Dinheiro</v>
      </c>
      <c r="F264" s="435"/>
      <c r="G264" s="442"/>
    </row>
    <row r="265" spans="1:7" s="338" customFormat="1" ht="21">
      <c r="A265" s="376">
        <v>45919</v>
      </c>
      <c r="B265" s="362" t="str">
        <f>UPPER(TEXT(Lançamentos_2025[[#This Row],[DATA]],"MMM"))</f>
        <v>SET</v>
      </c>
      <c r="C265" s="363" t="s">
        <v>13</v>
      </c>
      <c r="D265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265" s="363" t="str">
        <f ca="1">VLOOKUP(RANDBETWEEN(1,5),FORMAS_PGMTO[#All],2,FALSE)</f>
        <v>Boleto</v>
      </c>
      <c r="F265" s="367" t="s">
        <v>774</v>
      </c>
      <c r="G265" s="380">
        <v>250</v>
      </c>
    </row>
    <row r="266" spans="1:7" s="338" customFormat="1" ht="21">
      <c r="A266" s="376">
        <v>45920</v>
      </c>
      <c r="B266" s="362" t="str">
        <f>UPPER(TEXT(Lançamentos_2025[[#This Row],[DATA]],"MMM"))</f>
        <v>SET</v>
      </c>
      <c r="C266" s="363" t="s">
        <v>15</v>
      </c>
      <c r="D266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266" s="366" t="str">
        <f ca="1">VLOOKUP(RANDBETWEEN(1,5),FORMAS_PGMTO[#All],2,FALSE)</f>
        <v>Débito</v>
      </c>
      <c r="F266" s="369" t="s">
        <v>775</v>
      </c>
      <c r="G266" s="440">
        <v>500</v>
      </c>
    </row>
    <row r="267" spans="1:7" s="338" customFormat="1" ht="21">
      <c r="A267" s="376">
        <v>45921</v>
      </c>
      <c r="B267" s="364" t="str">
        <f>UPPER(TEXT(Lançamentos_2025[[#This Row],[DATA]],"MMM"))</f>
        <v>SET</v>
      </c>
      <c r="C267" s="363" t="s">
        <v>17</v>
      </c>
      <c r="D267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267" s="363" t="str">
        <f ca="1">VLOOKUP(RANDBETWEEN(1,5),FORMAS_PGMTO[#All],2,FALSE)</f>
        <v>Boleto</v>
      </c>
      <c r="F267" s="367" t="s">
        <v>776</v>
      </c>
      <c r="G267" s="380">
        <v>180</v>
      </c>
    </row>
    <row r="268" spans="1:7" s="338" customFormat="1" ht="21" hidden="1">
      <c r="A268" s="376">
        <v>45922</v>
      </c>
      <c r="B268" s="362" t="str">
        <f>UPPER(TEXT(Lançamentos_2025[[#This Row],[DATA]],"MMM"))</f>
        <v>SET</v>
      </c>
      <c r="C268" s="363"/>
      <c r="D268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68" s="366" t="str">
        <f ca="1">VLOOKUP(RANDBETWEEN(1,5),FORMAS_PGMTO[#All],2,FALSE)</f>
        <v>Pix</v>
      </c>
      <c r="F268" s="367"/>
      <c r="G268" s="381"/>
    </row>
    <row r="269" spans="1:7" s="338" customFormat="1" ht="21" hidden="1">
      <c r="A269" s="376">
        <v>45923</v>
      </c>
      <c r="B269" s="364" t="str">
        <f>UPPER(TEXT(Lançamentos_2025[[#This Row],[DATA]],"MMM"))</f>
        <v>SET</v>
      </c>
      <c r="C269" s="363"/>
      <c r="D269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69" s="366" t="str">
        <f ca="1">VLOOKUP(RANDBETWEEN(1,5),FORMAS_PGMTO[#All],2,FALSE)</f>
        <v>Débito</v>
      </c>
      <c r="F269" s="369"/>
      <c r="G269" s="379"/>
    </row>
    <row r="270" spans="1:7" s="338" customFormat="1" ht="21" hidden="1">
      <c r="A270" s="376">
        <v>45924</v>
      </c>
      <c r="B270" s="364" t="str">
        <f>UPPER(TEXT(Lançamentos_2025[[#This Row],[DATA]],"MMM"))</f>
        <v>SET</v>
      </c>
      <c r="C270" s="363"/>
      <c r="D270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70" s="366" t="str">
        <f ca="1">VLOOKUP(RANDBETWEEN(1,5),FORMAS_PGMTO[#All],2,FALSE)</f>
        <v>Pix</v>
      </c>
      <c r="F270" s="369"/>
      <c r="G270" s="379"/>
    </row>
    <row r="271" spans="1:7" s="338" customFormat="1" ht="21" hidden="1">
      <c r="A271" s="376">
        <v>45925</v>
      </c>
      <c r="B271" s="364" t="str">
        <f>UPPER(TEXT(Lançamentos_2025[[#This Row],[DATA]],"MMM"))</f>
        <v>SET</v>
      </c>
      <c r="C271" s="363"/>
      <c r="D271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71" s="366" t="str">
        <f ca="1">VLOOKUP(RANDBETWEEN(1,5),FORMAS_PGMTO[#All],2,FALSE)</f>
        <v>Dinheiro</v>
      </c>
      <c r="F271" s="369"/>
      <c r="G271" s="379"/>
    </row>
    <row r="272" spans="1:7" s="338" customFormat="1" ht="21" hidden="1">
      <c r="A272" s="376">
        <v>45926</v>
      </c>
      <c r="B272" s="364" t="str">
        <f>UPPER(TEXT(Lançamentos_2025[[#This Row],[DATA]],"MMM"))</f>
        <v>SET</v>
      </c>
      <c r="C272" s="363"/>
      <c r="D272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72" s="366" t="str">
        <f ca="1">VLOOKUP(RANDBETWEEN(1,5),FORMAS_PGMTO[#All],2,FALSE)</f>
        <v>Dinheiro</v>
      </c>
      <c r="F272" s="369"/>
      <c r="G272" s="379"/>
    </row>
    <row r="273" spans="1:7" s="338" customFormat="1" ht="21" hidden="1">
      <c r="A273" s="376">
        <v>45927</v>
      </c>
      <c r="B273" s="362" t="str">
        <f>UPPER(TEXT(Lançamentos_2025[[#This Row],[DATA]],"MMM"))</f>
        <v>SET</v>
      </c>
      <c r="C273" s="363"/>
      <c r="D273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73" s="366" t="str">
        <f ca="1">VLOOKUP(RANDBETWEEN(1,5),FORMAS_PGMTO[#All],2,FALSE)</f>
        <v>Crédito</v>
      </c>
      <c r="F273" s="367"/>
      <c r="G273" s="381"/>
    </row>
    <row r="274" spans="1:7" s="338" customFormat="1" ht="21" hidden="1">
      <c r="A274" s="376">
        <v>45928</v>
      </c>
      <c r="B274" s="362" t="str">
        <f>UPPER(TEXT(Lançamentos_2025[[#This Row],[DATA]],"MMM"))</f>
        <v>SET</v>
      </c>
      <c r="C274" s="363"/>
      <c r="D274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74" s="366" t="str">
        <f ca="1">VLOOKUP(RANDBETWEEN(1,5),FORMAS_PGMTO[#All],2,FALSE)</f>
        <v>Pix</v>
      </c>
      <c r="F274" s="367"/>
      <c r="G274" s="381"/>
    </row>
    <row r="275" spans="1:7" s="338" customFormat="1" ht="21" hidden="1">
      <c r="A275" s="376">
        <v>45929</v>
      </c>
      <c r="B275" s="362" t="str">
        <f>UPPER(TEXT(Lançamentos_2025[[#This Row],[DATA]],"MMM"))</f>
        <v>SET</v>
      </c>
      <c r="C275" s="363"/>
      <c r="D275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75" s="366" t="str">
        <f ca="1">VLOOKUP(RANDBETWEEN(1,5),FORMAS_PGMTO[#All],2,FALSE)</f>
        <v>Boleto</v>
      </c>
      <c r="F275" s="367"/>
      <c r="G275" s="381"/>
    </row>
    <row r="276" spans="1:7" s="338" customFormat="1" ht="21" hidden="1">
      <c r="A276" s="376">
        <v>45930</v>
      </c>
      <c r="B276" s="362" t="str">
        <f>UPPER(TEXT(Lançamentos_2025[[#This Row],[DATA]],"MMM"))</f>
        <v>SET</v>
      </c>
      <c r="C276" s="363"/>
      <c r="D276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76" s="366" t="str">
        <f ca="1">VLOOKUP(RANDBETWEEN(1,5),FORMAS_PGMTO[#All],2,FALSE)</f>
        <v>Pix</v>
      </c>
      <c r="F276" s="367"/>
      <c r="G276" s="381"/>
    </row>
    <row r="277" spans="1:7" s="338" customFormat="1" ht="21" hidden="1">
      <c r="A277" s="376">
        <v>45931</v>
      </c>
      <c r="B277" s="364" t="str">
        <f>UPPER(TEXT(Lançamentos_2025[[#This Row],[DATA]],"MMM"))</f>
        <v>OUT</v>
      </c>
      <c r="C277" s="363"/>
      <c r="D277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77" s="366" t="str">
        <f ca="1">VLOOKUP(RANDBETWEEN(1,5),FORMAS_PGMTO[#All],2,FALSE)</f>
        <v>Crédito</v>
      </c>
      <c r="F277" s="367"/>
      <c r="G277" s="381"/>
    </row>
    <row r="278" spans="1:7" s="338" customFormat="1" ht="21" hidden="1">
      <c r="A278" s="376">
        <v>45932</v>
      </c>
      <c r="B278" s="364" t="str">
        <f>UPPER(TEXT(Lançamentos_2025[[#This Row],[DATA]],"MMM"))</f>
        <v>OUT</v>
      </c>
      <c r="C278" s="363"/>
      <c r="D278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78" s="366" t="str">
        <f ca="1">VLOOKUP(RANDBETWEEN(1,5),FORMAS_PGMTO[#All],2,FALSE)</f>
        <v>Pix</v>
      </c>
      <c r="F278" s="369"/>
      <c r="G278" s="379"/>
    </row>
    <row r="279" spans="1:7" s="338" customFormat="1" ht="21" hidden="1">
      <c r="A279" s="376">
        <v>45933</v>
      </c>
      <c r="B279" s="364" t="str">
        <f>UPPER(TEXT(Lançamentos_2025[[#This Row],[DATA]],"MMM"))</f>
        <v>OUT</v>
      </c>
      <c r="C279" s="363"/>
      <c r="D279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79" s="366" t="str">
        <f ca="1">VLOOKUP(RANDBETWEEN(1,5),FORMAS_PGMTO[#All],2,FALSE)</f>
        <v>Pix</v>
      </c>
      <c r="F279" s="367"/>
      <c r="G279" s="381"/>
    </row>
    <row r="280" spans="1:7" s="338" customFormat="1" ht="21" hidden="1">
      <c r="A280" s="376">
        <v>45934</v>
      </c>
      <c r="B280" s="362" t="str">
        <f>UPPER(TEXT(Lançamentos_2025[[#This Row],[DATA]],"MMM"))</f>
        <v>OUT</v>
      </c>
      <c r="C280" s="363"/>
      <c r="D280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80" s="366" t="str">
        <f ca="1">VLOOKUP(RANDBETWEEN(1,5),FORMAS_PGMTO[#All],2,FALSE)</f>
        <v>Débito</v>
      </c>
      <c r="F280" s="367"/>
      <c r="G280" s="381"/>
    </row>
    <row r="281" spans="1:7" s="338" customFormat="1" ht="21" hidden="1">
      <c r="A281" s="376">
        <v>45935</v>
      </c>
      <c r="B281" s="362" t="str">
        <f>UPPER(TEXT(Lançamentos_2025[[#This Row],[DATA]],"MMM"))</f>
        <v>OUT</v>
      </c>
      <c r="C281" s="363"/>
      <c r="D281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81" s="366" t="str">
        <f ca="1">VLOOKUP(RANDBETWEEN(1,5),FORMAS_PGMTO[#All],2,FALSE)</f>
        <v>Pix</v>
      </c>
      <c r="F281" s="375"/>
      <c r="G281" s="381"/>
    </row>
    <row r="282" spans="1:7" s="338" customFormat="1" ht="21" hidden="1">
      <c r="A282" s="376">
        <v>45936</v>
      </c>
      <c r="B282" s="364" t="str">
        <f>UPPER(TEXT(Lançamentos_2025[[#This Row],[DATA]],"MMM"))</f>
        <v>OUT</v>
      </c>
      <c r="C282" s="363"/>
      <c r="D282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82" s="366" t="str">
        <f ca="1">VLOOKUP(RANDBETWEEN(1,5),FORMAS_PGMTO[#All],2,FALSE)</f>
        <v>Crédito</v>
      </c>
      <c r="F282" s="369"/>
      <c r="G282" s="379"/>
    </row>
    <row r="283" spans="1:7" s="338" customFormat="1" ht="22.5" hidden="1" customHeight="1">
      <c r="A283" s="376">
        <v>45937</v>
      </c>
      <c r="B283" s="364" t="str">
        <f>UPPER(TEXT(Lançamentos_2025[[#This Row],[DATA]],"MMM"))</f>
        <v>OUT</v>
      </c>
      <c r="C283" s="363"/>
      <c r="D283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83" s="366" t="str">
        <f ca="1">VLOOKUP(RANDBETWEEN(1,5),FORMAS_PGMTO[#All],2,FALSE)</f>
        <v>Débito</v>
      </c>
      <c r="F283" s="369"/>
      <c r="G283" s="379"/>
    </row>
    <row r="284" spans="1:7" s="338" customFormat="1" ht="21" hidden="1">
      <c r="A284" s="376">
        <v>45938</v>
      </c>
      <c r="B284" s="364" t="str">
        <f>UPPER(TEXT(Lançamentos_2025[[#This Row],[DATA]],"MMM"))</f>
        <v>OUT</v>
      </c>
      <c r="C284" s="363"/>
      <c r="D284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84" s="366" t="str">
        <f ca="1">VLOOKUP(RANDBETWEEN(1,5),FORMAS_PGMTO[#All],2,FALSE)</f>
        <v>Dinheiro</v>
      </c>
      <c r="F284" s="369"/>
      <c r="G284" s="379"/>
    </row>
    <row r="285" spans="1:7" s="338" customFormat="1" ht="21" hidden="1">
      <c r="A285" s="376">
        <v>45939</v>
      </c>
      <c r="B285" s="364" t="str">
        <f>UPPER(TEXT(Lançamentos_2025[[#This Row],[DATA]],"MMM"))</f>
        <v>OUT</v>
      </c>
      <c r="C285" s="363"/>
      <c r="D285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85" s="366" t="str">
        <f ca="1">VLOOKUP(RANDBETWEEN(1,5),FORMAS_PGMTO[#All],2,FALSE)</f>
        <v>Boleto</v>
      </c>
      <c r="F285" s="369"/>
      <c r="G285" s="379"/>
    </row>
    <row r="286" spans="1:7" s="338" customFormat="1" ht="21" hidden="1">
      <c r="A286" s="376">
        <v>45940</v>
      </c>
      <c r="B286" s="364" t="str">
        <f>UPPER(TEXT(Lançamentos_2025[[#This Row],[DATA]],"MMM"))</f>
        <v>OUT</v>
      </c>
      <c r="C286" s="363"/>
      <c r="D286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86" s="366" t="str">
        <f ca="1">VLOOKUP(RANDBETWEEN(1,5),FORMAS_PGMTO[#All],2,FALSE)</f>
        <v>Crédito</v>
      </c>
      <c r="F286" s="369"/>
      <c r="G286" s="379"/>
    </row>
    <row r="287" spans="1:7" s="338" customFormat="1" ht="21" hidden="1">
      <c r="A287" s="376">
        <v>45941</v>
      </c>
      <c r="B287" s="364" t="str">
        <f>UPPER(TEXT(Lançamentos_2025[[#This Row],[DATA]],"MMM"))</f>
        <v>OUT</v>
      </c>
      <c r="C287" s="363"/>
      <c r="D287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87" s="366" t="str">
        <f ca="1">VLOOKUP(RANDBETWEEN(1,5),FORMAS_PGMTO[#All],2,FALSE)</f>
        <v>Boleto</v>
      </c>
      <c r="F287" s="369"/>
      <c r="G287" s="379"/>
    </row>
    <row r="288" spans="1:7" s="338" customFormat="1" ht="21" hidden="1">
      <c r="A288" s="376">
        <v>45942</v>
      </c>
      <c r="B288" s="364" t="str">
        <f>UPPER(TEXT(Lançamentos_2025[[#This Row],[DATA]],"MMM"))</f>
        <v>OUT</v>
      </c>
      <c r="C288" s="363"/>
      <c r="D288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88" s="366" t="str">
        <f ca="1">VLOOKUP(RANDBETWEEN(1,5),FORMAS_PGMTO[#All],2,FALSE)</f>
        <v>Dinheiro</v>
      </c>
      <c r="F288" s="367"/>
      <c r="G288" s="381"/>
    </row>
    <row r="289" spans="1:7" s="338" customFormat="1" ht="21" hidden="1">
      <c r="A289" s="376">
        <v>45943</v>
      </c>
      <c r="B289" s="362" t="str">
        <f>UPPER(TEXT(Lançamentos_2025[[#This Row],[DATA]],"MMM"))</f>
        <v>OUT</v>
      </c>
      <c r="C289" s="363"/>
      <c r="D289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89" s="366" t="str">
        <f ca="1">VLOOKUP(RANDBETWEEN(1,5),FORMAS_PGMTO[#All],2,FALSE)</f>
        <v>Débito</v>
      </c>
      <c r="F289" s="369"/>
      <c r="G289" s="379"/>
    </row>
    <row r="290" spans="1:7" s="338" customFormat="1" ht="21" hidden="1">
      <c r="A290" s="376">
        <v>45944</v>
      </c>
      <c r="B290" s="362" t="str">
        <f>UPPER(TEXT(Lançamentos_2025[[#This Row],[DATA]],"MMM"))</f>
        <v>OUT</v>
      </c>
      <c r="C290" s="363"/>
      <c r="D290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90" s="366" t="str">
        <f ca="1">VLOOKUP(RANDBETWEEN(1,5),FORMAS_PGMTO[#All],2,FALSE)</f>
        <v>Débito</v>
      </c>
      <c r="F290" s="367"/>
      <c r="G290" s="381"/>
    </row>
    <row r="291" spans="1:7" s="338" customFormat="1" ht="21" hidden="1">
      <c r="A291" s="376">
        <v>45945</v>
      </c>
      <c r="B291" s="362" t="str">
        <f>UPPER(TEXT(Lançamentos_2025[[#This Row],[DATA]],"MMM"))</f>
        <v>OUT</v>
      </c>
      <c r="C291" s="363"/>
      <c r="D291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91" s="366" t="str">
        <f ca="1">VLOOKUP(RANDBETWEEN(1,5),FORMAS_PGMTO[#All],2,FALSE)</f>
        <v>Boleto</v>
      </c>
      <c r="F291" s="367"/>
      <c r="G291" s="381"/>
    </row>
    <row r="292" spans="1:7" s="338" customFormat="1" ht="21">
      <c r="A292" s="376">
        <v>45946</v>
      </c>
      <c r="B292" s="362" t="str">
        <f>UPPER(TEXT(Lançamentos_2025[[#This Row],[DATA]],"MMM"))</f>
        <v>OUT</v>
      </c>
      <c r="C292" s="363" t="s">
        <v>7</v>
      </c>
      <c r="D292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ENTRADA</v>
      </c>
      <c r="E292" s="363" t="str">
        <f ca="1">VLOOKUP(RANDBETWEEN(1,5),FORMAS_PGMTO[#All],2,FALSE)</f>
        <v>Boleto</v>
      </c>
      <c r="F292" s="367" t="s">
        <v>760</v>
      </c>
      <c r="G292" s="377">
        <v>1950</v>
      </c>
    </row>
    <row r="293" spans="1:7" s="338" customFormat="1" ht="21">
      <c r="A293" s="376">
        <v>45947</v>
      </c>
      <c r="B293" s="362" t="str">
        <f>UPPER(TEXT(Lançamentos_2025[[#This Row],[DATA]],"MMM"))</f>
        <v>OUT</v>
      </c>
      <c r="C293" s="363" t="s">
        <v>13</v>
      </c>
      <c r="D293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293" s="363" t="str">
        <f ca="1">VLOOKUP(RANDBETWEEN(1,5),FORMAS_PGMTO[#All],2,FALSE)</f>
        <v>Crédito</v>
      </c>
      <c r="F293" s="367" t="s">
        <v>769</v>
      </c>
      <c r="G293" s="377">
        <v>150</v>
      </c>
    </row>
    <row r="294" spans="1:7" s="338" customFormat="1" ht="21">
      <c r="A294" s="376">
        <v>45948</v>
      </c>
      <c r="B294" s="364" t="str">
        <f>UPPER(TEXT(Lançamentos_2025[[#This Row],[DATA]],"MMM"))</f>
        <v>OUT</v>
      </c>
      <c r="C294" s="363" t="s">
        <v>15</v>
      </c>
      <c r="D294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294" s="363" t="str">
        <f ca="1">VLOOKUP(RANDBETWEEN(1,5),FORMAS_PGMTO[#All],2,FALSE)</f>
        <v>Dinheiro</v>
      </c>
      <c r="F294" s="369" t="s">
        <v>771</v>
      </c>
      <c r="G294" s="440">
        <v>100</v>
      </c>
    </row>
    <row r="295" spans="1:7" s="338" customFormat="1" ht="21">
      <c r="A295" s="376">
        <v>45949</v>
      </c>
      <c r="B295" s="364" t="str">
        <f>UPPER(TEXT(Lançamentos_2025[[#This Row],[DATA]],"MMM"))</f>
        <v>OUT</v>
      </c>
      <c r="C295" s="363" t="s">
        <v>17</v>
      </c>
      <c r="D295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295" s="363" t="str">
        <f ca="1">VLOOKUP(RANDBETWEEN(1,5),FORMAS_PGMTO[#All],2,FALSE)</f>
        <v>Pix</v>
      </c>
      <c r="F295" s="367" t="s">
        <v>809</v>
      </c>
      <c r="G295" s="380">
        <v>150</v>
      </c>
    </row>
    <row r="296" spans="1:7" s="338" customFormat="1" ht="21">
      <c r="A296" s="376">
        <v>45950</v>
      </c>
      <c r="B296" s="362" t="str">
        <f>UPPER(TEXT(Lançamentos_2025[[#This Row],[DATA]],"MMM"))</f>
        <v>OUT</v>
      </c>
      <c r="C296" s="363" t="s">
        <v>19</v>
      </c>
      <c r="D296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296" s="363" t="str">
        <f ca="1">VLOOKUP(RANDBETWEEN(1,5),FORMAS_PGMTO[#All],2,FALSE)</f>
        <v>Boleto</v>
      </c>
      <c r="F296" s="367" t="s">
        <v>772</v>
      </c>
      <c r="G296" s="380">
        <v>200</v>
      </c>
    </row>
    <row r="297" spans="1:7" s="338" customFormat="1" ht="21">
      <c r="A297" s="376">
        <v>45951</v>
      </c>
      <c r="B297" s="362" t="str">
        <f>UPPER(TEXT(Lançamentos_2025[[#This Row],[DATA]],"MMM"))</f>
        <v>OUT</v>
      </c>
      <c r="C297" s="363" t="s">
        <v>21</v>
      </c>
      <c r="D297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297" s="366" t="str">
        <f ca="1">VLOOKUP(RANDBETWEEN(1,5),FORMAS_PGMTO[#All],2,FALSE)</f>
        <v>Dinheiro</v>
      </c>
      <c r="F297" s="369" t="s">
        <v>770</v>
      </c>
      <c r="G297" s="440">
        <v>100</v>
      </c>
    </row>
    <row r="298" spans="1:7" s="338" customFormat="1" ht="21" hidden="1">
      <c r="A298" s="376">
        <v>45952</v>
      </c>
      <c r="B298" s="362" t="str">
        <f>UPPER(TEXT(Lançamentos_2025[[#This Row],[DATA]],"MMM"))</f>
        <v>OUT</v>
      </c>
      <c r="C298" s="363"/>
      <c r="D298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98" s="363" t="str">
        <f ca="1">VLOOKUP(RANDBETWEEN(1,5),FORMAS_PGMTO[#All],2,FALSE)</f>
        <v>Boleto</v>
      </c>
      <c r="F298" s="367"/>
      <c r="G298" s="381"/>
    </row>
    <row r="299" spans="1:7" s="338" customFormat="1" ht="21" hidden="1">
      <c r="A299" s="376">
        <v>45953</v>
      </c>
      <c r="B299" s="362" t="str">
        <f>UPPER(TEXT(Lançamentos_2025[[#This Row],[DATA]],"MMM"))</f>
        <v>OUT</v>
      </c>
      <c r="C299" s="363"/>
      <c r="D299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299" s="363" t="str">
        <f ca="1">VLOOKUP(RANDBETWEEN(1,5),FORMAS_PGMTO[#All],2,FALSE)</f>
        <v>Débito</v>
      </c>
      <c r="F299" s="367"/>
      <c r="G299" s="381"/>
    </row>
    <row r="300" spans="1:7" s="338" customFormat="1" ht="21" hidden="1">
      <c r="A300" s="376">
        <v>45954</v>
      </c>
      <c r="B300" s="362" t="str">
        <f>UPPER(TEXT(Lançamentos_2025[[#This Row],[DATA]],"MMM"))</f>
        <v>OUT</v>
      </c>
      <c r="C300" s="363"/>
      <c r="D300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00" s="366" t="str">
        <f ca="1">VLOOKUP(RANDBETWEEN(1,5),FORMAS_PGMTO[#All],2,FALSE)</f>
        <v>Pix</v>
      </c>
      <c r="F300" s="369"/>
      <c r="G300" s="381"/>
    </row>
    <row r="301" spans="1:7" s="338" customFormat="1" ht="21" hidden="1">
      <c r="A301" s="376">
        <v>45955</v>
      </c>
      <c r="B301" s="362" t="str">
        <f>UPPER(TEXT(Lançamentos_2025[[#This Row],[DATA]],"MMM"))</f>
        <v>OUT</v>
      </c>
      <c r="C301" s="363"/>
      <c r="D301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01" s="366" t="str">
        <f ca="1">VLOOKUP(RANDBETWEEN(1,5),FORMAS_PGMTO[#All],2,FALSE)</f>
        <v>Pix</v>
      </c>
      <c r="F301" s="369"/>
      <c r="G301" s="381"/>
    </row>
    <row r="302" spans="1:7" s="338" customFormat="1" ht="21" hidden="1">
      <c r="A302" s="376">
        <v>45956</v>
      </c>
      <c r="B302" s="362" t="str">
        <f>UPPER(TEXT(Lançamentos_2025[[#This Row],[DATA]],"MMM"))</f>
        <v>OUT</v>
      </c>
      <c r="C302" s="363"/>
      <c r="D302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02" s="363" t="str">
        <f ca="1">VLOOKUP(RANDBETWEEN(1,5),FORMAS_PGMTO[#All],2,FALSE)</f>
        <v>Boleto</v>
      </c>
      <c r="F302" s="367"/>
      <c r="G302" s="381"/>
    </row>
    <row r="303" spans="1:7" s="338" customFormat="1" ht="21" hidden="1">
      <c r="A303" s="376">
        <v>45957</v>
      </c>
      <c r="B303" s="362" t="str">
        <f>UPPER(TEXT(Lançamentos_2025[[#This Row],[DATA]],"MMM"))</f>
        <v>OUT</v>
      </c>
      <c r="C303" s="363"/>
      <c r="D303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03" s="363" t="str">
        <f ca="1">VLOOKUP(RANDBETWEEN(1,5),FORMAS_PGMTO[#All],2,FALSE)</f>
        <v>Boleto</v>
      </c>
      <c r="F303" s="367"/>
      <c r="G303" s="381"/>
    </row>
    <row r="304" spans="1:7" s="338" customFormat="1" ht="21" hidden="1">
      <c r="A304" s="376">
        <v>45958</v>
      </c>
      <c r="B304" s="362" t="str">
        <f>UPPER(TEXT(Lançamentos_2025[[#This Row],[DATA]],"MMM"))</f>
        <v>OUT</v>
      </c>
      <c r="C304" s="363"/>
      <c r="D304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04" s="363" t="str">
        <f ca="1">VLOOKUP(RANDBETWEEN(1,5),FORMAS_PGMTO[#All],2,FALSE)</f>
        <v>Boleto</v>
      </c>
      <c r="F304" s="367"/>
      <c r="G304" s="438"/>
    </row>
    <row r="305" spans="1:7" s="338" customFormat="1" ht="21" hidden="1">
      <c r="A305" s="376">
        <v>45959</v>
      </c>
      <c r="B305" s="362" t="str">
        <f>UPPER(TEXT(Lançamentos_2025[[#This Row],[DATA]],"MMM"))</f>
        <v>OUT</v>
      </c>
      <c r="C305" s="363"/>
      <c r="D305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05" s="363" t="str">
        <f ca="1">VLOOKUP(RANDBETWEEN(1,5),FORMAS_PGMTO[#All],2,FALSE)</f>
        <v>Crédito</v>
      </c>
      <c r="F305" s="367"/>
      <c r="G305" s="381"/>
    </row>
    <row r="306" spans="1:7" s="338" customFormat="1" ht="21" hidden="1">
      <c r="A306" s="376">
        <v>45960</v>
      </c>
      <c r="B306" s="362" t="str">
        <f>UPPER(TEXT(Lançamentos_2025[[#This Row],[DATA]],"MMM"))</f>
        <v>OUT</v>
      </c>
      <c r="C306" s="363"/>
      <c r="D306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06" s="363" t="str">
        <f ca="1">VLOOKUP(RANDBETWEEN(1,5),FORMAS_PGMTO[#All],2,FALSE)</f>
        <v>Pix</v>
      </c>
      <c r="F306" s="367"/>
      <c r="G306" s="381"/>
    </row>
    <row r="307" spans="1:7" s="338" customFormat="1" ht="21" hidden="1">
      <c r="A307" s="376">
        <v>45961</v>
      </c>
      <c r="B307" s="362" t="str">
        <f>UPPER(TEXT(Lançamentos_2025[[#This Row],[DATA]],"MMM"))</f>
        <v>OUT</v>
      </c>
      <c r="C307" s="363"/>
      <c r="D307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07" s="366" t="str">
        <f ca="1">VLOOKUP(RANDBETWEEN(1,5),FORMAS_PGMTO[#All],2,FALSE)</f>
        <v>Pix</v>
      </c>
      <c r="F307" s="369"/>
      <c r="G307" s="379"/>
    </row>
    <row r="308" spans="1:7" s="338" customFormat="1" ht="21" hidden="1">
      <c r="A308" s="376">
        <v>45962</v>
      </c>
      <c r="B308" s="364" t="str">
        <f>UPPER(TEXT(Lançamentos_2025[[#This Row],[DATA]],"MMM"))</f>
        <v>NOV</v>
      </c>
      <c r="C308" s="363"/>
      <c r="D308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08" s="363" t="str">
        <f ca="1">VLOOKUP(RANDBETWEEN(1,5),FORMAS_PGMTO[#All],2,FALSE)</f>
        <v>Débito</v>
      </c>
      <c r="F308" s="367"/>
      <c r="G308" s="381"/>
    </row>
    <row r="309" spans="1:7" s="338" customFormat="1" ht="21" hidden="1">
      <c r="A309" s="376">
        <v>45963</v>
      </c>
      <c r="B309" s="362" t="str">
        <f>UPPER(TEXT(Lançamentos_2025[[#This Row],[DATA]],"MMM"))</f>
        <v>NOV</v>
      </c>
      <c r="C309" s="363"/>
      <c r="D309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09" s="363" t="str">
        <f ca="1">VLOOKUP(RANDBETWEEN(1,5),FORMAS_PGMTO[#All],2,FALSE)</f>
        <v>Boleto</v>
      </c>
      <c r="F309" s="367"/>
      <c r="G309" s="381"/>
    </row>
    <row r="310" spans="1:7" s="338" customFormat="1" ht="21" hidden="1">
      <c r="A310" s="376">
        <v>45964</v>
      </c>
      <c r="B310" s="362" t="str">
        <f>UPPER(TEXT(Lançamentos_2025[[#This Row],[DATA]],"MMM"))</f>
        <v>NOV</v>
      </c>
      <c r="C310" s="363"/>
      <c r="D310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10" s="363" t="str">
        <f ca="1">VLOOKUP(RANDBETWEEN(1,5),FORMAS_PGMTO[#All],2,FALSE)</f>
        <v>Boleto</v>
      </c>
      <c r="F310" s="367"/>
      <c r="G310" s="381"/>
    </row>
    <row r="311" spans="1:7" s="338" customFormat="1" ht="21" hidden="1">
      <c r="A311" s="376">
        <v>45965</v>
      </c>
      <c r="B311" s="362" t="str">
        <f>UPPER(TEXT(Lançamentos_2025[[#This Row],[DATA]],"MMM"))</f>
        <v>NOV</v>
      </c>
      <c r="C311" s="363"/>
      <c r="D311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11" s="363" t="str">
        <f ca="1">VLOOKUP(RANDBETWEEN(1,5),FORMAS_PGMTO[#All],2,FALSE)</f>
        <v>Dinheiro</v>
      </c>
      <c r="F311" s="367"/>
      <c r="G311" s="381"/>
    </row>
    <row r="312" spans="1:7" s="338" customFormat="1" ht="21" hidden="1">
      <c r="A312" s="376">
        <v>45966</v>
      </c>
      <c r="B312" s="362" t="str">
        <f>UPPER(TEXT(Lançamentos_2025[[#This Row],[DATA]],"MMM"))</f>
        <v>NOV</v>
      </c>
      <c r="C312" s="363"/>
      <c r="D312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12" s="363" t="str">
        <f ca="1">VLOOKUP(RANDBETWEEN(1,5),FORMAS_PGMTO[#All],2,FALSE)</f>
        <v>Boleto</v>
      </c>
      <c r="F312" s="367"/>
      <c r="G312" s="381"/>
    </row>
    <row r="313" spans="1:7" s="338" customFormat="1" ht="21" hidden="1">
      <c r="A313" s="376">
        <v>45967</v>
      </c>
      <c r="B313" s="364" t="str">
        <f>UPPER(TEXT(Lançamentos_2025[[#This Row],[DATA]],"MMM"))</f>
        <v>NOV</v>
      </c>
      <c r="C313" s="363"/>
      <c r="D313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13" s="366" t="str">
        <f ca="1">VLOOKUP(RANDBETWEEN(1,5),FORMAS_PGMTO[#All],2,FALSE)</f>
        <v>Boleto</v>
      </c>
      <c r="F313" s="369"/>
      <c r="G313" s="379"/>
    </row>
    <row r="314" spans="1:7" s="338" customFormat="1" ht="21" hidden="1">
      <c r="A314" s="376">
        <v>45968</v>
      </c>
      <c r="B314" s="364" t="str">
        <f>UPPER(TEXT(Lançamentos_2025[[#This Row],[DATA]],"MMM"))</f>
        <v>NOV</v>
      </c>
      <c r="C314" s="363"/>
      <c r="D314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14" s="363" t="str">
        <f ca="1">VLOOKUP(RANDBETWEEN(1,5),FORMAS_PGMTO[#All],2,FALSE)</f>
        <v>Dinheiro</v>
      </c>
      <c r="F314" s="367"/>
      <c r="G314" s="381"/>
    </row>
    <row r="315" spans="1:7" s="338" customFormat="1" ht="21" hidden="1">
      <c r="A315" s="376">
        <v>45969</v>
      </c>
      <c r="B315" s="364" t="str">
        <f>UPPER(TEXT(Lançamentos_2025[[#This Row],[DATA]],"MMM"))</f>
        <v>NOV</v>
      </c>
      <c r="C315" s="363"/>
      <c r="D315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15" s="363" t="str">
        <f ca="1">VLOOKUP(RANDBETWEEN(1,5),FORMAS_PGMTO[#All],2,FALSE)</f>
        <v>Crédito</v>
      </c>
      <c r="F315" s="367"/>
      <c r="G315" s="381"/>
    </row>
    <row r="316" spans="1:7" s="338" customFormat="1" ht="21" hidden="1">
      <c r="A316" s="376">
        <v>45970</v>
      </c>
      <c r="B316" s="364" t="str">
        <f>UPPER(TEXT(Lançamentos_2025[[#This Row],[DATA]],"MMM"))</f>
        <v>NOV</v>
      </c>
      <c r="C316" s="363"/>
      <c r="D316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16" s="363" t="str">
        <f ca="1">VLOOKUP(RANDBETWEEN(1,5),FORMAS_PGMTO[#All],2,FALSE)</f>
        <v>Boleto</v>
      </c>
      <c r="F316" s="367"/>
      <c r="G316" s="381"/>
    </row>
    <row r="317" spans="1:7" s="338" customFormat="1" ht="21" hidden="1">
      <c r="A317" s="376">
        <v>45971</v>
      </c>
      <c r="B317" s="362" t="str">
        <f>UPPER(TEXT(Lançamentos_2025[[#This Row],[DATA]],"MMM"))</f>
        <v>NOV</v>
      </c>
      <c r="C317" s="363"/>
      <c r="D317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17" s="363" t="str">
        <f ca="1">VLOOKUP(RANDBETWEEN(1,5),FORMAS_PGMTO[#All],2,FALSE)</f>
        <v>Boleto</v>
      </c>
      <c r="F317" s="367"/>
      <c r="G317" s="381"/>
    </row>
    <row r="318" spans="1:7" s="338" customFormat="1" ht="21" hidden="1">
      <c r="A318" s="376">
        <v>45972</v>
      </c>
      <c r="B318" s="364" t="str">
        <f>UPPER(TEXT(Lançamentos_2025[[#This Row],[DATA]],"MMM"))</f>
        <v>NOV</v>
      </c>
      <c r="C318" s="363"/>
      <c r="D318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18" s="363" t="str">
        <f ca="1">VLOOKUP(RANDBETWEEN(1,5),FORMAS_PGMTO[#All],2,FALSE)</f>
        <v>Boleto</v>
      </c>
      <c r="F318" s="367"/>
      <c r="G318" s="381"/>
    </row>
    <row r="319" spans="1:7" s="338" customFormat="1" ht="21" hidden="1">
      <c r="A319" s="376">
        <v>45973</v>
      </c>
      <c r="B319" s="364" t="str">
        <f>UPPER(TEXT(Lançamentos_2025[[#This Row],[DATA]],"MMM"))</f>
        <v>NOV</v>
      </c>
      <c r="C319" s="363"/>
      <c r="D319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19" s="366" t="str">
        <f ca="1">VLOOKUP(RANDBETWEEN(1,5),FORMAS_PGMTO[#All],2,FALSE)</f>
        <v>Dinheiro</v>
      </c>
      <c r="F319" s="369"/>
      <c r="G319" s="379"/>
    </row>
    <row r="320" spans="1:7" s="338" customFormat="1" ht="21" hidden="1">
      <c r="A320" s="376">
        <v>45974</v>
      </c>
      <c r="B320" s="362" t="str">
        <f>UPPER(TEXT(Lançamentos_2025[[#This Row],[DATA]],"MMM"))</f>
        <v>NOV</v>
      </c>
      <c r="C320" s="363"/>
      <c r="D320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20" s="363" t="str">
        <f ca="1">VLOOKUP(RANDBETWEEN(1,5),FORMAS_PGMTO[#All],2,FALSE)</f>
        <v>Pix</v>
      </c>
      <c r="F320" s="367"/>
      <c r="G320" s="381"/>
    </row>
    <row r="321" spans="1:7" s="338" customFormat="1" ht="21">
      <c r="A321" s="376">
        <v>45975</v>
      </c>
      <c r="B321" s="362" t="str">
        <f>UPPER(TEXT(Lançamentos_2025[[#This Row],[DATA]],"MMM"))</f>
        <v>NOV</v>
      </c>
      <c r="C321" s="363" t="s">
        <v>7</v>
      </c>
      <c r="D321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ENTRADA</v>
      </c>
      <c r="E321" s="363" t="str">
        <f ca="1">VLOOKUP(RANDBETWEEN(1,5),FORMAS_PGMTO[#All],2,FALSE)</f>
        <v>Pix</v>
      </c>
      <c r="F321" s="367" t="s">
        <v>760</v>
      </c>
      <c r="G321" s="377">
        <v>2300</v>
      </c>
    </row>
    <row r="322" spans="1:7" s="338" customFormat="1" ht="21">
      <c r="A322" s="376">
        <v>45976</v>
      </c>
      <c r="B322" s="364" t="str">
        <f>UPPER(TEXT(Lançamentos_2025[[#This Row],[DATA]],"MMM"))</f>
        <v>NOV</v>
      </c>
      <c r="C322" s="363" t="s">
        <v>8</v>
      </c>
      <c r="D322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322" s="363" t="str">
        <f ca="1">VLOOKUP(RANDBETWEEN(1,5),FORMAS_PGMTO[#All],2,FALSE)</f>
        <v>Boleto</v>
      </c>
      <c r="F322" s="367" t="s">
        <v>765</v>
      </c>
      <c r="G322" s="377">
        <v>200</v>
      </c>
    </row>
    <row r="323" spans="1:7" s="338" customFormat="1" ht="21">
      <c r="A323" s="376">
        <v>45977</v>
      </c>
      <c r="B323" s="362" t="str">
        <f>UPPER(TEXT(Lançamentos_2025[[#This Row],[DATA]],"MMM"))</f>
        <v>NOV</v>
      </c>
      <c r="C323" s="363" t="s">
        <v>8</v>
      </c>
      <c r="D323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323" s="363" t="str">
        <f ca="1">VLOOKUP(RANDBETWEEN(1,5),FORMAS_PGMTO[#All],2,FALSE)</f>
        <v>Boleto</v>
      </c>
      <c r="F323" s="367" t="s">
        <v>766</v>
      </c>
      <c r="G323" s="377">
        <v>30</v>
      </c>
    </row>
    <row r="324" spans="1:7" s="338" customFormat="1" ht="21">
      <c r="A324" s="376">
        <v>45978</v>
      </c>
      <c r="B324" s="364" t="str">
        <f>UPPER(TEXT(Lançamentos_2025[[#This Row],[DATA]],"MMM"))</f>
        <v>NOV</v>
      </c>
      <c r="C324" s="363" t="s">
        <v>11</v>
      </c>
      <c r="D324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324" s="363" t="str">
        <f ca="1">VLOOKUP(RANDBETWEEN(1,5),FORMAS_PGMTO[#All],2,FALSE)</f>
        <v>Crédito</v>
      </c>
      <c r="F324" s="367" t="s">
        <v>767</v>
      </c>
      <c r="G324" s="377">
        <v>150</v>
      </c>
    </row>
    <row r="325" spans="1:7" s="338" customFormat="1" ht="21">
      <c r="A325" s="376">
        <v>45979</v>
      </c>
      <c r="B325" s="364" t="str">
        <f>UPPER(TEXT(Lançamentos_2025[[#This Row],[DATA]],"MMM"))</f>
        <v>NOV</v>
      </c>
      <c r="C325" s="363" t="s">
        <v>11</v>
      </c>
      <c r="D325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325" s="363" t="str">
        <f ca="1">VLOOKUP(RANDBETWEEN(1,5),FORMAS_PGMTO[#All],2,FALSE)</f>
        <v>Pix</v>
      </c>
      <c r="F325" s="369" t="s">
        <v>768</v>
      </c>
      <c r="G325" s="378">
        <v>100</v>
      </c>
    </row>
    <row r="326" spans="1:7" s="338" customFormat="1" ht="21">
      <c r="A326" s="376">
        <v>45980</v>
      </c>
      <c r="B326" s="364" t="str">
        <f>UPPER(TEXT(Lançamentos_2025[[#This Row],[DATA]],"MMM"))</f>
        <v>NOV</v>
      </c>
      <c r="C326" s="363" t="s">
        <v>15</v>
      </c>
      <c r="D326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326" s="363" t="str">
        <f ca="1">VLOOKUP(RANDBETWEEN(1,5),FORMAS_PGMTO[#All],2,FALSE)</f>
        <v>Pix</v>
      </c>
      <c r="F326" s="367" t="s">
        <v>775</v>
      </c>
      <c r="G326" s="441">
        <v>500</v>
      </c>
    </row>
    <row r="327" spans="1:7" s="348" customFormat="1" ht="21">
      <c r="A327" s="376">
        <v>45981</v>
      </c>
      <c r="B327" s="362" t="str">
        <f>UPPER(TEXT(Lançamentos_2025[[#This Row],[DATA]],"MMM"))</f>
        <v>NOV</v>
      </c>
      <c r="C327" s="363" t="s">
        <v>17</v>
      </c>
      <c r="D327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327" s="363" t="str">
        <f ca="1">VLOOKUP(RANDBETWEEN(1,5),FORMAS_PGMTO[#All],2,FALSE)</f>
        <v>Crédito</v>
      </c>
      <c r="F327" s="367" t="s">
        <v>776</v>
      </c>
      <c r="G327" s="380">
        <v>180</v>
      </c>
    </row>
    <row r="328" spans="1:7" s="338" customFormat="1" ht="21">
      <c r="A328" s="376">
        <v>45982</v>
      </c>
      <c r="B328" s="362" t="str">
        <f>UPPER(TEXT(Lançamentos_2025[[#This Row],[DATA]],"MMM"))</f>
        <v>NOV</v>
      </c>
      <c r="C328" s="363" t="s">
        <v>8</v>
      </c>
      <c r="D328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328" s="363" t="str">
        <f ca="1">VLOOKUP(RANDBETWEEN(1,5),FORMAS_PGMTO[#All],2,FALSE)</f>
        <v>Dinheiro</v>
      </c>
      <c r="F328" s="367" t="s">
        <v>807</v>
      </c>
      <c r="G328" s="380">
        <v>300</v>
      </c>
    </row>
    <row r="329" spans="1:7" s="338" customFormat="1" ht="21">
      <c r="A329" s="376">
        <v>45983</v>
      </c>
      <c r="B329" s="362" t="str">
        <f>UPPER(TEXT(Lançamentos_2025[[#This Row],[DATA]],"MMM"))</f>
        <v>NOV</v>
      </c>
      <c r="C329" s="363" t="s">
        <v>11</v>
      </c>
      <c r="D329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329" s="363" t="str">
        <f ca="1">VLOOKUP(RANDBETWEEN(1,5),FORMAS_PGMTO[#All],2,FALSE)</f>
        <v>Pix</v>
      </c>
      <c r="F329" s="367" t="s">
        <v>773</v>
      </c>
      <c r="G329" s="380">
        <v>450</v>
      </c>
    </row>
    <row r="330" spans="1:7" s="338" customFormat="1" ht="21" hidden="1">
      <c r="A330" s="376">
        <v>45984</v>
      </c>
      <c r="B330" s="364" t="str">
        <f>UPPER(TEXT(Lançamentos_2025[[#This Row],[DATA]],"MMM"))</f>
        <v>NOV</v>
      </c>
      <c r="C330" s="363"/>
      <c r="D330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30" s="363" t="str">
        <f ca="1">VLOOKUP(RANDBETWEEN(1,5),FORMAS_PGMTO[#All],2,FALSE)</f>
        <v>Débito</v>
      </c>
      <c r="F330" s="367"/>
      <c r="G330" s="379"/>
    </row>
    <row r="331" spans="1:7" s="338" customFormat="1" ht="21" hidden="1">
      <c r="A331" s="376">
        <v>45985</v>
      </c>
      <c r="B331" s="362" t="str">
        <f>UPPER(TEXT(Lançamentos_2025[[#This Row],[DATA]],"MMM"))</f>
        <v>NOV</v>
      </c>
      <c r="C331" s="363"/>
      <c r="D331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31" s="363" t="str">
        <f ca="1">VLOOKUP(RANDBETWEEN(1,5),FORMAS_PGMTO[#All],2,FALSE)</f>
        <v>Crédito</v>
      </c>
      <c r="F331" s="367"/>
      <c r="G331" s="381"/>
    </row>
    <row r="332" spans="1:7" s="338" customFormat="1" ht="21" hidden="1">
      <c r="A332" s="376">
        <v>45986</v>
      </c>
      <c r="B332" s="362" t="str">
        <f>UPPER(TEXT(Lançamentos_2025[[#This Row],[DATA]],"MMM"))</f>
        <v>NOV</v>
      </c>
      <c r="C332" s="363"/>
      <c r="D332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32" s="363" t="str">
        <f ca="1">VLOOKUP(RANDBETWEEN(1,5),FORMAS_PGMTO[#All],2,FALSE)</f>
        <v>Débito</v>
      </c>
      <c r="F332" s="367"/>
      <c r="G332" s="381"/>
    </row>
    <row r="333" spans="1:7" s="338" customFormat="1" ht="21" hidden="1">
      <c r="A333" s="376">
        <v>45987</v>
      </c>
      <c r="B333" s="364" t="str">
        <f>UPPER(TEXT(Lançamentos_2025[[#This Row],[DATA]],"MMM"))</f>
        <v>NOV</v>
      </c>
      <c r="C333" s="363"/>
      <c r="D333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33" s="366" t="str">
        <f ca="1">VLOOKUP(RANDBETWEEN(1,5),FORMAS_PGMTO[#All],2,FALSE)</f>
        <v>Pix</v>
      </c>
      <c r="F333" s="369"/>
      <c r="G333" s="379"/>
    </row>
    <row r="334" spans="1:7" s="338" customFormat="1" ht="21" hidden="1">
      <c r="A334" s="376">
        <v>45988</v>
      </c>
      <c r="B334" s="364" t="str">
        <f>UPPER(TEXT(Lançamentos_2025[[#This Row],[DATA]],"MMM"))</f>
        <v>NOV</v>
      </c>
      <c r="C334" s="363"/>
      <c r="D334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34" s="366" t="str">
        <f ca="1">VLOOKUP(RANDBETWEEN(1,5),FORMAS_PGMTO[#All],2,FALSE)</f>
        <v>Dinheiro</v>
      </c>
      <c r="F334" s="369"/>
      <c r="G334" s="379"/>
    </row>
    <row r="335" spans="1:7" s="338" customFormat="1" ht="21" hidden="1">
      <c r="A335" s="376">
        <v>45989</v>
      </c>
      <c r="B335" s="364" t="str">
        <f>UPPER(TEXT(Lançamentos_2025[[#This Row],[DATA]],"MMM"))</f>
        <v>NOV</v>
      </c>
      <c r="C335" s="363"/>
      <c r="D335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35" s="363" t="str">
        <f ca="1">VLOOKUP(RANDBETWEEN(1,5),FORMAS_PGMTO[#All],2,FALSE)</f>
        <v>Débito</v>
      </c>
      <c r="F335" s="367"/>
      <c r="G335" s="382"/>
    </row>
    <row r="336" spans="1:7" s="338" customFormat="1" ht="21" hidden="1">
      <c r="A336" s="376">
        <v>45990</v>
      </c>
      <c r="B336" s="362" t="str">
        <f>UPPER(TEXT(Lançamentos_2025[[#This Row],[DATA]],"MMM"))</f>
        <v>NOV</v>
      </c>
      <c r="C336" s="363"/>
      <c r="D336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36" s="363" t="str">
        <f ca="1">VLOOKUP(RANDBETWEEN(1,5),FORMAS_PGMTO[#All],2,FALSE)</f>
        <v>Débito</v>
      </c>
      <c r="F336" s="367"/>
      <c r="G336" s="382"/>
    </row>
    <row r="337" spans="1:8" s="338" customFormat="1" ht="21" hidden="1">
      <c r="A337" s="376">
        <v>45991</v>
      </c>
      <c r="B337" s="362" t="str">
        <f>UPPER(TEXT(Lançamentos_2025[[#This Row],[DATA]],"MMM"))</f>
        <v>NOV</v>
      </c>
      <c r="C337" s="363"/>
      <c r="D337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37" s="363" t="str">
        <f ca="1">VLOOKUP(RANDBETWEEN(1,5),FORMAS_PGMTO[#All],2,FALSE)</f>
        <v>Crédito</v>
      </c>
      <c r="F337" s="367"/>
      <c r="G337" s="382"/>
    </row>
    <row r="338" spans="1:8" s="338" customFormat="1" ht="21" hidden="1">
      <c r="A338" s="376">
        <v>45992</v>
      </c>
      <c r="B338" s="362" t="str">
        <f>UPPER(TEXT(Lançamentos_2025[[#This Row],[DATA]],"MMM"))</f>
        <v>DEZ</v>
      </c>
      <c r="C338" s="363"/>
      <c r="D338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38" s="363" t="str">
        <f ca="1">VLOOKUP(RANDBETWEEN(1,5),FORMAS_PGMTO[#All],2,FALSE)</f>
        <v>Boleto</v>
      </c>
      <c r="F338" s="367"/>
      <c r="G338" s="381"/>
    </row>
    <row r="339" spans="1:8" s="338" customFormat="1" ht="21" hidden="1">
      <c r="A339" s="376">
        <v>45993</v>
      </c>
      <c r="B339" s="362" t="str">
        <f>UPPER(TEXT(Lançamentos_2025[[#This Row],[DATA]],"MMM"))</f>
        <v>DEZ</v>
      </c>
      <c r="C339" s="363"/>
      <c r="D339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39" s="363" t="str">
        <f ca="1">VLOOKUP(RANDBETWEEN(1,5),FORMAS_PGMTO[#All],2,FALSE)</f>
        <v>Dinheiro</v>
      </c>
      <c r="F339" s="367"/>
      <c r="G339" s="381"/>
    </row>
    <row r="340" spans="1:8" s="338" customFormat="1" ht="21" hidden="1">
      <c r="A340" s="376">
        <v>45994</v>
      </c>
      <c r="B340" s="362" t="str">
        <f>UPPER(TEXT(Lançamentos_2025[[#This Row],[DATA]],"MMM"))</f>
        <v>DEZ</v>
      </c>
      <c r="C340" s="363"/>
      <c r="D340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40" s="363" t="str">
        <f ca="1">VLOOKUP(RANDBETWEEN(1,5),FORMAS_PGMTO[#All],2,FALSE)</f>
        <v>Crédito</v>
      </c>
      <c r="F340" s="367"/>
      <c r="G340" s="381"/>
    </row>
    <row r="341" spans="1:8" s="338" customFormat="1" ht="21" hidden="1">
      <c r="A341" s="376">
        <v>45995</v>
      </c>
      <c r="B341" s="362" t="str">
        <f>UPPER(TEXT(Lançamentos_2025[[#This Row],[DATA]],"MMM"))</f>
        <v>DEZ</v>
      </c>
      <c r="C341" s="363"/>
      <c r="D341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41" s="366" t="str">
        <f ca="1">VLOOKUP(RANDBETWEEN(1,5),FORMAS_PGMTO[#All],2,FALSE)</f>
        <v>Dinheiro</v>
      </c>
      <c r="F341" s="369"/>
      <c r="G341" s="381"/>
    </row>
    <row r="342" spans="1:8" s="338" customFormat="1" ht="21" hidden="1">
      <c r="A342" s="376">
        <v>45996</v>
      </c>
      <c r="B342" s="362" t="str">
        <f>UPPER(TEXT(Lançamentos_2025[[#This Row],[DATA]],"MMM"))</f>
        <v>DEZ</v>
      </c>
      <c r="C342" s="363"/>
      <c r="D342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42" s="366" t="str">
        <f ca="1">VLOOKUP(RANDBETWEEN(1,5),FORMAS_PGMTO[#All],2,FALSE)</f>
        <v>Dinheiro</v>
      </c>
      <c r="F342" s="369"/>
      <c r="G342" s="381"/>
    </row>
    <row r="343" spans="1:8" s="338" customFormat="1" ht="21" hidden="1">
      <c r="A343" s="376">
        <v>45997</v>
      </c>
      <c r="B343" s="362" t="str">
        <f>UPPER(TEXT(Lançamentos_2025[[#This Row],[DATA]],"MMM"))</f>
        <v>DEZ</v>
      </c>
      <c r="C343" s="363"/>
      <c r="D343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43" s="363" t="str">
        <f ca="1">VLOOKUP(RANDBETWEEN(1,5),FORMAS_PGMTO[#All],2,FALSE)</f>
        <v>Crédito</v>
      </c>
      <c r="F343" s="367"/>
      <c r="G343" s="381"/>
    </row>
    <row r="344" spans="1:8" s="338" customFormat="1" ht="21" hidden="1">
      <c r="A344" s="376">
        <v>45998</v>
      </c>
      <c r="B344" s="362" t="str">
        <f>UPPER(TEXT(Lançamentos_2025[[#This Row],[DATA]],"MMM"))</f>
        <v>DEZ</v>
      </c>
      <c r="C344" s="363"/>
      <c r="D344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44" s="363" t="str">
        <f ca="1">VLOOKUP(RANDBETWEEN(1,5),FORMAS_PGMTO[#All],2,FALSE)</f>
        <v>Débito</v>
      </c>
      <c r="F344" s="367"/>
      <c r="G344" s="381"/>
    </row>
    <row r="345" spans="1:8" s="338" customFormat="1" ht="21" hidden="1">
      <c r="A345" s="376">
        <v>45999</v>
      </c>
      <c r="B345" s="362" t="str">
        <f>UPPER(TEXT(Lançamentos_2025[[#This Row],[DATA]],"MMM"))</f>
        <v>DEZ</v>
      </c>
      <c r="C345" s="363"/>
      <c r="D345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45" s="363" t="str">
        <f ca="1">VLOOKUP(RANDBETWEEN(1,5),FORMAS_PGMTO[#All],2,FALSE)</f>
        <v>Débito</v>
      </c>
      <c r="F345" s="367"/>
      <c r="G345" s="381"/>
    </row>
    <row r="346" spans="1:8" s="338" customFormat="1" ht="21" hidden="1">
      <c r="A346" s="376">
        <v>46000</v>
      </c>
      <c r="B346" s="362" t="str">
        <f>UPPER(TEXT(Lançamentos_2025[[#This Row],[DATA]],"MMM"))</f>
        <v>DEZ</v>
      </c>
      <c r="C346" s="363"/>
      <c r="D346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46" s="366" t="str">
        <f ca="1">VLOOKUP(RANDBETWEEN(1,5),FORMAS_PGMTO[#All],2,FALSE)</f>
        <v>Débito</v>
      </c>
      <c r="F346" s="369"/>
      <c r="G346" s="379"/>
    </row>
    <row r="347" spans="1:8" s="338" customFormat="1" ht="21" hidden="1">
      <c r="A347" s="376">
        <v>46001</v>
      </c>
      <c r="B347" s="362" t="str">
        <f>UPPER(TEXT(Lançamentos_2025[[#This Row],[DATA]],"MMM"))</f>
        <v>DEZ</v>
      </c>
      <c r="C347" s="363"/>
      <c r="D347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47" s="366" t="str">
        <f ca="1">VLOOKUP(RANDBETWEEN(1,5),FORMAS_PGMTO[#All],2,FALSE)</f>
        <v>Débito</v>
      </c>
      <c r="F347" s="369"/>
      <c r="G347" s="379"/>
      <c r="H347" s="347"/>
    </row>
    <row r="348" spans="1:8" s="338" customFormat="1" ht="21" hidden="1">
      <c r="A348" s="376">
        <v>46002</v>
      </c>
      <c r="B348" s="362" t="str">
        <f>UPPER(TEXT(Lançamentos_2025[[#This Row],[DATA]],"MMM"))</f>
        <v>DEZ</v>
      </c>
      <c r="C348" s="363"/>
      <c r="D348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48" s="366" t="str">
        <f ca="1">VLOOKUP(RANDBETWEEN(1,5),FORMAS_PGMTO[#All],2,FALSE)</f>
        <v>Débito</v>
      </c>
      <c r="F348" s="369"/>
      <c r="G348" s="439"/>
      <c r="H348" s="347"/>
    </row>
    <row r="349" spans="1:8" s="338" customFormat="1" ht="21" hidden="1">
      <c r="A349" s="376">
        <v>46003</v>
      </c>
      <c r="B349" s="362" t="str">
        <f>UPPER(TEXT(Lançamentos_2025[[#This Row],[DATA]],"MMM"))</f>
        <v>DEZ</v>
      </c>
      <c r="C349" s="363"/>
      <c r="D349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49" s="363" t="str">
        <f ca="1">VLOOKUP(RANDBETWEEN(1,5),FORMAS_PGMTO[#All],2,FALSE)</f>
        <v>Débito</v>
      </c>
      <c r="F349" s="367"/>
      <c r="G349" s="381"/>
    </row>
    <row r="350" spans="1:8" s="338" customFormat="1" ht="21" hidden="1">
      <c r="A350" s="376">
        <v>46004</v>
      </c>
      <c r="B350" s="362" t="str">
        <f>UPPER(TEXT(Lançamentos_2025[[#This Row],[DATA]],"MMM"))</f>
        <v>DEZ</v>
      </c>
      <c r="C350" s="363"/>
      <c r="D350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50" s="363" t="str">
        <f ca="1">VLOOKUP(RANDBETWEEN(1,5),FORMAS_PGMTO[#All],2,FALSE)</f>
        <v>Dinheiro</v>
      </c>
      <c r="F350" s="367"/>
      <c r="G350" s="381"/>
    </row>
    <row r="351" spans="1:8" s="338" customFormat="1" ht="21" hidden="1">
      <c r="A351" s="376">
        <v>46005</v>
      </c>
      <c r="B351" s="364" t="str">
        <f>UPPER(TEXT(Lançamentos_2025[[#This Row],[DATA]],"MMM"))</f>
        <v>DEZ</v>
      </c>
      <c r="C351" s="363"/>
      <c r="D351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51" s="363" t="str">
        <f ca="1">VLOOKUP(RANDBETWEEN(1,5),FORMAS_PGMTO[#All],2,FALSE)</f>
        <v>Dinheiro</v>
      </c>
      <c r="F351" s="367"/>
      <c r="G351" s="381"/>
    </row>
    <row r="352" spans="1:8" s="338" customFormat="1" ht="21" hidden="1">
      <c r="A352" s="376">
        <v>46006</v>
      </c>
      <c r="B352" s="362" t="str">
        <f>UPPER(TEXT(Lançamentos_2025[[#This Row],[DATA]],"MMM"))</f>
        <v>DEZ</v>
      </c>
      <c r="C352" s="363"/>
      <c r="D352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52" s="363" t="str">
        <f ca="1">VLOOKUP(RANDBETWEEN(1,5),FORMAS_PGMTO[#All],2,FALSE)</f>
        <v>Débito</v>
      </c>
      <c r="F352" s="367"/>
      <c r="G352" s="381"/>
    </row>
    <row r="353" spans="1:9" s="338" customFormat="1" ht="21" hidden="1">
      <c r="A353" s="376">
        <v>46007</v>
      </c>
      <c r="B353" s="364" t="str">
        <f>UPPER(TEXT(Lançamentos_2025[[#This Row],[DATA]],"MMM"))</f>
        <v>DEZ</v>
      </c>
      <c r="C353" s="363"/>
      <c r="D353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53" s="366" t="str">
        <f ca="1">VLOOKUP(RANDBETWEEN(1,5),FORMAS_PGMTO[#All],2,FALSE)</f>
        <v>Crédito</v>
      </c>
      <c r="F353" s="369"/>
      <c r="G353" s="379"/>
    </row>
    <row r="354" spans="1:9" s="338" customFormat="1" ht="21" hidden="1">
      <c r="A354" s="376">
        <v>46008</v>
      </c>
      <c r="B354" s="362" t="str">
        <f>UPPER(TEXT(Lançamentos_2025[[#This Row],[DATA]],"MMM"))</f>
        <v>DEZ</v>
      </c>
      <c r="C354" s="363"/>
      <c r="D354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54" s="363" t="str">
        <f ca="1">VLOOKUP(RANDBETWEEN(1,5),FORMAS_PGMTO[#All],2,FALSE)</f>
        <v>Débito</v>
      </c>
      <c r="F354" s="367"/>
      <c r="G354" s="381"/>
    </row>
    <row r="355" spans="1:9" s="338" customFormat="1" ht="21" hidden="1">
      <c r="A355" s="376">
        <v>46009</v>
      </c>
      <c r="B355" s="362" t="str">
        <f>UPPER(TEXT(Lançamentos_2025[[#This Row],[DATA]],"MMM"))</f>
        <v>DEZ</v>
      </c>
      <c r="C355" s="363"/>
      <c r="D355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55" s="363" t="str">
        <f ca="1">VLOOKUP(RANDBETWEEN(1,5),FORMAS_PGMTO[#All],2,FALSE)</f>
        <v>Crédito</v>
      </c>
      <c r="F355" s="367"/>
      <c r="G355" s="381"/>
      <c r="H355" s="347"/>
    </row>
    <row r="356" spans="1:9" s="338" customFormat="1" ht="21">
      <c r="A356" s="376">
        <v>46010</v>
      </c>
      <c r="B356" s="364" t="str">
        <f>UPPER(TEXT(Lançamentos_2025[[#This Row],[DATA]],"MMM"))</f>
        <v>DEZ</v>
      </c>
      <c r="C356" s="363" t="s">
        <v>7</v>
      </c>
      <c r="D356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ENTRADA</v>
      </c>
      <c r="E356" s="363" t="str">
        <f ca="1">VLOOKUP(RANDBETWEEN(1,5),FORMAS_PGMTO[#All],2,FALSE)</f>
        <v>Crédito</v>
      </c>
      <c r="F356" s="367" t="s">
        <v>760</v>
      </c>
      <c r="G356" s="377">
        <v>2400</v>
      </c>
    </row>
    <row r="357" spans="1:9" s="338" customFormat="1" ht="21">
      <c r="A357" s="376">
        <v>46011</v>
      </c>
      <c r="B357" s="362" t="str">
        <f>UPPER(TEXT(Lançamentos_2025[[#This Row],[DATA]],"MMM"))</f>
        <v>DEZ</v>
      </c>
      <c r="C357" s="362" t="s">
        <v>19</v>
      </c>
      <c r="D357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357" s="363" t="str">
        <f ca="1">VLOOKUP(RANDBETWEEN(1,5),FORMAS_PGMTO[#All],2,FALSE)</f>
        <v>Pix</v>
      </c>
      <c r="F357" s="367" t="s">
        <v>798</v>
      </c>
      <c r="G357" s="380">
        <v>120</v>
      </c>
    </row>
    <row r="358" spans="1:9" s="338" customFormat="1" ht="21">
      <c r="A358" s="376">
        <v>46012</v>
      </c>
      <c r="B358" s="364" t="str">
        <f>UPPER(TEXT(Lançamentos_2025[[#This Row],[DATA]],"MMM"))</f>
        <v>DEZ</v>
      </c>
      <c r="C358" s="362" t="s">
        <v>21</v>
      </c>
      <c r="D358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358" s="363" t="str">
        <f ca="1">VLOOKUP(RANDBETWEEN(1,5),FORMAS_PGMTO[#All],2,FALSE)</f>
        <v>Pix</v>
      </c>
      <c r="F358" s="369" t="s">
        <v>808</v>
      </c>
      <c r="G358" s="440">
        <v>850</v>
      </c>
    </row>
    <row r="359" spans="1:9" s="338" customFormat="1" ht="21">
      <c r="A359" s="376">
        <v>46013</v>
      </c>
      <c r="B359" s="362" t="str">
        <f>UPPER(TEXT(Lançamentos_2025[[#This Row],[DATA]],"MMM"))</f>
        <v>DEZ</v>
      </c>
      <c r="C359" s="363" t="s">
        <v>5</v>
      </c>
      <c r="D359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359" s="363" t="str">
        <f ca="1">VLOOKUP(RANDBETWEEN(1,5),FORMAS_PGMTO[#All],2,FALSE)</f>
        <v>Crédito</v>
      </c>
      <c r="F359" s="367" t="s">
        <v>780</v>
      </c>
      <c r="G359" s="380">
        <v>300</v>
      </c>
    </row>
    <row r="360" spans="1:9" s="338" customFormat="1" ht="21">
      <c r="A360" s="376">
        <v>46014</v>
      </c>
      <c r="B360" s="362" t="str">
        <f>UPPER(TEXT(Lançamentos_2025[[#This Row],[DATA]],"MMM"))</f>
        <v>DEZ</v>
      </c>
      <c r="C360" s="362" t="s">
        <v>8</v>
      </c>
      <c r="D360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360" s="363" t="str">
        <f ca="1">VLOOKUP(RANDBETWEEN(1,5),FORMAS_PGMTO[#All],2,FALSE)</f>
        <v>Dinheiro</v>
      </c>
      <c r="F360" s="369" t="s">
        <v>799</v>
      </c>
      <c r="G360" s="440">
        <v>450</v>
      </c>
    </row>
    <row r="361" spans="1:9" s="338" customFormat="1" ht="21">
      <c r="A361" s="376">
        <v>46015</v>
      </c>
      <c r="B361" s="364" t="str">
        <f>UPPER(TEXT(Lançamentos_2025[[#This Row],[DATA]],"MMM"))</f>
        <v>DEZ</v>
      </c>
      <c r="C361" s="363" t="s">
        <v>11</v>
      </c>
      <c r="D361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>SAÍDA</v>
      </c>
      <c r="E361" s="363" t="str">
        <f ca="1">VLOOKUP(RANDBETWEEN(1,5),FORMAS_PGMTO[#All],2,FALSE)</f>
        <v>Débito</v>
      </c>
      <c r="F361" s="369" t="s">
        <v>800</v>
      </c>
      <c r="G361" s="440">
        <v>200</v>
      </c>
    </row>
    <row r="362" spans="1:9" s="338" customFormat="1" ht="21" hidden="1">
      <c r="A362" s="376">
        <v>46016</v>
      </c>
      <c r="B362" s="362" t="str">
        <f>UPPER(TEXT(Lançamentos_2025[[#This Row],[DATA]],"MMM"))</f>
        <v>DEZ</v>
      </c>
      <c r="C362" s="363"/>
      <c r="D362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62" s="363" t="str">
        <f ca="1">VLOOKUP(RANDBETWEEN(1,5),FORMAS_PGMTO[#All],2,FALSE)</f>
        <v>Crédito</v>
      </c>
      <c r="F362" s="367"/>
      <c r="G362" s="381"/>
    </row>
    <row r="363" spans="1:9" s="338" customFormat="1" ht="21" hidden="1">
      <c r="A363" s="376">
        <v>46017</v>
      </c>
      <c r="B363" s="362" t="str">
        <f>UPPER(TEXT(Lançamentos_2025[[#This Row],[DATA]],"MMM"))</f>
        <v>DEZ</v>
      </c>
      <c r="C363" s="363"/>
      <c r="D363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63" s="363" t="str">
        <f ca="1">VLOOKUP(RANDBETWEEN(1,5),FORMAS_PGMTO[#All],2,FALSE)</f>
        <v>Pix</v>
      </c>
      <c r="F363" s="367"/>
      <c r="G363" s="381"/>
    </row>
    <row r="364" spans="1:9" s="338" customFormat="1" ht="21" hidden="1">
      <c r="A364" s="376">
        <v>46018</v>
      </c>
      <c r="B364" s="364" t="str">
        <f>UPPER(TEXT(Lançamentos_2025[[#This Row],[DATA]],"MMM"))</f>
        <v>DEZ</v>
      </c>
      <c r="C364" s="363"/>
      <c r="D364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64" s="363" t="str">
        <f ca="1">VLOOKUP(RANDBETWEEN(1,5),FORMAS_PGMTO[#All],2,FALSE)</f>
        <v>Boleto</v>
      </c>
      <c r="F364" s="367"/>
      <c r="G364" s="381"/>
    </row>
    <row r="365" spans="1:9" s="338" customFormat="1" ht="21" hidden="1">
      <c r="A365" s="376">
        <v>46019</v>
      </c>
      <c r="B365" s="364" t="str">
        <f>UPPER(TEXT(Lançamentos_2025[[#This Row],[DATA]],"MMM"))</f>
        <v>DEZ</v>
      </c>
      <c r="C365" s="363"/>
      <c r="D365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65" s="363" t="str">
        <f ca="1">VLOOKUP(RANDBETWEEN(1,5),FORMAS_PGMTO[#All],2,FALSE)</f>
        <v>Pix</v>
      </c>
      <c r="F365" s="367"/>
      <c r="G365" s="381"/>
      <c r="I365" s="347"/>
    </row>
    <row r="366" spans="1:9" s="338" customFormat="1" ht="21" hidden="1">
      <c r="A366" s="376">
        <v>46020</v>
      </c>
      <c r="B366" s="364" t="str">
        <f>UPPER(TEXT(Lançamentos_2025[[#This Row],[DATA]],"MMM"))</f>
        <v>DEZ</v>
      </c>
      <c r="C366" s="363"/>
      <c r="D366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66" s="363" t="str">
        <f ca="1">VLOOKUP(RANDBETWEEN(1,5),FORMAS_PGMTO[#All],2,FALSE)</f>
        <v>Dinheiro</v>
      </c>
      <c r="F366" s="367"/>
      <c r="G366" s="381"/>
    </row>
    <row r="367" spans="1:9" s="338" customFormat="1" ht="21" hidden="1">
      <c r="A367" s="376">
        <v>46021</v>
      </c>
      <c r="B367" s="364" t="str">
        <f>UPPER(TEXT(Lançamentos_2025[[#This Row],[DATA]],"MMM"))</f>
        <v>DEZ</v>
      </c>
      <c r="C367" s="363"/>
      <c r="D367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67" s="363" t="str">
        <f ca="1">VLOOKUP(RANDBETWEEN(1,5),FORMAS_PGMTO[#All],2,FALSE)</f>
        <v>Pix</v>
      </c>
      <c r="F367" s="367"/>
      <c r="G367" s="381"/>
    </row>
    <row r="368" spans="1:9" s="338" customFormat="1" ht="21" hidden="1">
      <c r="A368" s="376">
        <v>46022</v>
      </c>
      <c r="B368" s="364" t="str">
        <f>UPPER(TEXT(Lançamentos_2025[[#This Row],[DATA]],"MMM"))</f>
        <v>DEZ</v>
      </c>
      <c r="C368" s="363"/>
      <c r="D368" s="363" t="str">
        <f>IF(Lançamentos_2025[[#This Row],[CATEGORIA]]=CATEGORIAS!$G$3,"ENTRADA",IF(OR(Lançamentos_2025[[#This Row],[CATEGORIA]]=CATEGORIAS!$I$12,Lançamentos_2025[[#This Row],[CATEGORIA]]=CATEGORIAS!$I$13,Lançamentos_2025[[#This Row],[CATEGORIA]]=CATEGORIAS!$I$14),"INVESTIMENTO",IF(ISNA(VLOOKUP(Lançamentos_2025[[#This Row],[CATEGORIA]],CATEGORIAS!$C$3:$C$10,1,0)),"","SAÍDA")))</f>
        <v/>
      </c>
      <c r="E368" s="363" t="str">
        <f ca="1">VLOOKUP(RANDBETWEEN(1,5),FORMAS_PGMTO[#All],2,FALSE)</f>
        <v>Dinheiro</v>
      </c>
      <c r="F368" s="367"/>
      <c r="G368" s="381"/>
    </row>
  </sheetData>
  <mergeCells count="1">
    <mergeCell ref="A2:G2"/>
  </mergeCells>
  <phoneticPr fontId="91" type="noConversion"/>
  <conditionalFormatting sqref="D5:D368">
    <cfRule type="containsText" dxfId="4" priority="17" operator="containsText" text="INVESTIMENTO">
      <formula>NOT(ISERROR(SEARCH("INVESTIMENTO",D5)))</formula>
    </cfRule>
    <cfRule type="containsText" dxfId="3" priority="18" operator="containsText" text="ENTRADA">
      <formula>NOT(ISERROR(SEARCH("ENTRADA",D5)))</formula>
    </cfRule>
    <cfRule type="containsText" dxfId="2" priority="19" operator="containsText" text="SAÍDA">
      <formula>NOT(ISERROR(SEARCH("SAÍDA",D5)))</formula>
    </cfRule>
  </conditionalFormatting>
  <conditionalFormatting sqref="F5:F9 F32:F39 F42 F58:F262 F265:F368">
    <cfRule type="containsText" dxfId="1" priority="23" operator="containsText" text="fixo">
      <formula>NOT(ISERROR(SEARCH("fixo",F5)))</formula>
    </cfRule>
  </conditionalFormatting>
  <conditionalFormatting sqref="G5:G9 G32:G39 G42 G58:G262 G265:G368">
    <cfRule type="dataBar" priority="25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{2B52AA92-2573-4D75-AA2A-D13939F70F17}</x14:id>
        </ext>
      </extLs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8406DE5-EDA1-4253-B421-EDF43D46E58D}">
            <xm:f>C5=CATEGORIAS!$I$14</xm:f>
            <x14:dxf>
              <fill>
                <patternFill>
                  <bgColor rgb="FF99CCFF"/>
                </patternFill>
              </fill>
            </x14:dxf>
          </x14:cfRule>
          <x14:cfRule type="expression" priority="2" id="{83C84DDD-3F65-43BF-B456-789953B66B05}">
            <xm:f>C5=CATEGORIAS!$I$13</xm:f>
            <x14:dxf>
              <fill>
                <patternFill>
                  <bgColor rgb="FFFF9966"/>
                </patternFill>
              </fill>
            </x14:dxf>
          </x14:cfRule>
          <x14:cfRule type="expression" priority="3" id="{913095D6-C85C-404C-BFAB-A85BD0B19545}">
            <xm:f>C5=CATEGORIAS!$I$12</xm:f>
            <x14:dxf>
              <fill>
                <patternFill>
                  <bgColor rgb="FFFFFF66"/>
                </patternFill>
              </fill>
            </x14:dxf>
          </x14:cfRule>
          <x14:cfRule type="expression" priority="7" id="{320A0E88-5D72-4C7A-B162-B5929B0C1069}">
            <xm:f>C5=CATEGORIAS!$I$11</xm:f>
            <x14:dxf>
              <fill>
                <patternFill>
                  <bgColor rgb="FF00B050"/>
                </patternFill>
              </fill>
            </x14:dxf>
          </x14:cfRule>
          <x14:cfRule type="expression" priority="8" id="{0884368E-FA4F-427F-84E4-1D1E34912DE6}">
            <xm:f>C5=CATEGORIAS!$I$5</xm:f>
            <x14:dxf>
              <fill>
                <patternFill>
                  <bgColor rgb="FFFFD966"/>
                </patternFill>
              </fill>
            </x14:dxf>
          </x14:cfRule>
          <x14:cfRule type="expression" priority="9" id="{FB8C5487-D992-4EC4-90D0-D26C22F8C719}">
            <xm:f>C5=CATEGORIAS!$I$10</xm:f>
            <x14:dxf>
              <fill>
                <patternFill>
                  <bgColor rgb="FFBFBFBF"/>
                </patternFill>
              </fill>
            </x14:dxf>
          </x14:cfRule>
          <x14:cfRule type="expression" priority="10" id="{1707EC3F-DF39-43E3-8161-48AA2638276F}">
            <xm:f>C5=CATEGORIAS!$I$9</xm:f>
            <x14:dxf>
              <fill>
                <patternFill>
                  <bgColor rgb="FF70AD47"/>
                </patternFill>
              </fill>
            </x14:dxf>
          </x14:cfRule>
          <x14:cfRule type="expression" priority="11" id="{C03F4679-F305-4463-982E-5C46980D22E0}">
            <xm:f>C5=CATEGORIAS!$I$8</xm:f>
            <x14:dxf>
              <fill>
                <patternFill>
                  <bgColor rgb="FFF8CBAD"/>
                </patternFill>
              </fill>
            </x14:dxf>
          </x14:cfRule>
          <x14:cfRule type="expression" priority="12" id="{28091894-04CC-4660-83BA-65F19E234C3F}">
            <xm:f>C5=CATEGORIAS!$I$7</xm:f>
            <x14:dxf>
              <fill>
                <patternFill>
                  <bgColor rgb="FFCC66FF"/>
                </patternFill>
              </fill>
            </x14:dxf>
          </x14:cfRule>
          <x14:cfRule type="expression" priority="13" id="{1C51370F-7515-4C86-A0EC-168DF99A8709}">
            <xm:f>C5=CATEGORIAS!$I$6</xm:f>
            <x14:dxf>
              <fill>
                <patternFill>
                  <bgColor rgb="FFD9E1F2"/>
                </patternFill>
              </fill>
            </x14:dxf>
          </x14:cfRule>
          <x14:cfRule type="expression" priority="14" id="{B37D6C56-7381-41C6-9574-CD2EE37ADF55}">
            <xm:f>C5=CATEGORIAS!$I$4</xm:f>
            <x14:dxf>
              <fill>
                <patternFill>
                  <bgColor rgb="FFA9D08E"/>
                </patternFill>
              </fill>
            </x14:dxf>
          </x14:cfRule>
          <x14:cfRule type="expression" priority="16" id="{BE48D81F-4696-4F98-86F1-6B868D292415}">
            <xm:f>C5=CATEGORIAS!$I$3</xm:f>
            <x14:dxf>
              <fill>
                <patternFill>
                  <bgColor rgb="FF8EA9DB"/>
                </patternFill>
              </fill>
            </x14:dxf>
          </x14:cfRule>
          <xm:sqref>C5:C9 C32:C39 C42:C262 C265:C368</xm:sqref>
        </x14:conditionalFormatting>
        <x14:conditionalFormatting xmlns:xm="http://schemas.microsoft.com/office/excel/2006/main">
          <x14:cfRule type="dataBar" id="{2B52AA92-2573-4D75-AA2A-D13939F70F1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G5:G9 G32:G39 G42 G58:G262 G265:G368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586" yWindow="461" count="2">
        <x14:dataValidation type="list" allowBlank="1" showErrorMessage="1" xr:uid="{2AEC8D23-C7D4-4B9B-89EE-3B91F2A7CADD}">
          <x14:formula1>
            <xm:f>CATEGORIAS!$C$15:$C$20</xm:f>
          </x14:formula1>
          <xm:sqref>E5:E9 E32:E39 E42:E194 E196:E262 E265:E368</xm:sqref>
        </x14:dataValidation>
        <x14:dataValidation type="list" allowBlank="1" showInputMessage="1" showErrorMessage="1" xr:uid="{59B3285B-4082-4A02-AE51-0F7AC0FE2524}">
          <x14:formula1>
            <xm:f>CATEGORIAS!$I$3:$I$14</xm:f>
          </x14:formula1>
          <xm:sqref>C5:C39 C265:C368 C42:C262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69AF-522C-4A68-BC76-8EBF361C76BF}">
  <dimension ref="A1:I31"/>
  <sheetViews>
    <sheetView showGridLines="0" topLeftCell="A4" zoomScaleNormal="100" zoomScaleSheetLayoutView="100" workbookViewId="0">
      <selection activeCell="E14" sqref="E14"/>
    </sheetView>
  </sheetViews>
  <sheetFormatPr defaultColWidth="8.5546875" defaultRowHeight="21"/>
  <cols>
    <col min="1" max="1" width="19.109375" style="338" customWidth="1"/>
    <col min="2" max="2" width="22.33203125" style="338" customWidth="1"/>
    <col min="3" max="3" width="20" style="338" customWidth="1"/>
    <col min="4" max="4" width="21.88671875" style="338" customWidth="1"/>
    <col min="5" max="5" width="16" style="334" bestFit="1" customWidth="1"/>
    <col min="6" max="6" width="38.5546875" style="334" customWidth="1"/>
    <col min="7" max="7" width="15.5546875" style="334" customWidth="1"/>
    <col min="8" max="8" width="8.5546875" style="334"/>
    <col min="9" max="9" width="30" style="334" customWidth="1"/>
    <col min="10" max="10" width="19.109375" style="334" customWidth="1"/>
    <col min="11" max="12" width="8.5546875" style="334"/>
    <col min="13" max="14" width="0" style="334" hidden="1" customWidth="1"/>
    <col min="15" max="15" width="18.5546875" style="334" customWidth="1"/>
    <col min="16" max="16384" width="8.5546875" style="334"/>
  </cols>
  <sheetData>
    <row r="1" spans="1:9" ht="21.6" thickBot="1"/>
    <row r="2" spans="1:9" ht="33" customHeight="1" thickBot="1">
      <c r="A2" s="511" t="s">
        <v>741</v>
      </c>
      <c r="B2" s="512"/>
      <c r="C2" s="512"/>
      <c r="D2" s="513"/>
    </row>
    <row r="3" spans="1:9" ht="22.5" customHeight="1"/>
    <row r="4" spans="1:9" s="355" customFormat="1" ht="30" customHeight="1">
      <c r="A4" s="352" t="s">
        <v>273</v>
      </c>
      <c r="B4" s="353" t="s">
        <v>38</v>
      </c>
      <c r="C4" s="353" t="s">
        <v>40</v>
      </c>
      <c r="D4" s="354" t="s">
        <v>274</v>
      </c>
      <c r="E4" s="336"/>
      <c r="F4" s="336"/>
      <c r="G4" s="336"/>
    </row>
    <row r="5" spans="1:9" s="325" customFormat="1" ht="15.6">
      <c r="A5" s="383" t="s">
        <v>264</v>
      </c>
      <c r="B5" s="388">
        <f>SUMIFS(Lançamentos_2025[VALOR],Lançamentos_2025[MÊS],A5,Lançamentos_2025[TIPO], $B$4)</f>
        <v>2500</v>
      </c>
      <c r="C5" s="385">
        <f>SUMIFS(Lançamentos_2025[VALOR],Lançamentos_2025[MÊS],A5,Lançamentos_2025[TIPO], $C$4)</f>
        <v>2250</v>
      </c>
      <c r="D5" s="386">
        <f t="shared" ref="D5:D16" si="0">B5-C5</f>
        <v>250</v>
      </c>
      <c r="I5" s="325" t="s">
        <v>742</v>
      </c>
    </row>
    <row r="6" spans="1:9" s="325" customFormat="1" ht="15.6">
      <c r="A6" s="383" t="s">
        <v>266</v>
      </c>
      <c r="B6" s="388">
        <f>SUMIFS(Lançamentos_2025[VALOR],Lançamentos_2025[MÊS],A6,Lançamentos_2025[TIPO], $B$4)</f>
        <v>1950</v>
      </c>
      <c r="C6" s="385">
        <f>SUMIFS(Lançamentos_2025[VALOR],Lançamentos_2025[MÊS],A6,Lançamentos_2025[TIPO], $C$4)</f>
        <v>1750</v>
      </c>
      <c r="D6" s="386">
        <f t="shared" si="0"/>
        <v>200</v>
      </c>
    </row>
    <row r="7" spans="1:9" s="325" customFormat="1" ht="15.6">
      <c r="A7" s="383" t="s">
        <v>275</v>
      </c>
      <c r="B7" s="388">
        <f>SUMIFS(Lançamentos_2025[VALOR],Lançamentos_2025[MÊS],A7,Lançamentos_2025[TIPO], $B$4)</f>
        <v>2500</v>
      </c>
      <c r="C7" s="385">
        <f>SUMIFS(Lançamentos_2025[VALOR],Lançamentos_2025[MÊS],A7,Lançamentos_2025[TIPO], $C$4)</f>
        <v>2550</v>
      </c>
      <c r="D7" s="386">
        <f t="shared" si="0"/>
        <v>-50</v>
      </c>
    </row>
    <row r="8" spans="1:9" s="325" customFormat="1" ht="15.6">
      <c r="A8" s="383" t="s">
        <v>276</v>
      </c>
      <c r="B8" s="388">
        <f>SUMIFS(Lançamentos_2025[VALOR],Lançamentos_2025[MÊS],A8,Lançamentos_2025[TIPO], $B$4)</f>
        <v>2500</v>
      </c>
      <c r="C8" s="385">
        <f>SUMIFS(Lançamentos_2025[VALOR],Lançamentos_2025[MÊS],A8,Lançamentos_2025[TIPO], $C$4)</f>
        <v>1830</v>
      </c>
      <c r="D8" s="386">
        <f t="shared" si="0"/>
        <v>670</v>
      </c>
    </row>
    <row r="9" spans="1:9" s="325" customFormat="1" ht="15.6">
      <c r="A9" s="383" t="s">
        <v>277</v>
      </c>
      <c r="B9" s="388">
        <f>SUMIFS(Lançamentos_2025[VALOR],Lançamentos_2025[MÊS],A9,Lançamentos_2025[TIPO], $B$4)</f>
        <v>2350</v>
      </c>
      <c r="C9" s="385">
        <f>SUMIFS(Lançamentos_2025[VALOR],Lançamentos_2025[MÊS],A9,Lançamentos_2025[TIPO], $C$4)</f>
        <v>1940</v>
      </c>
      <c r="D9" s="386">
        <f t="shared" si="0"/>
        <v>410</v>
      </c>
    </row>
    <row r="10" spans="1:9" s="325" customFormat="1" ht="15.6">
      <c r="A10" s="383" t="s">
        <v>278</v>
      </c>
      <c r="B10" s="388">
        <f>SUMIFS(Lançamentos_2025[VALOR],Lançamentos_2025[MÊS],A10,Lançamentos_2025[TIPO], $B$4)</f>
        <v>2300</v>
      </c>
      <c r="C10" s="385">
        <f>SUMIFS(Lançamentos_2025[VALOR],Lançamentos_2025[MÊS],A10,Lançamentos_2025[TIPO], $C$4)</f>
        <v>1940</v>
      </c>
      <c r="D10" s="386">
        <f t="shared" si="0"/>
        <v>360</v>
      </c>
    </row>
    <row r="11" spans="1:9" s="325" customFormat="1" ht="15.6">
      <c r="A11" s="383" t="s">
        <v>279</v>
      </c>
      <c r="B11" s="388">
        <f>SUMIFS(Lançamentos_2025[VALOR],Lançamentos_2025[MÊS],A11,Lançamentos_2025[TIPO], $B$4)</f>
        <v>2400</v>
      </c>
      <c r="C11" s="385">
        <f>SUMIFS(Lançamentos_2025[VALOR],Lançamentos_2025[MÊS],A11,Lançamentos_2025[TIPO], $C$4)</f>
        <v>1150</v>
      </c>
      <c r="D11" s="386">
        <f t="shared" si="0"/>
        <v>1250</v>
      </c>
    </row>
    <row r="12" spans="1:9" s="325" customFormat="1" ht="15.6">
      <c r="A12" s="383" t="s">
        <v>280</v>
      </c>
      <c r="B12" s="388">
        <f>SUMIFS(Lançamentos_2025[VALOR],Lançamentos_2025[MÊS],A12,Lançamentos_2025[TIPO], $B$4)</f>
        <v>2600</v>
      </c>
      <c r="C12" s="385">
        <f>SUMIFS(Lançamentos_2025[VALOR],Lançamentos_2025[MÊS],A12,Lançamentos_2025[TIPO], $C$4)</f>
        <v>1900</v>
      </c>
      <c r="D12" s="386">
        <f t="shared" si="0"/>
        <v>700</v>
      </c>
    </row>
    <row r="13" spans="1:9" s="325" customFormat="1" ht="15.6">
      <c r="A13" s="383" t="s">
        <v>281</v>
      </c>
      <c r="B13" s="388">
        <f>SUMIFS(Lançamentos_2025[VALOR],Lançamentos_2025[MÊS],A13,Lançamentos_2025[TIPO], $B$4)</f>
        <v>1950</v>
      </c>
      <c r="C13" s="385">
        <f>SUMIFS(Lançamentos_2025[VALOR],Lançamentos_2025[MÊS],A13,Lançamentos_2025[TIPO], $C$4)</f>
        <v>1780</v>
      </c>
      <c r="D13" s="386">
        <f t="shared" si="0"/>
        <v>170</v>
      </c>
    </row>
    <row r="14" spans="1:9" s="325" customFormat="1" ht="15.6">
      <c r="A14" s="383" t="s">
        <v>282</v>
      </c>
      <c r="B14" s="388">
        <f>SUMIFS(Lançamentos_2025[VALOR],Lançamentos_2025[MÊS],A14,Lançamentos_2025[TIPO], $B$4)</f>
        <v>1950</v>
      </c>
      <c r="C14" s="385">
        <f>SUMIFS(Lançamentos_2025[VALOR],Lançamentos_2025[MÊS],A14,Lançamentos_2025[TIPO], $C$4)</f>
        <v>700</v>
      </c>
      <c r="D14" s="386">
        <f t="shared" si="0"/>
        <v>1250</v>
      </c>
    </row>
    <row r="15" spans="1:9" s="325" customFormat="1" ht="15.6">
      <c r="A15" s="383" t="s">
        <v>283</v>
      </c>
      <c r="B15" s="388">
        <f>SUMIFS(Lançamentos_2025[VALOR],Lançamentos_2025[MÊS],A15,Lançamentos_2025[TIPO], $B$4)</f>
        <v>2300</v>
      </c>
      <c r="C15" s="385">
        <f>SUMIFS(Lançamentos_2025[VALOR],Lançamentos_2025[MÊS],A15,Lançamentos_2025[TIPO], $C$4)</f>
        <v>1910</v>
      </c>
      <c r="D15" s="386">
        <f t="shared" si="0"/>
        <v>390</v>
      </c>
      <c r="I15" s="356"/>
    </row>
    <row r="16" spans="1:9" s="325" customFormat="1" ht="15.6">
      <c r="A16" s="384" t="s">
        <v>284</v>
      </c>
      <c r="B16" s="388">
        <f>SUMIFS(Lançamentos_2025[VALOR],Lançamentos_2025[MÊS],A16,Lançamentos_2025[TIPO], $B$4)</f>
        <v>2400</v>
      </c>
      <c r="C16" s="385">
        <f>SUMIFS(Lançamentos_2025[VALOR],Lançamentos_2025[MÊS],A16,Lançamentos_2025[TIPO], $C$4)</f>
        <v>1920</v>
      </c>
      <c r="D16" s="387">
        <f t="shared" si="0"/>
        <v>480</v>
      </c>
    </row>
    <row r="17" spans="1:7" ht="15.6">
      <c r="A17" s="349"/>
      <c r="B17" s="349"/>
      <c r="C17" s="349"/>
      <c r="D17" s="349"/>
    </row>
    <row r="18" spans="1:7" ht="15.6">
      <c r="A18" s="349"/>
      <c r="B18" s="349"/>
      <c r="C18" s="349"/>
      <c r="D18" s="349"/>
      <c r="E18" s="349"/>
      <c r="F18" s="349"/>
    </row>
    <row r="19" spans="1:7" ht="18" customHeight="1">
      <c r="A19" s="349"/>
      <c r="B19" s="349"/>
      <c r="C19" s="349"/>
      <c r="D19" s="349"/>
      <c r="E19" s="349"/>
      <c r="F19" s="349"/>
    </row>
    <row r="20" spans="1:7" ht="18" customHeight="1">
      <c r="A20" s="349"/>
      <c r="B20" s="349"/>
      <c r="C20" s="349"/>
      <c r="D20" s="349"/>
      <c r="E20" s="349"/>
      <c r="F20" s="349"/>
    </row>
    <row r="21" spans="1:7" ht="15.6">
      <c r="A21" s="349"/>
      <c r="B21" s="349"/>
      <c r="C21" s="349"/>
      <c r="D21" s="349"/>
      <c r="E21" s="349"/>
      <c r="F21" s="349"/>
      <c r="G21" s="350"/>
    </row>
    <row r="22" spans="1:7" ht="15.6">
      <c r="A22" s="349"/>
      <c r="B22" s="349"/>
      <c r="C22" s="349"/>
      <c r="D22" s="349"/>
      <c r="E22" s="349"/>
      <c r="F22" s="349"/>
    </row>
    <row r="23" spans="1:7" ht="15.6">
      <c r="A23" s="349"/>
      <c r="B23" s="349"/>
      <c r="C23" s="349"/>
      <c r="D23" s="349"/>
      <c r="E23" s="349"/>
      <c r="F23" s="349"/>
    </row>
    <row r="24" spans="1:7">
      <c r="E24" s="351"/>
      <c r="F24" s="351"/>
    </row>
    <row r="25" spans="1:7">
      <c r="E25" s="351"/>
      <c r="F25" s="351"/>
    </row>
    <row r="26" spans="1:7">
      <c r="E26" s="351"/>
      <c r="F26" s="351"/>
    </row>
    <row r="27" spans="1:7">
      <c r="E27" s="351"/>
      <c r="F27" s="351"/>
    </row>
    <row r="28" spans="1:7">
      <c r="E28" s="351"/>
      <c r="F28" s="351"/>
    </row>
    <row r="29" spans="1:7">
      <c r="E29" s="351"/>
      <c r="F29" s="351"/>
    </row>
    <row r="30" spans="1:7">
      <c r="E30" s="351"/>
      <c r="F30" s="351"/>
    </row>
    <row r="31" spans="1:7">
      <c r="E31" s="351"/>
      <c r="F31" s="351"/>
    </row>
  </sheetData>
  <mergeCells count="1">
    <mergeCell ref="A2:D2"/>
  </mergeCells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25C2D-F7C8-4C40-9916-4843ACEEA9FC}">
  <dimension ref="A3:I5"/>
  <sheetViews>
    <sheetView showGridLines="0" zoomScaleNormal="60" zoomScaleSheetLayoutView="100" workbookViewId="0">
      <selection activeCell="J61" sqref="J61"/>
    </sheetView>
  </sheetViews>
  <sheetFormatPr defaultColWidth="8.5546875" defaultRowHeight="14.4"/>
  <cols>
    <col min="1" max="16384" width="8.5546875" style="3"/>
  </cols>
  <sheetData>
    <row r="3" spans="1:9" ht="14.4" customHeight="1">
      <c r="A3" s="514" t="s">
        <v>743</v>
      </c>
      <c r="B3" s="514"/>
      <c r="C3" s="514"/>
      <c r="D3" s="514"/>
      <c r="E3" s="514"/>
      <c r="F3" s="514"/>
      <c r="G3" s="514"/>
      <c r="H3" s="514"/>
      <c r="I3" s="515"/>
    </row>
    <row r="4" spans="1:9" ht="15" customHeight="1">
      <c r="A4" s="514"/>
      <c r="B4" s="514"/>
      <c r="C4" s="514"/>
      <c r="D4" s="514"/>
      <c r="E4" s="514"/>
      <c r="F4" s="514"/>
      <c r="G4" s="514"/>
      <c r="H4" s="514"/>
      <c r="I4" s="515"/>
    </row>
    <row r="5" spans="1:9" ht="4.95" customHeight="1"/>
  </sheetData>
  <mergeCells count="1">
    <mergeCell ref="A3:I4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58B5-010A-414E-9797-CA09E3972E02}">
  <dimension ref="B1:F12"/>
  <sheetViews>
    <sheetView showGridLines="0" workbookViewId="0">
      <selection activeCell="F10" sqref="F10"/>
    </sheetView>
  </sheetViews>
  <sheetFormatPr defaultRowHeight="14.4"/>
  <cols>
    <col min="2" max="2" width="33.5546875" bestFit="1" customWidth="1"/>
    <col min="3" max="4" width="27.109375" customWidth="1"/>
    <col min="5" max="5" width="35.33203125" customWidth="1"/>
    <col min="6" max="7" width="27.109375" customWidth="1"/>
  </cols>
  <sheetData>
    <row r="1" spans="2:6" ht="15" thickBot="1"/>
    <row r="2" spans="2:6" ht="32.25" customHeight="1" thickBot="1">
      <c r="B2" s="415" t="s">
        <v>744</v>
      </c>
      <c r="C2" s="419">
        <v>0.13250000000000001</v>
      </c>
      <c r="D2" s="403"/>
    </row>
    <row r="3" spans="2:6" ht="36.6" customHeight="1" thickBot="1">
      <c r="B3" s="416" t="s">
        <v>745</v>
      </c>
      <c r="C3" s="420">
        <v>10000</v>
      </c>
      <c r="D3" s="404">
        <f>C2-0.1%</f>
        <v>0.13150000000000001</v>
      </c>
      <c r="E3" s="406" t="s">
        <v>746</v>
      </c>
      <c r="F3" s="405" t="s">
        <v>747</v>
      </c>
    </row>
    <row r="4" spans="2:6" ht="36.6" customHeight="1" thickBot="1">
      <c r="B4" s="417" t="s">
        <v>748</v>
      </c>
      <c r="C4" s="421">
        <v>12</v>
      </c>
      <c r="D4" s="404">
        <f>POWER(1+D3,1/12)-1</f>
        <v>1.0348528288471437E-2</v>
      </c>
      <c r="E4" s="407" t="s">
        <v>749</v>
      </c>
      <c r="F4" s="408">
        <v>0.22500000000000001</v>
      </c>
    </row>
    <row r="5" spans="2:6" ht="36.6" customHeight="1" thickBot="1">
      <c r="B5" s="418" t="s">
        <v>750</v>
      </c>
      <c r="C5" s="422">
        <v>1.1000000000000001</v>
      </c>
      <c r="D5" s="404">
        <f>C5*D4</f>
        <v>1.1383381117318582E-2</v>
      </c>
      <c r="E5" s="407" t="s">
        <v>751</v>
      </c>
      <c r="F5" s="408">
        <v>0.2</v>
      </c>
    </row>
    <row r="6" spans="2:6" ht="36.6" customHeight="1" thickBot="1">
      <c r="B6" s="425" t="s">
        <v>752</v>
      </c>
      <c r="C6" s="423">
        <f>IF(C4&lt;=6,D6*(1-F4),IF(AND(C4&gt;6,C4&lt;=12),D6*(1-F5),IF(AND(C4&gt;12,C4&lt;=24),D6*(1-F6),D6*(1-F7))))</f>
        <v>0.1163887399683608</v>
      </c>
      <c r="D6" s="404">
        <f>POWER(1+D5,12)-1</f>
        <v>0.14548592496045099</v>
      </c>
      <c r="E6" s="407" t="s">
        <v>753</v>
      </c>
      <c r="F6" s="408">
        <v>0.17499999999999999</v>
      </c>
    </row>
    <row r="7" spans="2:6" ht="36.6" customHeight="1" thickBot="1">
      <c r="B7" s="414" t="s">
        <v>754</v>
      </c>
      <c r="C7" s="432">
        <f>POWER(1+C6,1/12)-1</f>
        <v>9.21714672219065E-3</v>
      </c>
      <c r="D7" s="431"/>
      <c r="E7" s="405" t="s">
        <v>755</v>
      </c>
      <c r="F7" s="409">
        <v>0.15</v>
      </c>
    </row>
    <row r="8" spans="2:6" ht="36.6" customHeight="1" thickBot="1">
      <c r="B8" s="426" t="s">
        <v>756</v>
      </c>
      <c r="C8" s="424">
        <f>(C3*C7)/((POWER(1+C7,C4+1))-(1+C7))</f>
        <v>784.69505120689541</v>
      </c>
      <c r="D8" s="402"/>
      <c r="E8" s="402"/>
      <c r="F8" s="402"/>
    </row>
    <row r="9" spans="2:6" ht="15" thickBot="1"/>
    <row r="10" spans="2:6" ht="15" thickBot="1">
      <c r="B10" s="516" t="s">
        <v>757</v>
      </c>
      <c r="C10" s="517"/>
    </row>
    <row r="11" spans="2:6" ht="15" thickBot="1">
      <c r="B11" s="427" t="s">
        <v>758</v>
      </c>
      <c r="C11" s="429">
        <f>C8*C4</f>
        <v>9416.3406144827459</v>
      </c>
    </row>
    <row r="12" spans="2:6" ht="15" thickBot="1">
      <c r="B12" s="428" t="s">
        <v>759</v>
      </c>
      <c r="C12" s="430">
        <f>C3-C11</f>
        <v>583.65938551725412</v>
      </c>
    </row>
  </sheetData>
  <mergeCells count="1">
    <mergeCell ref="B10:C10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BC45DD-070B-4DE4-A94C-53EED647FD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CATEGORIAS</vt:lpstr>
      <vt:lpstr>MENU</vt:lpstr>
      <vt:lpstr>LANÇAMENTOS 2023</vt:lpstr>
      <vt:lpstr>FINANÇAS 2023</vt:lpstr>
      <vt:lpstr>RELATÓRIO 2023</vt:lpstr>
      <vt:lpstr>LANÇAMENTOS 2024</vt:lpstr>
      <vt:lpstr>FINANÇAS 2024</vt:lpstr>
      <vt:lpstr>RELATÓRIO 2024</vt:lpstr>
      <vt:lpstr>LANÇAMENTOS 2025</vt:lpstr>
      <vt:lpstr>FINANÇAS 2025</vt:lpstr>
      <vt:lpstr>RELATÓRIO 2025</vt:lpstr>
      <vt:lpstr>SIMULAÇÃO INVESTIMENTO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Abreu</dc:creator>
  <cp:keywords/>
  <dc:description/>
  <cp:lastModifiedBy>RAFAEL VÍTOR SILVA DE ABREU</cp:lastModifiedBy>
  <cp:revision/>
  <dcterms:created xsi:type="dcterms:W3CDTF">2023-01-03T19:54:13Z</dcterms:created>
  <dcterms:modified xsi:type="dcterms:W3CDTF">2025-02-05T15:18:03Z</dcterms:modified>
  <cp:category/>
  <cp:contentStatus/>
</cp:coreProperties>
</file>